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mc:AlternateContent xmlns:mc="http://schemas.openxmlformats.org/markup-compatibility/2006">
    <mc:Choice Requires="x15">
      <x15ac:absPath xmlns:x15ac="http://schemas.microsoft.com/office/spreadsheetml/2010/11/ac" url="C:\Users\carla.curreli\Desktop\2025 MSNA FT for Publication\"/>
    </mc:Choice>
  </mc:AlternateContent>
  <xr:revisionPtr revIDLastSave="0" documentId="8_{21F55716-26B0-454A-8841-CA9D97D9313A}" xr6:coauthVersionLast="47" xr6:coauthVersionMax="47" xr10:uidLastSave="{00000000-0000-0000-0000-000000000000}"/>
  <bookViews>
    <workbookView xWindow="-110" yWindow="-110" windowWidth="19420" windowHeight="11500" activeTab="1" xr2:uid="{00000000-000D-0000-FFFF-FFFF00000000}"/>
  </bookViews>
  <sheets>
    <sheet name="READ_ME" sheetId="3" r:id="rId1"/>
    <sheet name="Table_of_content" sheetId="1" r:id="rId2"/>
    <sheet name="Data" sheetId="2" r:id="rId3"/>
  </sheets>
  <definedNames>
    <definedName name="Slicer_Disaggregation">#N/A</definedName>
    <definedName name="Slicer_Indicator">#N/A</definedName>
    <definedName name="Slicer_Sector">#N/A</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4:slicerCache r:id="rId6"/>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59" i="1" l="1"/>
  <c r="G1758" i="1"/>
  <c r="G1757" i="1"/>
  <c r="G1756" i="1"/>
  <c r="G1755" i="1"/>
  <c r="G1754" i="1"/>
  <c r="G1753" i="1"/>
  <c r="G1752" i="1"/>
  <c r="G1751" i="1"/>
  <c r="G1750" i="1"/>
  <c r="G1749" i="1"/>
  <c r="G1748" i="1"/>
  <c r="G1747" i="1"/>
  <c r="G1746" i="1"/>
  <c r="G1745" i="1"/>
  <c r="G1744" i="1"/>
  <c r="G1743" i="1"/>
  <c r="G1742" i="1"/>
  <c r="G1741" i="1"/>
  <c r="G1740" i="1"/>
  <c r="G1739" i="1"/>
  <c r="G1738" i="1"/>
  <c r="G1737" i="1"/>
  <c r="G1736" i="1"/>
  <c r="G1735" i="1"/>
  <c r="G1734" i="1"/>
  <c r="G1733" i="1"/>
  <c r="G1732" i="1"/>
  <c r="G1731" i="1"/>
  <c r="G1730" i="1"/>
  <c r="G1729" i="1"/>
  <c r="G1728" i="1"/>
  <c r="G1727" i="1"/>
  <c r="G1726" i="1"/>
  <c r="G1725" i="1"/>
  <c r="G1724" i="1"/>
  <c r="G1723" i="1"/>
  <c r="G1722" i="1"/>
  <c r="G1721" i="1"/>
  <c r="G1720" i="1"/>
  <c r="G1719" i="1"/>
  <c r="G1718" i="1"/>
  <c r="G1717" i="1"/>
  <c r="G1716" i="1"/>
  <c r="G1715" i="1"/>
  <c r="G1714" i="1"/>
  <c r="G1713" i="1"/>
  <c r="G1712" i="1"/>
  <c r="G1711" i="1"/>
  <c r="G1710" i="1"/>
  <c r="G1709" i="1"/>
  <c r="G1708" i="1"/>
  <c r="G1707" i="1"/>
  <c r="G1706" i="1"/>
  <c r="G1705" i="1"/>
  <c r="G1704" i="1"/>
  <c r="G1703" i="1"/>
  <c r="G1702" i="1"/>
  <c r="G1701" i="1"/>
  <c r="G1700" i="1"/>
  <c r="G1699" i="1"/>
  <c r="G1698" i="1"/>
  <c r="G1697" i="1"/>
  <c r="G1696" i="1"/>
  <c r="G1695" i="1"/>
  <c r="G1694" i="1"/>
  <c r="G1693" i="1"/>
  <c r="G1692" i="1"/>
  <c r="G1691" i="1"/>
  <c r="G1690" i="1"/>
  <c r="G1689" i="1"/>
  <c r="G1688" i="1"/>
  <c r="G1687" i="1"/>
  <c r="G1686" i="1"/>
  <c r="G1685" i="1"/>
  <c r="G1684" i="1"/>
  <c r="G1683" i="1"/>
  <c r="G1682" i="1"/>
  <c r="G1681" i="1"/>
  <c r="G1680" i="1"/>
  <c r="G1679" i="1"/>
  <c r="G1678" i="1"/>
  <c r="G1677" i="1"/>
  <c r="G1676" i="1"/>
  <c r="G1675" i="1"/>
  <c r="G1674" i="1"/>
  <c r="G1673" i="1"/>
  <c r="G1672" i="1"/>
  <c r="G1671" i="1"/>
  <c r="G1670" i="1"/>
  <c r="G1669" i="1"/>
  <c r="G1668" i="1"/>
  <c r="G1667" i="1"/>
  <c r="G1666" i="1"/>
  <c r="G1665" i="1"/>
  <c r="G1664" i="1"/>
  <c r="G1663" i="1"/>
  <c r="G1662" i="1"/>
  <c r="G1661" i="1"/>
  <c r="G1660" i="1"/>
  <c r="G1659" i="1"/>
  <c r="G1658" i="1"/>
  <c r="G1657" i="1"/>
  <c r="G1656" i="1"/>
  <c r="G1655" i="1"/>
  <c r="G1654" i="1"/>
  <c r="G1653" i="1"/>
  <c r="G1652" i="1"/>
  <c r="G1651" i="1"/>
  <c r="G1650" i="1"/>
  <c r="G1649" i="1"/>
  <c r="G1648" i="1"/>
  <c r="G1647" i="1"/>
  <c r="G1646" i="1"/>
  <c r="G1645" i="1"/>
  <c r="G1644" i="1"/>
  <c r="G1643" i="1"/>
  <c r="G1642" i="1"/>
  <c r="G1641" i="1"/>
  <c r="G1640" i="1"/>
  <c r="G1639" i="1"/>
  <c r="G1638" i="1"/>
  <c r="G1637" i="1"/>
  <c r="G1636" i="1"/>
  <c r="G1635" i="1"/>
  <c r="G1634" i="1"/>
  <c r="G1633" i="1"/>
  <c r="G1632" i="1"/>
  <c r="G1631" i="1"/>
  <c r="G1630" i="1"/>
  <c r="G1629" i="1"/>
  <c r="G1628" i="1"/>
  <c r="G1627" i="1"/>
  <c r="G1626" i="1"/>
  <c r="G1625" i="1"/>
  <c r="G1624" i="1"/>
  <c r="G1623" i="1"/>
  <c r="G1622" i="1"/>
  <c r="G1621" i="1"/>
  <c r="G1620" i="1"/>
  <c r="G1619" i="1"/>
  <c r="G1618" i="1"/>
  <c r="G1617" i="1"/>
  <c r="G1616" i="1"/>
  <c r="G1615" i="1"/>
  <c r="G1614" i="1"/>
  <c r="G1613" i="1"/>
  <c r="G1612" i="1"/>
  <c r="G1611" i="1"/>
  <c r="G1610" i="1"/>
  <c r="G1609" i="1"/>
  <c r="G1608" i="1"/>
  <c r="G1607" i="1"/>
  <c r="G1606" i="1"/>
  <c r="G1605" i="1"/>
  <c r="G1604" i="1"/>
  <c r="G1603" i="1"/>
  <c r="G1602" i="1"/>
  <c r="G1601" i="1"/>
  <c r="G1600" i="1"/>
  <c r="G1599" i="1"/>
  <c r="G1598" i="1"/>
  <c r="G1597" i="1"/>
  <c r="G1596" i="1"/>
  <c r="G1595" i="1"/>
  <c r="G1594" i="1"/>
  <c r="G1593" i="1"/>
  <c r="G1592" i="1"/>
  <c r="G1591" i="1"/>
  <c r="G1590" i="1"/>
  <c r="G1589" i="1"/>
  <c r="G1588" i="1"/>
  <c r="G1587" i="1"/>
  <c r="G1586" i="1"/>
  <c r="G1585" i="1"/>
  <c r="G1584" i="1"/>
  <c r="G1583" i="1"/>
  <c r="G1582" i="1"/>
  <c r="G1581" i="1"/>
  <c r="G1580" i="1"/>
  <c r="G1579" i="1"/>
  <c r="G1578" i="1"/>
  <c r="G1577" i="1"/>
  <c r="G1576" i="1"/>
  <c r="G1575" i="1"/>
  <c r="G1574" i="1"/>
  <c r="G1573" i="1"/>
  <c r="G1572" i="1"/>
  <c r="G1571" i="1"/>
  <c r="G1570" i="1"/>
  <c r="G1569" i="1"/>
  <c r="G1568" i="1"/>
  <c r="G1567" i="1"/>
  <c r="G1566" i="1"/>
  <c r="G1565" i="1"/>
  <c r="G1564" i="1"/>
  <c r="G1563" i="1"/>
  <c r="G1562" i="1"/>
  <c r="G1561" i="1"/>
  <c r="G1560" i="1"/>
  <c r="G1559" i="1"/>
  <c r="G1558" i="1"/>
  <c r="G1557" i="1"/>
  <c r="G1556" i="1"/>
  <c r="G1555" i="1"/>
  <c r="G1554" i="1"/>
  <c r="G1553" i="1"/>
  <c r="G1552" i="1"/>
  <c r="G1551" i="1"/>
  <c r="G1550" i="1"/>
  <c r="G1549" i="1"/>
  <c r="G1548" i="1"/>
  <c r="G1547" i="1"/>
  <c r="G1546" i="1"/>
  <c r="G1545" i="1"/>
  <c r="G1544" i="1"/>
  <c r="G1543" i="1"/>
  <c r="G1542" i="1"/>
  <c r="G1541" i="1"/>
  <c r="G1540" i="1"/>
  <c r="G1539" i="1"/>
  <c r="G1538" i="1"/>
  <c r="G1537" i="1"/>
  <c r="G1536" i="1"/>
  <c r="G1535" i="1"/>
  <c r="G1534" i="1"/>
  <c r="G1533" i="1"/>
  <c r="G1532" i="1"/>
  <c r="G1531" i="1"/>
  <c r="G1530" i="1"/>
  <c r="G1529" i="1"/>
  <c r="G1528" i="1"/>
  <c r="G1527" i="1"/>
  <c r="G1526" i="1"/>
  <c r="G1525" i="1"/>
  <c r="G1524" i="1"/>
  <c r="G1523" i="1"/>
  <c r="G1522" i="1"/>
  <c r="G1521" i="1"/>
  <c r="G1520" i="1"/>
  <c r="G1519" i="1"/>
  <c r="G1518" i="1"/>
  <c r="G1517" i="1"/>
  <c r="G1516" i="1"/>
  <c r="G1515" i="1"/>
  <c r="G1514" i="1"/>
  <c r="G1513" i="1"/>
  <c r="G1512" i="1"/>
  <c r="G1511" i="1"/>
  <c r="G1510" i="1"/>
  <c r="G1509" i="1"/>
  <c r="G1508" i="1"/>
  <c r="G1507" i="1"/>
  <c r="G1506" i="1"/>
  <c r="G1505" i="1"/>
  <c r="G1504" i="1"/>
  <c r="G1503" i="1"/>
  <c r="G1502" i="1"/>
  <c r="G1501" i="1"/>
  <c r="G1500" i="1"/>
  <c r="G1499" i="1"/>
  <c r="G1498" i="1"/>
  <c r="G1497" i="1"/>
  <c r="G1496" i="1"/>
  <c r="G1495" i="1"/>
  <c r="G1494" i="1"/>
  <c r="G1493" i="1"/>
  <c r="G1492" i="1"/>
  <c r="G1491" i="1"/>
  <c r="G1490" i="1"/>
  <c r="G1489" i="1"/>
  <c r="G1488" i="1"/>
  <c r="G1487" i="1"/>
  <c r="G1486" i="1"/>
  <c r="G1485" i="1"/>
  <c r="G1484" i="1"/>
  <c r="G1483" i="1"/>
  <c r="G1482" i="1"/>
  <c r="G1481" i="1"/>
  <c r="G1480" i="1"/>
  <c r="G1479" i="1"/>
  <c r="G1478" i="1"/>
  <c r="G1477" i="1"/>
  <c r="G1476" i="1"/>
  <c r="G1475" i="1"/>
  <c r="G1474" i="1"/>
  <c r="G1473" i="1"/>
  <c r="G1472" i="1"/>
  <c r="G1471" i="1"/>
  <c r="G1470" i="1"/>
  <c r="G1469" i="1"/>
  <c r="G1468" i="1"/>
  <c r="G1467" i="1"/>
  <c r="G1466" i="1"/>
  <c r="G1465" i="1"/>
  <c r="G1464" i="1"/>
  <c r="G1463" i="1"/>
  <c r="G1462" i="1"/>
  <c r="G1461" i="1"/>
  <c r="G1460" i="1"/>
  <c r="G1459" i="1"/>
  <c r="G1458" i="1"/>
  <c r="G1457" i="1"/>
  <c r="G1456" i="1"/>
  <c r="G1455" i="1"/>
  <c r="G1454" i="1"/>
  <c r="G1453" i="1"/>
  <c r="G1452" i="1"/>
  <c r="G1451" i="1"/>
  <c r="G1450" i="1"/>
  <c r="G1449" i="1"/>
  <c r="G1448" i="1"/>
  <c r="G1447" i="1"/>
  <c r="G1446" i="1"/>
  <c r="G1445" i="1"/>
  <c r="G1444" i="1"/>
  <c r="G1443" i="1"/>
  <c r="G1442" i="1"/>
  <c r="G1441" i="1"/>
  <c r="G1440" i="1"/>
  <c r="G1439" i="1"/>
  <c r="G1438" i="1"/>
  <c r="G1437" i="1"/>
  <c r="G1436" i="1"/>
  <c r="G1435" i="1"/>
  <c r="G1434" i="1"/>
  <c r="G1433" i="1"/>
  <c r="G1432" i="1"/>
  <c r="G1431" i="1"/>
  <c r="G1430" i="1"/>
  <c r="G1429" i="1"/>
  <c r="G1428" i="1"/>
  <c r="G1427" i="1"/>
  <c r="G1426" i="1"/>
  <c r="G1425" i="1"/>
  <c r="G1424" i="1"/>
  <c r="G1423" i="1"/>
  <c r="G1422" i="1"/>
  <c r="G1421" i="1"/>
  <c r="G1420" i="1"/>
  <c r="G1419" i="1"/>
  <c r="G1418" i="1"/>
  <c r="G1417" i="1"/>
  <c r="G1416" i="1"/>
  <c r="G1415" i="1"/>
  <c r="G1414" i="1"/>
  <c r="G1413" i="1"/>
  <c r="G1412" i="1"/>
  <c r="G1411" i="1"/>
  <c r="G1410" i="1"/>
  <c r="G1409" i="1"/>
  <c r="G1408" i="1"/>
  <c r="G1407" i="1"/>
  <c r="G1406" i="1"/>
  <c r="G1405" i="1"/>
  <c r="G1404" i="1"/>
  <c r="G1403" i="1"/>
  <c r="G1402" i="1"/>
  <c r="G1401" i="1"/>
  <c r="G1400" i="1"/>
  <c r="G1399" i="1"/>
  <c r="G1398" i="1"/>
  <c r="G1397" i="1"/>
  <c r="G1396" i="1"/>
  <c r="G1395" i="1"/>
  <c r="G1394" i="1"/>
  <c r="G1393" i="1"/>
  <c r="G1392" i="1"/>
  <c r="G1391" i="1"/>
  <c r="G1390" i="1"/>
  <c r="G1389" i="1"/>
  <c r="G1388" i="1"/>
  <c r="G1387" i="1"/>
  <c r="G1386" i="1"/>
  <c r="G1385" i="1"/>
  <c r="G1384" i="1"/>
  <c r="G1383" i="1"/>
  <c r="G1382" i="1"/>
  <c r="G1381" i="1"/>
  <c r="G1380" i="1"/>
  <c r="G1379" i="1"/>
  <c r="G1378" i="1"/>
  <c r="G1377" i="1"/>
  <c r="G1376" i="1"/>
  <c r="G1375" i="1"/>
  <c r="G1374" i="1"/>
  <c r="G1373" i="1"/>
  <c r="G1372" i="1"/>
  <c r="G1371" i="1"/>
  <c r="G1370" i="1"/>
  <c r="G1369" i="1"/>
  <c r="G1368" i="1"/>
  <c r="G1367" i="1"/>
  <c r="G1366" i="1"/>
  <c r="G1365" i="1"/>
  <c r="G1364" i="1"/>
  <c r="G1363" i="1"/>
  <c r="G1362" i="1"/>
  <c r="G1361" i="1"/>
  <c r="G1360" i="1"/>
  <c r="G1359" i="1"/>
  <c r="G1358" i="1"/>
  <c r="G1357" i="1"/>
  <c r="G1356" i="1"/>
  <c r="G1355" i="1"/>
  <c r="G1354" i="1"/>
  <c r="G1353" i="1"/>
  <c r="G1352" i="1"/>
  <c r="G1351" i="1"/>
  <c r="G1350" i="1"/>
  <c r="G1349" i="1"/>
  <c r="G1348" i="1"/>
  <c r="G1347" i="1"/>
  <c r="G1346" i="1"/>
  <c r="G1345" i="1"/>
  <c r="G1344" i="1"/>
  <c r="G1343" i="1"/>
  <c r="G1342" i="1"/>
  <c r="G1341" i="1"/>
  <c r="G1340" i="1"/>
  <c r="G1339" i="1"/>
  <c r="G1338" i="1"/>
  <c r="G1337" i="1"/>
  <c r="G1336" i="1"/>
  <c r="G1335" i="1"/>
  <c r="G1334" i="1"/>
  <c r="G1333" i="1"/>
  <c r="G1332" i="1"/>
  <c r="G1331" i="1"/>
  <c r="G1330" i="1"/>
  <c r="G1329" i="1"/>
  <c r="G1328" i="1"/>
  <c r="G1327" i="1"/>
  <c r="G1326" i="1"/>
  <c r="G1325" i="1"/>
  <c r="G1324" i="1"/>
  <c r="G1323" i="1"/>
  <c r="G1322" i="1"/>
  <c r="G1321" i="1"/>
  <c r="G1320" i="1"/>
  <c r="G1319" i="1"/>
  <c r="G1318" i="1"/>
  <c r="G1317" i="1"/>
  <c r="G1316" i="1"/>
  <c r="G1315" i="1"/>
  <c r="G1314" i="1"/>
  <c r="G1313" i="1"/>
  <c r="G1312" i="1"/>
  <c r="G1311" i="1"/>
  <c r="G1310" i="1"/>
  <c r="G1309" i="1"/>
  <c r="G1308" i="1"/>
  <c r="G1307" i="1"/>
  <c r="G1306" i="1"/>
  <c r="G1305" i="1"/>
  <c r="G1304" i="1"/>
  <c r="G1303" i="1"/>
  <c r="G1302" i="1"/>
  <c r="G1301" i="1"/>
  <c r="G1300" i="1"/>
  <c r="G1299" i="1"/>
  <c r="G1298" i="1"/>
  <c r="G1297" i="1"/>
  <c r="G1296" i="1"/>
  <c r="G1295" i="1"/>
  <c r="G1294" i="1"/>
  <c r="G1293" i="1"/>
  <c r="G1292" i="1"/>
  <c r="G1291" i="1"/>
  <c r="G1290" i="1"/>
  <c r="G1289" i="1"/>
  <c r="G1288" i="1"/>
  <c r="G1287" i="1"/>
  <c r="G1286" i="1"/>
  <c r="G1285" i="1"/>
  <c r="G1284" i="1"/>
  <c r="G1283" i="1"/>
  <c r="G1282" i="1"/>
  <c r="G1281" i="1"/>
  <c r="G1280" i="1"/>
  <c r="G1279" i="1"/>
  <c r="G1278" i="1"/>
  <c r="G1277" i="1"/>
  <c r="G1276" i="1"/>
  <c r="G1275" i="1"/>
  <c r="G1274" i="1"/>
  <c r="G1273" i="1"/>
  <c r="G1272" i="1"/>
  <c r="G1271" i="1"/>
  <c r="G1270" i="1"/>
  <c r="G1269" i="1"/>
  <c r="G1268" i="1"/>
  <c r="G1267" i="1"/>
  <c r="G1266" i="1"/>
  <c r="G1265" i="1"/>
  <c r="G1264" i="1"/>
  <c r="G1263" i="1"/>
  <c r="G1262" i="1"/>
  <c r="G1261" i="1"/>
  <c r="G1260" i="1"/>
  <c r="G1259" i="1"/>
  <c r="G1258" i="1"/>
  <c r="G1257" i="1"/>
  <c r="G1256" i="1"/>
  <c r="G1255" i="1"/>
  <c r="G1254" i="1"/>
  <c r="G1253" i="1"/>
  <c r="G1252" i="1"/>
  <c r="G1251" i="1"/>
  <c r="G1250" i="1"/>
  <c r="G1249" i="1"/>
  <c r="G1248" i="1"/>
  <c r="G1247" i="1"/>
  <c r="G1246" i="1"/>
  <c r="G1245" i="1"/>
  <c r="G1244" i="1"/>
  <c r="G1243" i="1"/>
  <c r="G1242" i="1"/>
  <c r="G1241" i="1"/>
  <c r="G1240" i="1"/>
  <c r="G1239" i="1"/>
  <c r="G1238" i="1"/>
  <c r="G1237" i="1"/>
  <c r="G1236" i="1"/>
  <c r="G1235" i="1"/>
  <c r="G1234" i="1"/>
  <c r="G1233" i="1"/>
  <c r="G1232" i="1"/>
  <c r="G1231" i="1"/>
  <c r="G1230" i="1"/>
  <c r="G1229" i="1"/>
  <c r="G1228" i="1"/>
  <c r="G1227" i="1"/>
  <c r="G1226" i="1"/>
  <c r="G1225" i="1"/>
  <c r="G1224" i="1"/>
  <c r="G1223" i="1"/>
  <c r="G1222" i="1"/>
  <c r="G1221" i="1"/>
  <c r="G1220" i="1"/>
  <c r="G1219" i="1"/>
  <c r="G1218" i="1"/>
  <c r="G1217" i="1"/>
  <c r="G1216" i="1"/>
  <c r="G1215" i="1"/>
  <c r="G1214" i="1"/>
  <c r="G1213" i="1"/>
  <c r="G1212" i="1"/>
  <c r="G1211" i="1"/>
  <c r="G1210" i="1"/>
  <c r="G1209" i="1"/>
  <c r="G1208" i="1"/>
  <c r="G1207" i="1"/>
  <c r="G1206" i="1"/>
  <c r="G1205" i="1"/>
  <c r="G1204" i="1"/>
  <c r="G1203" i="1"/>
  <c r="G1202" i="1"/>
  <c r="G1201" i="1"/>
  <c r="G1200" i="1"/>
  <c r="G1199" i="1"/>
  <c r="G1198" i="1"/>
  <c r="G1197" i="1"/>
  <c r="G1196" i="1"/>
  <c r="G1195" i="1"/>
  <c r="G1194" i="1"/>
  <c r="G1193" i="1"/>
  <c r="G1192" i="1"/>
  <c r="G1191" i="1"/>
  <c r="G1190" i="1"/>
  <c r="G1189" i="1"/>
  <c r="G1188" i="1"/>
  <c r="G1187" i="1"/>
  <c r="G1186" i="1"/>
  <c r="G1185" i="1"/>
  <c r="G1184" i="1"/>
  <c r="G1183" i="1"/>
  <c r="G1182" i="1"/>
  <c r="G1181" i="1"/>
  <c r="G1180" i="1"/>
  <c r="G1179" i="1"/>
  <c r="G1178" i="1"/>
  <c r="G1177" i="1"/>
  <c r="G1176" i="1"/>
  <c r="G1175" i="1"/>
  <c r="G1174" i="1"/>
  <c r="G1173" i="1"/>
  <c r="G1172" i="1"/>
  <c r="G1171" i="1"/>
  <c r="G1170" i="1"/>
  <c r="G1169" i="1"/>
  <c r="G1168" i="1"/>
  <c r="G1167" i="1"/>
  <c r="G1166" i="1"/>
  <c r="G1165" i="1"/>
  <c r="G1164" i="1"/>
  <c r="G1163" i="1"/>
  <c r="G1162" i="1"/>
  <c r="G1161" i="1"/>
  <c r="G1160" i="1"/>
  <c r="G1159" i="1"/>
  <c r="G1158" i="1"/>
  <c r="G1157" i="1"/>
  <c r="G1156" i="1"/>
  <c r="G1155" i="1"/>
  <c r="G1154" i="1"/>
  <c r="G1153" i="1"/>
  <c r="G1152" i="1"/>
  <c r="G1151" i="1"/>
  <c r="G1150" i="1"/>
  <c r="G1149" i="1"/>
  <c r="G1148" i="1"/>
  <c r="G1147" i="1"/>
  <c r="G1146" i="1"/>
  <c r="G1145" i="1"/>
  <c r="G1144" i="1"/>
  <c r="G1143" i="1"/>
  <c r="G1142" i="1"/>
  <c r="G1141" i="1"/>
  <c r="G1140" i="1"/>
  <c r="G1139" i="1"/>
  <c r="G1138" i="1"/>
  <c r="G1137" i="1"/>
  <c r="G1136" i="1"/>
  <c r="G1135" i="1"/>
  <c r="G1134" i="1"/>
  <c r="G1133" i="1"/>
  <c r="G1132" i="1"/>
  <c r="G1131" i="1"/>
  <c r="G1130" i="1"/>
  <c r="G1129" i="1"/>
  <c r="G1128" i="1"/>
  <c r="G1127" i="1"/>
  <c r="G1126" i="1"/>
  <c r="G1125" i="1"/>
  <c r="G1124" i="1"/>
  <c r="G1123" i="1"/>
  <c r="G1122" i="1"/>
  <c r="G1121" i="1"/>
  <c r="G1120" i="1"/>
  <c r="G1119" i="1"/>
  <c r="G1118" i="1"/>
  <c r="G1117" i="1"/>
  <c r="G1116" i="1"/>
  <c r="G1115" i="1"/>
  <c r="G1114" i="1"/>
  <c r="G1113" i="1"/>
  <c r="G1112" i="1"/>
  <c r="G1111" i="1"/>
  <c r="G1110" i="1"/>
  <c r="G1109" i="1"/>
  <c r="G1108" i="1"/>
  <c r="G1107" i="1"/>
  <c r="G1106" i="1"/>
  <c r="G1105" i="1"/>
  <c r="G1104" i="1"/>
  <c r="G1103" i="1"/>
  <c r="G1102" i="1"/>
  <c r="G1101" i="1"/>
  <c r="G1100" i="1"/>
  <c r="G1099" i="1"/>
  <c r="G1098" i="1"/>
  <c r="G1097" i="1"/>
  <c r="G1096" i="1"/>
  <c r="G1095" i="1"/>
  <c r="G1094" i="1"/>
  <c r="G1093" i="1"/>
  <c r="G1092" i="1"/>
  <c r="G1091" i="1"/>
  <c r="G1090" i="1"/>
  <c r="G1089" i="1"/>
  <c r="G1088" i="1"/>
  <c r="G1087" i="1"/>
  <c r="G1086" i="1"/>
  <c r="G1085" i="1"/>
  <c r="G1084" i="1"/>
  <c r="G1083" i="1"/>
  <c r="G1082" i="1"/>
  <c r="G1081" i="1"/>
  <c r="G1080" i="1"/>
  <c r="G1079" i="1"/>
  <c r="G1078" i="1"/>
  <c r="G1077" i="1"/>
  <c r="G1076" i="1"/>
  <c r="G1075" i="1"/>
  <c r="G1074" i="1"/>
  <c r="G1073" i="1"/>
  <c r="G1072" i="1"/>
  <c r="G1071" i="1"/>
  <c r="G1070" i="1"/>
  <c r="G1069" i="1"/>
  <c r="G1068" i="1"/>
  <c r="G1067" i="1"/>
  <c r="G1066" i="1"/>
  <c r="G1065" i="1"/>
  <c r="G1064" i="1"/>
  <c r="G1063" i="1"/>
  <c r="G1062" i="1"/>
  <c r="G1061" i="1"/>
  <c r="G1060" i="1"/>
  <c r="G1059" i="1"/>
  <c r="G1058" i="1"/>
  <c r="G1057" i="1"/>
  <c r="G1056" i="1"/>
  <c r="G1055" i="1"/>
  <c r="G1054" i="1"/>
  <c r="G1053" i="1"/>
  <c r="G1052" i="1"/>
  <c r="G1051" i="1"/>
  <c r="G1050" i="1"/>
  <c r="G1049" i="1"/>
  <c r="G1048" i="1"/>
  <c r="G1047" i="1"/>
  <c r="G1046" i="1"/>
  <c r="G1045" i="1"/>
  <c r="G1044" i="1"/>
  <c r="G1043" i="1"/>
  <c r="G1042" i="1"/>
  <c r="G1041" i="1"/>
  <c r="G1040" i="1"/>
  <c r="G1039" i="1"/>
  <c r="G1038" i="1"/>
  <c r="G1037" i="1"/>
  <c r="G1036" i="1"/>
  <c r="G1035" i="1"/>
  <c r="G1034" i="1"/>
  <c r="G1033" i="1"/>
  <c r="G1032" i="1"/>
  <c r="G1031" i="1"/>
  <c r="G1030" i="1"/>
  <c r="G1029" i="1"/>
  <c r="G1028" i="1"/>
  <c r="G1027" i="1"/>
  <c r="G1026" i="1"/>
  <c r="G1025" i="1"/>
  <c r="G1024" i="1"/>
  <c r="G1023" i="1"/>
  <c r="G1022" i="1"/>
  <c r="G1021" i="1"/>
  <c r="G1020" i="1"/>
  <c r="G1019" i="1"/>
  <c r="G1018" i="1"/>
  <c r="G1017" i="1"/>
  <c r="G1016" i="1"/>
  <c r="G1015" i="1"/>
  <c r="G1014" i="1"/>
  <c r="G1013" i="1"/>
  <c r="G1012" i="1"/>
  <c r="G1011" i="1"/>
  <c r="G1010" i="1"/>
  <c r="G1009" i="1"/>
  <c r="G1008" i="1"/>
  <c r="G1007" i="1"/>
  <c r="G1006" i="1"/>
  <c r="G1005" i="1"/>
  <c r="G1004" i="1"/>
  <c r="G1003" i="1"/>
  <c r="G1002" i="1"/>
  <c r="G1001" i="1"/>
  <c r="G1000" i="1"/>
  <c r="G999" i="1"/>
  <c r="G998" i="1"/>
  <c r="G997" i="1"/>
  <c r="G996" i="1"/>
  <c r="G995" i="1"/>
  <c r="G994" i="1"/>
  <c r="G993" i="1"/>
  <c r="G992" i="1"/>
  <c r="G991" i="1"/>
  <c r="G990" i="1"/>
  <c r="G989" i="1"/>
  <c r="G988" i="1"/>
  <c r="G987" i="1"/>
  <c r="G986" i="1"/>
  <c r="G985" i="1"/>
  <c r="G984" i="1"/>
  <c r="G983" i="1"/>
  <c r="G982" i="1"/>
  <c r="G981" i="1"/>
  <c r="G980" i="1"/>
  <c r="G979" i="1"/>
  <c r="G978" i="1"/>
  <c r="G977" i="1"/>
  <c r="G976" i="1"/>
  <c r="G975" i="1"/>
  <c r="G974" i="1"/>
  <c r="G973" i="1"/>
  <c r="G972" i="1"/>
  <c r="G971" i="1"/>
  <c r="G970" i="1"/>
  <c r="G969" i="1"/>
  <c r="G968" i="1"/>
  <c r="G967" i="1"/>
  <c r="G966" i="1"/>
  <c r="G965" i="1"/>
  <c r="G964" i="1"/>
  <c r="G963" i="1"/>
  <c r="G962" i="1"/>
  <c r="G961" i="1"/>
  <c r="G960" i="1"/>
  <c r="G959" i="1"/>
  <c r="G958" i="1"/>
  <c r="G957" i="1"/>
  <c r="G956" i="1"/>
  <c r="G955" i="1"/>
  <c r="G954" i="1"/>
  <c r="G953" i="1"/>
  <c r="G952" i="1"/>
  <c r="G951" i="1"/>
  <c r="G950" i="1"/>
  <c r="G949" i="1"/>
  <c r="G948" i="1"/>
  <c r="G947" i="1"/>
  <c r="G946" i="1"/>
  <c r="G945" i="1"/>
  <c r="G944" i="1"/>
  <c r="G943" i="1"/>
  <c r="G942" i="1"/>
  <c r="G941" i="1"/>
  <c r="G940" i="1"/>
  <c r="G939" i="1"/>
  <c r="G938" i="1"/>
  <c r="G937" i="1"/>
  <c r="G936" i="1"/>
  <c r="G935" i="1"/>
  <c r="G934" i="1"/>
  <c r="G933" i="1"/>
  <c r="G932" i="1"/>
  <c r="G931" i="1"/>
  <c r="G930" i="1"/>
  <c r="G929" i="1"/>
  <c r="G928" i="1"/>
  <c r="G927" i="1"/>
  <c r="G926" i="1"/>
  <c r="G925" i="1"/>
  <c r="G924" i="1"/>
  <c r="G923" i="1"/>
  <c r="G922" i="1"/>
  <c r="G921" i="1"/>
  <c r="G920" i="1"/>
  <c r="G919" i="1"/>
  <c r="G918" i="1"/>
  <c r="G917" i="1"/>
  <c r="G916" i="1"/>
  <c r="G915" i="1"/>
  <c r="G914" i="1"/>
  <c r="G913" i="1"/>
  <c r="G912" i="1"/>
  <c r="G911" i="1"/>
  <c r="G910" i="1"/>
  <c r="G909" i="1"/>
  <c r="G908" i="1"/>
  <c r="G907" i="1"/>
  <c r="G906" i="1"/>
  <c r="G905" i="1"/>
  <c r="G904" i="1"/>
  <c r="G903" i="1"/>
  <c r="G902" i="1"/>
  <c r="G901" i="1"/>
  <c r="G900" i="1"/>
  <c r="G899" i="1"/>
  <c r="G898" i="1"/>
  <c r="G897" i="1"/>
  <c r="G896" i="1"/>
  <c r="G895" i="1"/>
  <c r="G894" i="1"/>
  <c r="G893" i="1"/>
  <c r="G892" i="1"/>
  <c r="G891" i="1"/>
  <c r="G890" i="1"/>
  <c r="G889" i="1"/>
  <c r="G888" i="1"/>
  <c r="G887" i="1"/>
  <c r="G886" i="1"/>
  <c r="G885" i="1"/>
  <c r="G884" i="1"/>
  <c r="G883" i="1"/>
  <c r="G882" i="1"/>
  <c r="G881" i="1"/>
  <c r="G880" i="1"/>
  <c r="G879" i="1"/>
  <c r="G878" i="1"/>
  <c r="G877" i="1"/>
  <c r="G876" i="1"/>
  <c r="G875" i="1"/>
  <c r="G874" i="1"/>
  <c r="G873" i="1"/>
  <c r="G872" i="1"/>
  <c r="G871" i="1"/>
  <c r="G870" i="1"/>
  <c r="G869" i="1"/>
  <c r="G868" i="1"/>
  <c r="G867" i="1"/>
  <c r="G866" i="1"/>
  <c r="G865" i="1"/>
  <c r="G864" i="1"/>
  <c r="G863" i="1"/>
  <c r="G862" i="1"/>
  <c r="G861" i="1"/>
  <c r="G860" i="1"/>
  <c r="G859" i="1"/>
  <c r="G858" i="1"/>
  <c r="G857" i="1"/>
  <c r="G856" i="1"/>
  <c r="G855" i="1"/>
  <c r="G854" i="1"/>
  <c r="G853" i="1"/>
  <c r="G852" i="1"/>
  <c r="G851" i="1"/>
  <c r="G850" i="1"/>
  <c r="G849" i="1"/>
  <c r="G848" i="1"/>
  <c r="G847" i="1"/>
  <c r="G846" i="1"/>
  <c r="G845" i="1"/>
  <c r="G844" i="1"/>
  <c r="G843" i="1"/>
  <c r="G842" i="1"/>
  <c r="G841" i="1"/>
  <c r="G840" i="1"/>
  <c r="G839" i="1"/>
  <c r="G838" i="1"/>
  <c r="G837" i="1"/>
  <c r="G836" i="1"/>
  <c r="G835" i="1"/>
  <c r="G834" i="1"/>
  <c r="G833" i="1"/>
  <c r="G832" i="1"/>
  <c r="G831" i="1"/>
  <c r="G830" i="1"/>
  <c r="G829" i="1"/>
  <c r="G828" i="1"/>
  <c r="G827" i="1"/>
  <c r="G826" i="1"/>
  <c r="G825" i="1"/>
  <c r="G824" i="1"/>
  <c r="G823" i="1"/>
  <c r="G822" i="1"/>
  <c r="G821" i="1"/>
  <c r="G820" i="1"/>
  <c r="G819" i="1"/>
  <c r="G818" i="1"/>
  <c r="G817" i="1"/>
  <c r="G816" i="1"/>
  <c r="G815" i="1"/>
  <c r="G814" i="1"/>
  <c r="G813" i="1"/>
  <c r="G812" i="1"/>
  <c r="G811" i="1"/>
  <c r="G810" i="1"/>
  <c r="G809" i="1"/>
  <c r="G808" i="1"/>
  <c r="G807" i="1"/>
  <c r="G806" i="1"/>
  <c r="G805" i="1"/>
  <c r="G804" i="1"/>
  <c r="G803" i="1"/>
  <c r="G802" i="1"/>
  <c r="G801" i="1"/>
  <c r="G800" i="1"/>
  <c r="G799" i="1"/>
  <c r="G798" i="1"/>
  <c r="G797" i="1"/>
  <c r="G796" i="1"/>
  <c r="G795" i="1"/>
  <c r="G794" i="1"/>
  <c r="G793" i="1"/>
  <c r="G792" i="1"/>
  <c r="G791" i="1"/>
  <c r="G790" i="1"/>
  <c r="G789" i="1"/>
  <c r="G788" i="1"/>
  <c r="G787" i="1"/>
  <c r="G786" i="1"/>
  <c r="G785" i="1"/>
  <c r="G784" i="1"/>
  <c r="G783" i="1"/>
  <c r="G782" i="1"/>
  <c r="G781" i="1"/>
  <c r="G780" i="1"/>
  <c r="G779" i="1"/>
  <c r="G778" i="1"/>
  <c r="G777" i="1"/>
  <c r="G776" i="1"/>
  <c r="G775" i="1"/>
  <c r="G774" i="1"/>
  <c r="G773" i="1"/>
  <c r="G772" i="1"/>
  <c r="G771" i="1"/>
  <c r="G770" i="1"/>
  <c r="G769" i="1"/>
  <c r="G768" i="1"/>
  <c r="G767" i="1"/>
  <c r="G766" i="1"/>
  <c r="G765" i="1"/>
  <c r="G764" i="1"/>
  <c r="G763" i="1"/>
  <c r="G762" i="1"/>
  <c r="G761" i="1"/>
  <c r="G760" i="1"/>
  <c r="G759" i="1"/>
  <c r="G758" i="1"/>
  <c r="G757" i="1"/>
  <c r="G756" i="1"/>
  <c r="G755" i="1"/>
  <c r="G754" i="1"/>
  <c r="G753" i="1"/>
  <c r="G752" i="1"/>
  <c r="G751" i="1"/>
  <c r="G750" i="1"/>
  <c r="G749" i="1"/>
  <c r="G748" i="1"/>
  <c r="G747" i="1"/>
  <c r="G746" i="1"/>
  <c r="G745" i="1"/>
  <c r="G744" i="1"/>
  <c r="G743" i="1"/>
  <c r="G742" i="1"/>
  <c r="G741" i="1"/>
  <c r="G740" i="1"/>
  <c r="G739" i="1"/>
  <c r="G738" i="1"/>
  <c r="G737" i="1"/>
  <c r="G736" i="1"/>
  <c r="G735" i="1"/>
  <c r="G734" i="1"/>
  <c r="G733" i="1"/>
  <c r="G732" i="1"/>
  <c r="G731" i="1"/>
  <c r="G730" i="1"/>
  <c r="G729" i="1"/>
  <c r="G728" i="1"/>
  <c r="G727" i="1"/>
  <c r="G726" i="1"/>
  <c r="G725" i="1"/>
  <c r="G724" i="1"/>
  <c r="G723" i="1"/>
  <c r="G722" i="1"/>
  <c r="G721" i="1"/>
  <c r="G720" i="1"/>
  <c r="G719" i="1"/>
  <c r="G718" i="1"/>
  <c r="G717" i="1"/>
  <c r="G716" i="1"/>
  <c r="G715" i="1"/>
  <c r="G714" i="1"/>
  <c r="G713" i="1"/>
  <c r="G712" i="1"/>
  <c r="G711" i="1"/>
  <c r="G710" i="1"/>
  <c r="G709" i="1"/>
  <c r="G708" i="1"/>
  <c r="G707" i="1"/>
  <c r="G706" i="1"/>
  <c r="G705" i="1"/>
  <c r="G704" i="1"/>
  <c r="G703" i="1"/>
  <c r="G702" i="1"/>
  <c r="G701" i="1"/>
  <c r="G700" i="1"/>
  <c r="G699" i="1"/>
  <c r="G698" i="1"/>
  <c r="G697" i="1"/>
  <c r="G696" i="1"/>
  <c r="G695" i="1"/>
  <c r="G694" i="1"/>
  <c r="G693" i="1"/>
  <c r="G692" i="1"/>
  <c r="G691" i="1"/>
  <c r="G690" i="1"/>
  <c r="G689" i="1"/>
  <c r="G688" i="1"/>
  <c r="G687" i="1"/>
  <c r="G686" i="1"/>
  <c r="G685" i="1"/>
  <c r="G684" i="1"/>
  <c r="G683" i="1"/>
  <c r="G682" i="1"/>
  <c r="G681" i="1"/>
  <c r="G680" i="1"/>
  <c r="G679" i="1"/>
  <c r="G678" i="1"/>
  <c r="G677" i="1"/>
  <c r="G676" i="1"/>
  <c r="G675" i="1"/>
  <c r="G674" i="1"/>
  <c r="G673" i="1"/>
  <c r="G672" i="1"/>
  <c r="G671" i="1"/>
  <c r="G670" i="1"/>
  <c r="G669" i="1"/>
  <c r="G668" i="1"/>
  <c r="G667" i="1"/>
  <c r="G666" i="1"/>
  <c r="G665" i="1"/>
  <c r="G664" i="1"/>
  <c r="G663" i="1"/>
  <c r="G662" i="1"/>
  <c r="G661" i="1"/>
  <c r="G660" i="1"/>
  <c r="G659" i="1"/>
  <c r="G658" i="1"/>
  <c r="G657" i="1"/>
  <c r="G656" i="1"/>
  <c r="G655" i="1"/>
  <c r="G654" i="1"/>
  <c r="G653" i="1"/>
  <c r="G652" i="1"/>
  <c r="G651" i="1"/>
  <c r="G650" i="1"/>
  <c r="G649" i="1"/>
  <c r="G648" i="1"/>
  <c r="G647" i="1"/>
  <c r="G646" i="1"/>
  <c r="G645" i="1"/>
  <c r="G644" i="1"/>
  <c r="G643" i="1"/>
  <c r="G642" i="1"/>
  <c r="G641" i="1"/>
  <c r="G640" i="1"/>
  <c r="G639" i="1"/>
  <c r="G638" i="1"/>
  <c r="G637" i="1"/>
  <c r="G636" i="1"/>
  <c r="G635" i="1"/>
  <c r="G634" i="1"/>
  <c r="G633" i="1"/>
  <c r="G632" i="1"/>
  <c r="G631" i="1"/>
  <c r="G630" i="1"/>
  <c r="G629" i="1"/>
  <c r="G628" i="1"/>
  <c r="G627" i="1"/>
  <c r="G626" i="1"/>
  <c r="G625" i="1"/>
  <c r="G624" i="1"/>
  <c r="G623" i="1"/>
  <c r="G622" i="1"/>
  <c r="G621" i="1"/>
  <c r="G620" i="1"/>
  <c r="G619" i="1"/>
  <c r="G618" i="1"/>
  <c r="G617" i="1"/>
  <c r="G616" i="1"/>
  <c r="G615" i="1"/>
  <c r="G614" i="1"/>
  <c r="G613" i="1"/>
  <c r="G612" i="1"/>
  <c r="G611" i="1"/>
  <c r="G610" i="1"/>
  <c r="G609" i="1"/>
  <c r="G608" i="1"/>
  <c r="G607" i="1"/>
  <c r="G606" i="1"/>
  <c r="G605" i="1"/>
  <c r="G604" i="1"/>
  <c r="G603" i="1"/>
  <c r="G602" i="1"/>
  <c r="G601" i="1"/>
  <c r="G600" i="1"/>
  <c r="G599" i="1"/>
  <c r="G598" i="1"/>
  <c r="G597" i="1"/>
  <c r="G596" i="1"/>
  <c r="G595" i="1"/>
  <c r="G594" i="1"/>
  <c r="G593" i="1"/>
  <c r="G592" i="1"/>
  <c r="G591" i="1"/>
  <c r="G590" i="1"/>
  <c r="G589" i="1"/>
  <c r="G588" i="1"/>
  <c r="G587" i="1"/>
  <c r="G586" i="1"/>
  <c r="G585" i="1"/>
  <c r="G584" i="1"/>
  <c r="G583" i="1"/>
  <c r="G582" i="1"/>
  <c r="G581" i="1"/>
  <c r="G580" i="1"/>
  <c r="G579" i="1"/>
  <c r="G578" i="1"/>
  <c r="G577" i="1"/>
  <c r="G576" i="1"/>
  <c r="G575" i="1"/>
  <c r="G574" i="1"/>
  <c r="G573" i="1"/>
  <c r="G572" i="1"/>
  <c r="G571" i="1"/>
  <c r="G570" i="1"/>
  <c r="G569" i="1"/>
  <c r="G568" i="1"/>
  <c r="G567" i="1"/>
  <c r="G566" i="1"/>
  <c r="G565" i="1"/>
  <c r="G564" i="1"/>
  <c r="G563" i="1"/>
  <c r="G562" i="1"/>
  <c r="G561" i="1"/>
  <c r="G560" i="1"/>
  <c r="G559" i="1"/>
  <c r="G558" i="1"/>
  <c r="G557" i="1"/>
  <c r="G556" i="1"/>
  <c r="G555" i="1"/>
  <c r="G554" i="1"/>
  <c r="G553" i="1"/>
  <c r="G552" i="1"/>
  <c r="G551" i="1"/>
  <c r="G550" i="1"/>
  <c r="G549" i="1"/>
  <c r="G548" i="1"/>
  <c r="G547" i="1"/>
  <c r="G546" i="1"/>
  <c r="G545" i="1"/>
  <c r="G544" i="1"/>
  <c r="G543" i="1"/>
  <c r="G542" i="1"/>
  <c r="G541" i="1"/>
  <c r="G540" i="1"/>
  <c r="G539" i="1"/>
  <c r="G538" i="1"/>
  <c r="G537" i="1"/>
  <c r="G536" i="1"/>
  <c r="G535" i="1"/>
  <c r="G534" i="1"/>
  <c r="G533" i="1"/>
  <c r="G532" i="1"/>
  <c r="G531" i="1"/>
  <c r="G530" i="1"/>
  <c r="G529" i="1"/>
  <c r="G528" i="1"/>
  <c r="G527" i="1"/>
  <c r="G526" i="1"/>
  <c r="G525" i="1"/>
  <c r="G524" i="1"/>
  <c r="G523" i="1"/>
  <c r="G522" i="1"/>
  <c r="G521" i="1"/>
  <c r="G520" i="1"/>
  <c r="G519" i="1"/>
  <c r="G518" i="1"/>
  <c r="G517" i="1"/>
  <c r="G516" i="1"/>
  <c r="G515" i="1"/>
  <c r="G514" i="1"/>
  <c r="G513" i="1"/>
  <c r="G512" i="1"/>
  <c r="G511" i="1"/>
  <c r="G510" i="1"/>
  <c r="G509" i="1"/>
  <c r="G508" i="1"/>
  <c r="G507" i="1"/>
  <c r="G506" i="1"/>
  <c r="G505" i="1"/>
  <c r="G504" i="1"/>
  <c r="G503" i="1"/>
  <c r="G502" i="1"/>
  <c r="G501" i="1"/>
  <c r="G500" i="1"/>
  <c r="G499" i="1"/>
  <c r="G498" i="1"/>
  <c r="G497" i="1"/>
  <c r="G496" i="1"/>
  <c r="G495" i="1"/>
  <c r="G494" i="1"/>
  <c r="G493" i="1"/>
  <c r="G492" i="1"/>
  <c r="G491" i="1"/>
  <c r="G490" i="1"/>
  <c r="G489" i="1"/>
  <c r="G488" i="1"/>
  <c r="G487" i="1"/>
  <c r="G486" i="1"/>
  <c r="G485" i="1"/>
  <c r="G484" i="1"/>
  <c r="G483" i="1"/>
  <c r="G482" i="1"/>
  <c r="G481" i="1"/>
  <c r="G480" i="1"/>
  <c r="G479" i="1"/>
  <c r="G478" i="1"/>
  <c r="G477" i="1"/>
  <c r="G476" i="1"/>
  <c r="G475" i="1"/>
  <c r="G474" i="1"/>
  <c r="G473" i="1"/>
  <c r="G472" i="1"/>
  <c r="G471" i="1"/>
  <c r="G470" i="1"/>
  <c r="G469" i="1"/>
  <c r="G468" i="1"/>
  <c r="G467" i="1"/>
  <c r="G466" i="1"/>
  <c r="G465" i="1"/>
  <c r="G464" i="1"/>
  <c r="G463" i="1"/>
  <c r="G462" i="1"/>
  <c r="G461" i="1"/>
  <c r="G460" i="1"/>
  <c r="G459" i="1"/>
  <c r="G458" i="1"/>
  <c r="G457" i="1"/>
  <c r="G456" i="1"/>
  <c r="G455" i="1"/>
  <c r="G454" i="1"/>
  <c r="G453" i="1"/>
  <c r="G452" i="1"/>
  <c r="G451" i="1"/>
  <c r="G450" i="1"/>
  <c r="G449" i="1"/>
  <c r="G448" i="1"/>
  <c r="G447" i="1"/>
  <c r="G446" i="1"/>
  <c r="G445" i="1"/>
  <c r="G444" i="1"/>
  <c r="G443" i="1"/>
  <c r="G442" i="1"/>
  <c r="G441" i="1"/>
  <c r="G440" i="1"/>
  <c r="G439" i="1"/>
  <c r="G438" i="1"/>
  <c r="G437" i="1"/>
  <c r="G436" i="1"/>
  <c r="G435" i="1"/>
  <c r="G434" i="1"/>
  <c r="G433" i="1"/>
  <c r="G432" i="1"/>
  <c r="G431" i="1"/>
  <c r="G430" i="1"/>
  <c r="G429" i="1"/>
  <c r="G428" i="1"/>
  <c r="G427" i="1"/>
  <c r="G426" i="1"/>
  <c r="G425" i="1"/>
  <c r="G424" i="1"/>
  <c r="G423" i="1"/>
  <c r="G422" i="1"/>
  <c r="G421" i="1"/>
  <c r="G420" i="1"/>
  <c r="G419" i="1"/>
  <c r="G418" i="1"/>
  <c r="G417" i="1"/>
  <c r="G416" i="1"/>
  <c r="G415" i="1"/>
  <c r="G414" i="1"/>
  <c r="G413" i="1"/>
  <c r="G412" i="1"/>
  <c r="G411" i="1"/>
  <c r="G410" i="1"/>
  <c r="G409" i="1"/>
  <c r="G408" i="1"/>
  <c r="G407" i="1"/>
  <c r="G406" i="1"/>
  <c r="G405" i="1"/>
  <c r="G404" i="1"/>
  <c r="G403" i="1"/>
  <c r="G402" i="1"/>
  <c r="G401" i="1"/>
  <c r="G400" i="1"/>
  <c r="G399" i="1"/>
  <c r="G398" i="1"/>
  <c r="G397" i="1"/>
  <c r="G396" i="1"/>
  <c r="G395" i="1"/>
  <c r="G394" i="1"/>
  <c r="G393" i="1"/>
  <c r="G392" i="1"/>
  <c r="G391" i="1"/>
  <c r="G390" i="1"/>
  <c r="G389" i="1"/>
  <c r="G388" i="1"/>
  <c r="G387" i="1"/>
  <c r="G386" i="1"/>
  <c r="G385" i="1"/>
  <c r="G384" i="1"/>
  <c r="G383" i="1"/>
  <c r="G382" i="1"/>
  <c r="G381" i="1"/>
  <c r="G380" i="1"/>
  <c r="G379" i="1"/>
  <c r="G378" i="1"/>
  <c r="G377" i="1"/>
  <c r="G376" i="1"/>
  <c r="G375" i="1"/>
  <c r="G374" i="1"/>
  <c r="G373" i="1"/>
  <c r="G372" i="1"/>
  <c r="G371" i="1"/>
  <c r="G370" i="1"/>
  <c r="G369" i="1"/>
  <c r="G368" i="1"/>
  <c r="G367" i="1"/>
  <c r="G366" i="1"/>
  <c r="G365" i="1"/>
  <c r="G364" i="1"/>
  <c r="G363" i="1"/>
  <c r="G362" i="1"/>
  <c r="G361" i="1"/>
  <c r="G360" i="1"/>
  <c r="G359" i="1"/>
  <c r="G358" i="1"/>
  <c r="G357" i="1"/>
  <c r="G356" i="1"/>
  <c r="G355" i="1"/>
  <c r="G354" i="1"/>
  <c r="G353" i="1"/>
  <c r="G352" i="1"/>
  <c r="G351" i="1"/>
  <c r="G350" i="1"/>
  <c r="G349" i="1"/>
  <c r="G348" i="1"/>
  <c r="G347" i="1"/>
  <c r="G346" i="1"/>
  <c r="G345" i="1"/>
  <c r="G344" i="1"/>
  <c r="G343" i="1"/>
  <c r="G342" i="1"/>
  <c r="G341" i="1"/>
  <c r="G340" i="1"/>
  <c r="G339" i="1"/>
  <c r="G338" i="1"/>
  <c r="G337" i="1"/>
  <c r="G336" i="1"/>
  <c r="G335" i="1"/>
  <c r="G334" i="1"/>
  <c r="G333" i="1"/>
  <c r="G332" i="1"/>
  <c r="G331" i="1"/>
  <c r="G330" i="1"/>
  <c r="G329" i="1"/>
  <c r="G328" i="1"/>
  <c r="G327" i="1"/>
  <c r="G326" i="1"/>
  <c r="G325" i="1"/>
  <c r="G324" i="1"/>
  <c r="G323" i="1"/>
  <c r="G322" i="1"/>
  <c r="G321" i="1"/>
  <c r="G320" i="1"/>
  <c r="G319" i="1"/>
  <c r="G318" i="1"/>
  <c r="G317" i="1"/>
  <c r="G316" i="1"/>
  <c r="G315" i="1"/>
  <c r="G314" i="1"/>
  <c r="G313" i="1"/>
  <c r="G312" i="1"/>
  <c r="G311" i="1"/>
  <c r="G310" i="1"/>
  <c r="G309" i="1"/>
  <c r="G308" i="1"/>
  <c r="G307" i="1"/>
  <c r="G306" i="1"/>
  <c r="G305" i="1"/>
  <c r="G304" i="1"/>
  <c r="G303" i="1"/>
  <c r="G302" i="1"/>
  <c r="G301" i="1"/>
  <c r="G300" i="1"/>
  <c r="G299" i="1"/>
  <c r="G298" i="1"/>
  <c r="G297" i="1"/>
  <c r="G296" i="1"/>
  <c r="G295" i="1"/>
  <c r="G294" i="1"/>
  <c r="G293" i="1"/>
  <c r="G292" i="1"/>
  <c r="G291" i="1"/>
  <c r="G290" i="1"/>
  <c r="G289"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3" i="1"/>
  <c r="G232" i="1"/>
  <c r="G231" i="1"/>
  <c r="G230" i="1"/>
  <c r="G229" i="1"/>
  <c r="G228" i="1"/>
  <c r="G227" i="1"/>
  <c r="G226" i="1"/>
  <c r="G225" i="1"/>
  <c r="G224" i="1"/>
  <c r="G223" i="1"/>
  <c r="G222"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9"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alcChain>
</file>

<file path=xl/sharedStrings.xml><?xml version="1.0" encoding="utf-8"?>
<sst xmlns="http://schemas.openxmlformats.org/spreadsheetml/2006/main" count="43610" uniqueCount="2845">
  <si>
    <t>REACH Ukraine | Multi-Sector Needs Assessment (MSNA) 2025 | National Frequency Tables</t>
  </si>
  <si>
    <t>Items</t>
  </si>
  <si>
    <t>Description</t>
  </si>
  <si>
    <t xml:space="preserve">Background &amp; Rationale </t>
  </si>
  <si>
    <t>Three years after the escalation of the war in February 2022, the humanitarian crisis in Ukraine remains severe and complex. The 2025 Humanitarian Needs and Response Plan (HNRP) estimates that 12.7 million people—one in three Ukrainians—require humanitarian assistance. As of June 2025, there were 3.8 million internally displaced people, 4.1 million returnees, and 5.6 million Ukrainian refugees worldwide. Hostilities continue in the North, East, and South, while missile and drone attacks intensified in April–May 2025, increasing civilian casualties. Ongoing attacks on infrastructure and productive assets from 2024 to 2025 have disrupted essential services such as electricity, heating, water, sanitation, healthcare, and education. REACH’s 2024 Multi-Sector Needs Assessment (MSNA) found widespread needs nationwide, with over 80% of households in need in at least one sector and 29% in extreme need. The conflict has worsened socioeconomic vulnerabilities, particularly in livelihoods, protection, and health, with frontline and border areas most affected. Needs also vary by age, gender, and disability.
The current situation has been further strained by a sudden and significant decrease in humanitarian funding due to the United States Government’s suspension of humanitarian programmes in January 2025. To adapt to these shifting circumstances, the humanitarian community in Ukraine carried out a re-prioritization of the 2025 HNRP, structured around four strategic priorities: (i) supporting the most vulnerable in front line regions, (ii) supporting evacuations, (iii) emergency response after strikes, and (iv) assisting the most vulnerable among the IDPs.
Against this backdrop of widespread vulnerabilities, decreased funding capacities, and new strategic priorities of the humanitarian response in Ukraine, REACH Ukraine implemented the 2025 MSNA in collaboration with the Inter-Cluster Coordination Group (ICCG) and the United Nations Office for the Coordination of Humanitarian Affairs (OCHA) to gather updated and accurate information on needs and vulnerabilities and continue informing the humanitarian response.
The 2025 MSNA intends to provide updated and representative multi-sectoral data on the current humanitarian situation in Ukraine to inform strategic decision-making of the HCT, ICCG, and Humanitarian Clusters and to guide the programmatic and operational planning of international and local partners. In Ukraine, the MSNA is a key source of evidence for humanitarian response planning and is expected to directly inform the 2026 HNRP, including People-in-Need (PiN) calculations, severity rankings, and geographic targeting. The assessment gathers individual- and household-level data to measure the prevalence and severity of needs, along with their underlying drivers. It explores how needs differ by geographic area and key demographic characteristics, including gender, age, disability, household composition, and displacement status. Additionally, the MSNA collects information on accountability to affected populations offering insights into the impact of reduced humanitarian funding on affected communities.
The 2025 MSNA contributes to building an evidence base in support to the strategic priorities of the re-prioritized humanitarian planning, providing granular data to measure humanitarian needs along the front line and border regions, and measuring variations in severity and prevalence of needs among conflict affected displaced groups (e.g. returnee households, IDP households), in an attempt to inform the identification and targeting of the most vulnerable along the frontline and IDP households. REACH conducted the 2025 MSNA building upon the 2024 Ukraine MSNA, in collaboration with the ICCG, and in alignment with UN OCHA.</t>
  </si>
  <si>
    <t>Data Collection Period</t>
  </si>
  <si>
    <t>22/07/2025 to 18/08/2025</t>
  </si>
  <si>
    <t>Geographic Coverage</t>
  </si>
  <si>
    <t>Whole of Ukraine, with the exception of households in settlements not under control of the Government of Ukraine during the course of data collection.</t>
  </si>
  <si>
    <t>Methodology &amp; Sampling</t>
  </si>
  <si>
    <t>The 2025 MSNA employed a quantitative methodology to collect household-level data using randomized Computer-Assisted Telephone Interview (CATI) surveys. In this approach, trained interviewers conducted voice-call interviews with respondents selected from a randomized list of phone numbers, aiming to reach predetermined quotas in each stratum. Data collection was carried out by Kyiv International Institute of Sociology (KIIS).
The 2025 MSNA adopted stratified random sampling with geographic stratifications. REACH developed the sampling approach to balance constraints related to timeline, budget, and resources, while ensuring nationwide coverage. At the same time, the design reflects the re-prioritization of humanitarian planning in Ukraine, which focuses heavily on identifying the most vulnerable households and planning activities near the front line. To provide granular data on humanitarian needs in frontline and border areas, 18 strata were defined to support this balanced approach.
Households in non-frontline oblasts (North, West, and Centre) were stratified at the macro-region level, while Kyiv was treated as a separate stratum due to its population size. Households in frontline oblasts were stratified into two groups: (i) areas within 50 km of the frontline or border with the Russian Federation, and (ii) areas beyond 50 km from the frontline or border with the Russian Federation. In Odeska, Zaporizka, and Khersonska oblasts, stratification was applied at the oblast level, as only a few settlements in Odeska fall within the 50 km zone, while the non-occupied areas of Zaporizka and Khersonska are located almost entirely within 50 km of the frontline.
REACH conducted 2,813 household-level CATI interviews. The sampling approach ensured representativeness at least at 95% confidence level (CL) and ±9% MoE.
• West, North, Centre, Kyiv, Dnipropetrovska (0–50 km), Donetska, Mykolaivska (0–50 km), and Zaporizka oblasts: representative at the 95% confidence level (CL) with an ±8% margin of error (MoE).
• Chernihivska (0–50 km and beyond 50 km), Dnipropetrovska (beyond 50 km), Kharkivska (beyond 50 km), Mykolaivska (beyond 50 km), Odeska (beyond 50 km), Sumska (beyond 50 km), Kherson oblast: representative at 95% CL with a ±9% MoE.
• Kharkivska (0–50 km): representative at 95% CL with a ±6% MoE.
• Sumska (0–50 km): representative at 95% CL with a ±7% MoE.
Differences in the margin of error reflect adjustments made during data collection to address challenges linked to the research design and identification of households through CATI. For additional details, including methodological limitations, please refer to the MSNA Terms of Reference: https://repository.impact-initiatives.org/document/impact/3852ffde/REACH_UKR_Terms-of-Reference_UKR2502_June-2025_external.pdf</t>
  </si>
  <si>
    <t>Contacts</t>
  </si>
  <si>
    <t>Carla Curreli carla.curreli@impact-initiatives.org</t>
  </si>
  <si>
    <t>Mariia Chupikova mariia.chupikova@reach-initiative.org</t>
  </si>
  <si>
    <t>Mackenzie Seaman mackenzie.seaman@impact-initiatives.org </t>
  </si>
  <si>
    <t>Product Navigation and Disaggregations</t>
  </si>
  <si>
    <t>Sheets</t>
  </si>
  <si>
    <t>Sheet 1 - READ_ME</t>
  </si>
  <si>
    <t>Project description</t>
  </si>
  <si>
    <t>Sheet 2 - Table of Contents</t>
  </si>
  <si>
    <t xml:space="preserve">The Table of Contents displays the links to relevant Frequency Tables. To filter the tables of interest, select the (i) sector, and (ii) indicator of interest, using the slicers above the table. Click the links in the "Link to Frequency Table" column to access the data. </t>
  </si>
  <si>
    <t>Sheet 3 - Data</t>
  </si>
  <si>
    <t>The Data sheet contains the Frequency Tables.</t>
  </si>
  <si>
    <t>TO FILTER RELEVANT FREQUENCY TABLES:</t>
  </si>
  <si>
    <r>
      <t xml:space="preserve">STEP 1: SELECT THE </t>
    </r>
    <r>
      <rPr>
        <b/>
        <sz val="14"/>
        <color rgb="FFFF0000"/>
        <rFont val="Calibri"/>
        <family val="2"/>
        <scheme val="minor"/>
      </rPr>
      <t>SECTOR</t>
    </r>
  </si>
  <si>
    <r>
      <t xml:space="preserve">STEP 2: SELECT THE </t>
    </r>
    <r>
      <rPr>
        <b/>
        <sz val="14"/>
        <color rgb="FFFF0000"/>
        <rFont val="Calibri"/>
        <family val="2"/>
        <scheme val="minor"/>
      </rPr>
      <t>INDICATOR OF INTEREST</t>
    </r>
  </si>
  <si>
    <r>
      <t xml:space="preserve">STEP 3: SELECT THE </t>
    </r>
    <r>
      <rPr>
        <b/>
        <sz val="14"/>
        <color rgb="FFFF0000"/>
        <rFont val="Calibri"/>
        <family val="2"/>
        <scheme val="minor"/>
      </rPr>
      <t xml:space="preserve">DISAGGREGATION </t>
    </r>
    <r>
      <rPr>
        <b/>
        <sz val="14"/>
        <rFont val="Calibri"/>
        <family val="2"/>
        <scheme val="minor"/>
      </rPr>
      <t>OF INTEREST</t>
    </r>
  </si>
  <si>
    <r>
      <t>Applicable</t>
    </r>
    <r>
      <rPr>
        <sz val="12"/>
        <color rgb="FF000000"/>
        <rFont val="Calibri"/>
        <family val="2"/>
        <scheme val="minor"/>
      </rPr>
      <t xml:space="preserve"> indicators by sector will appear in red in the slicer </t>
    </r>
  </si>
  <si>
    <r>
      <t>Applicable</t>
    </r>
    <r>
      <rPr>
        <sz val="12"/>
        <color rgb="FF000000"/>
        <rFont val="Calibri"/>
        <family val="2"/>
        <scheme val="minor"/>
      </rPr>
      <t xml:space="preserve"> disaggregations by indicator will appear in red in the slicer </t>
    </r>
  </si>
  <si>
    <t>Sector</t>
  </si>
  <si>
    <t>Indicator</t>
  </si>
  <si>
    <t>Disaggregation</t>
  </si>
  <si>
    <t>ID</t>
  </si>
  <si>
    <t>Link to Frequency Table</t>
  </si>
  <si>
    <t>Demographics</t>
  </si>
  <si>
    <t>Household members by age group</t>
  </si>
  <si>
    <t>overall</t>
  </si>
  <si>
    <t>Household members by gender</t>
  </si>
  <si>
    <t>Households by urbanity (urban, rural location)</t>
  </si>
  <si>
    <t>Households with at least one member with a registered or reported disability</t>
  </si>
  <si>
    <t>Households by size</t>
  </si>
  <si>
    <t>Households by presence of children (&lt;18 y.o.)</t>
  </si>
  <si>
    <t>Households by age of adults in the households</t>
  </si>
  <si>
    <t>Households by caregiving status</t>
  </si>
  <si>
    <t>Households by displacement status of head of household</t>
  </si>
  <si>
    <t>Households by gender of head of household</t>
  </si>
  <si>
    <t>Percentage of households by marital status of head of household</t>
  </si>
  <si>
    <t>Percentage of households by education level of head of household</t>
  </si>
  <si>
    <t>Livelihoods</t>
  </si>
  <si>
    <t>Employment status of household members (&gt;15 y.o.) in the past four weeks</t>
  </si>
  <si>
    <t>Percentage of household members (&gt;15 y.o. and &lt;75) who sought a job in the past 4 weeks</t>
  </si>
  <si>
    <t>by employment age of household members</t>
  </si>
  <si>
    <t>by gender of household members</t>
  </si>
  <si>
    <t>Employment barriers faced by household members (&gt;15 y.o. and &lt; 75 y.o.) that sought a job in the past 4 weeks, by type</t>
  </si>
  <si>
    <t>by gender and age of household members</t>
  </si>
  <si>
    <t>Education</t>
  </si>
  <si>
    <t>School-aged children (3-17 y.o.) attending school or early education program during 2024-2025 school year</t>
  </si>
  <si>
    <t>by households with at least one member with a reported and/or registered disability</t>
  </si>
  <si>
    <t>by urbanity</t>
  </si>
  <si>
    <t>by household size</t>
  </si>
  <si>
    <t>by income per capita (quartiles)</t>
  </si>
  <si>
    <t>by gender of head of household</t>
  </si>
  <si>
    <t>by age of adults in the households</t>
  </si>
  <si>
    <t>by displacement status of head of household</t>
  </si>
  <si>
    <t>by IDP household</t>
  </si>
  <si>
    <t>by proximity to frontline/border with Russian Federation</t>
  </si>
  <si>
    <t>by age of school-aged children</t>
  </si>
  <si>
    <t>by gender of school-aged children</t>
  </si>
  <si>
    <t>by gender and age of school-aged children</t>
  </si>
  <si>
    <t>School-aged children (3-17 y.o.) attending school or early education program by main education modality during 2024-2025 school year</t>
  </si>
  <si>
    <t>School-aged children (3-17 y.o.) attending school or early education program by grade during 2024-2025 school year</t>
  </si>
  <si>
    <t>Percentage of school-aged children (3-17 y.o.) by reasons for not attending school in 2024-2025 school year</t>
  </si>
  <si>
    <t>Percentage of school-aged children (3-17 y.o.) whose education was disrupted due to school damage</t>
  </si>
  <si>
    <t xml:space="preserve">Percentage of school-aged children (3-17 y.o.) whose education was disrupted due to displacement/evacuation/return </t>
  </si>
  <si>
    <t>Health</t>
  </si>
  <si>
    <t>Percentage of household members who needed to access healthcare in the past 3 months</t>
  </si>
  <si>
    <t>by households with at least one child (&lt;18 y.o.)</t>
  </si>
  <si>
    <t xml:space="preserve">by caregiving status </t>
  </si>
  <si>
    <t>by age of household members</t>
  </si>
  <si>
    <t>by age and gender of household members</t>
  </si>
  <si>
    <t xml:space="preserve">Percentage of household members able to obtain all healthcare in the past 3 months </t>
  </si>
  <si>
    <t>Percentage of household members unable to obtain all healthcare in the past 3 months, by type of need</t>
  </si>
  <si>
    <t>Average travel time to nearest functioning health facility (minutes)</t>
  </si>
  <si>
    <t>Households with members with chronic conditions requiring regular medication</t>
  </si>
  <si>
    <t>Households with members with chronic conditions requiring regular medication, by frequency of disrupted access to healthcare for chronic conditions in the past 3 months</t>
  </si>
  <si>
    <t>Percentage of households by barriers preventing access to health care in the past 3 months</t>
  </si>
  <si>
    <t>MHPSS</t>
  </si>
  <si>
    <t>Percentage of households feeling emotionally unwell (2+ weeks in the past 6 months)</t>
  </si>
  <si>
    <t>Percentage of households feeling emotionally unwell (2+ weeks in the past 6 months), by experienced difficulty in completing day-to-day activities</t>
  </si>
  <si>
    <t>Percentage of households feeling emotionally unwell that received mental health or psychosocial support/services, by type</t>
  </si>
  <si>
    <t>Percentage of households with at least one member with registered disability, by type</t>
  </si>
  <si>
    <t>Percentage of households with at least one member that has difficulties seeing</t>
  </si>
  <si>
    <t>Percentage of households with at least one member that has difficulties hearing</t>
  </si>
  <si>
    <t>Percentage of households with at least one member that has difficulties walking</t>
  </si>
  <si>
    <t>Percentage of households with at least one member that has difficulties concentrating</t>
  </si>
  <si>
    <t>Percentage of households with at least one member that has difficulties performing self-care</t>
  </si>
  <si>
    <t>Percentage of households with at least one member that has difficulties communicating</t>
  </si>
  <si>
    <t>Percentage of households with school-aged children (3-17 y.o.) whose education was disrupted monthly by prolonged or repetitive air alerts during the 2024-2025 school year</t>
  </si>
  <si>
    <t>Percentage of households by time adults spend on supporting children's education</t>
  </si>
  <si>
    <t>Displacement</t>
  </si>
  <si>
    <t>Percentage of households by displacement status of head of household</t>
  </si>
  <si>
    <t>Households which are IDPs, by duration of most recent displacement (months)</t>
  </si>
  <si>
    <t>Households which are returnees, by duration of displacement before return (months)</t>
  </si>
  <si>
    <t>Households which are returnees, by length since most recent return (months)</t>
  </si>
  <si>
    <t>Households which are IDPs, by duration in current place of residence (months)</t>
  </si>
  <si>
    <t>Households which are displaced within settlements, by duration of most recent displacement (months)</t>
  </si>
  <si>
    <t>Percentage of displaced households by oblast of origin</t>
  </si>
  <si>
    <t>Percentage of households with at least one member with IDP certificate/receiving IDP payments</t>
  </si>
  <si>
    <t>Percentage of returnee households by reasons for return to their habitual place of residence</t>
  </si>
  <si>
    <t>Percentage of households who were evacuated in the past 6 months</t>
  </si>
  <si>
    <t>Cash and Markets</t>
  </si>
  <si>
    <t>Households reporting expenditures in the last 30 days, by type</t>
  </si>
  <si>
    <t>Household Domestic Expenditure over the last 30 days, by type and amount</t>
  </si>
  <si>
    <t>Monthly household expenditures on heating last winter</t>
  </si>
  <si>
    <t>Households reporting  long term expenditures in the past 6 months, by type</t>
  </si>
  <si>
    <t>Household Domestic Expenditure over the last 6 months, by type and amount</t>
  </si>
  <si>
    <t>Total monthly expenditures per capita</t>
  </si>
  <si>
    <t>SNFI</t>
  </si>
  <si>
    <t>Percentage of households reporting completely lacking essential non-food items in the last 3 months, by type</t>
  </si>
  <si>
    <t>Households reporting primary income sources over the last 30 days, by type of income source</t>
  </si>
  <si>
    <t>Household income per capita over the 30 days prior to data collection, by types of income source</t>
  </si>
  <si>
    <t>Total monthly income per capita</t>
  </si>
  <si>
    <t>Households receiving income from remittances/family and friends in Ukraine/community members, by regularity</t>
  </si>
  <si>
    <t>Percentage of households who have become indebted since 2024</t>
  </si>
  <si>
    <t>Percentage of households who are currently indebted, by reason</t>
  </si>
  <si>
    <t>Percentage of households earning an income from own production, by challenges experienced</t>
  </si>
  <si>
    <t>Households adopting Livelihood Coping Strategies, by strategy</t>
  </si>
  <si>
    <t>Households using Livelihood Coping Strategies, by main reason</t>
  </si>
  <si>
    <t>Livelihood Coping Strategy - Essential Needs (LCS-EN)</t>
  </si>
  <si>
    <t>Protection</t>
  </si>
  <si>
    <t>Households exposed to armed violence/artillery shelling in the last 3 months</t>
  </si>
  <si>
    <t>by gender of respondent</t>
  </si>
  <si>
    <t>by age of respondents</t>
  </si>
  <si>
    <t>by gender and age of respondents</t>
  </si>
  <si>
    <t xml:space="preserve">Households exposed to armed violence/artillery shelling in the last 3 months, by frequency </t>
  </si>
  <si>
    <t>Households exposed to drone/missile attacks in last 3 months</t>
  </si>
  <si>
    <t>Households exposed to drone/missile attacks in past 3 months, by frequency</t>
  </si>
  <si>
    <t>Households exposed to other safety and security incidents in the last 3 months, by type</t>
  </si>
  <si>
    <t>Households reporting being concerned about having any HH member engaging in risky activities due to economic needs, by frequency</t>
  </si>
  <si>
    <t>Households reporting being concerned about being forced to flee, by frequency</t>
  </si>
  <si>
    <t>Households reporting being concerned about violence in the community, not related to the conflict, by frequency</t>
  </si>
  <si>
    <t>Households reporting being concerned about persecution/discrimination, by frequency</t>
  </si>
  <si>
    <t>Households reporting being concerned about kidnapping/detention/abduction, by frequency</t>
  </si>
  <si>
    <t>Households by reported safety and security concerns for WOMEN in the area, by concern</t>
  </si>
  <si>
    <t>Percentage of female respondents reporting that at least one female member of their household felt unsafe walking in their community, by frequency</t>
  </si>
  <si>
    <t>Percentage of households reporting areas/places that women and girls usually avoid, by type</t>
  </si>
  <si>
    <t>Households by reported safety and security concerns for MEN in the area, by concern</t>
  </si>
  <si>
    <t>Households by reported safety and security concerns for CHILDREN in the area, by concern</t>
  </si>
  <si>
    <t>Housing/land/property (HLP) concerns of households, by concern</t>
  </si>
  <si>
    <t>Households by presence of explosive ordnance present in community</t>
  </si>
  <si>
    <t>Households reporting that explosive ordnances affect the livelihoods of people in the community</t>
  </si>
  <si>
    <t>Households by frequency of training/awareness on safe behaviours towards Explosive Ordnances</t>
  </si>
  <si>
    <t>Percentage of households by current shelter situation</t>
  </si>
  <si>
    <t xml:space="preserve">Percentage of households by current shelter type </t>
  </si>
  <si>
    <t>Shelter size (squared meters)</t>
  </si>
  <si>
    <t>Number of individuals sharing a shelter</t>
  </si>
  <si>
    <t>Percentage of households by occupancy arrangement of current shelter</t>
  </si>
  <si>
    <t>Percentage of households feeling at risk of eviction within the next 6 months</t>
  </si>
  <si>
    <t>Percentage of households currently threatened with eviction</t>
  </si>
  <si>
    <t>Percentage of households by current shelter issues that were NOT caused by the war, by issue</t>
  </si>
  <si>
    <t>Percentage of households reporting damage to current shelter caused by the war since February 2022</t>
  </si>
  <si>
    <t>Percentage of households reporting that the damage to the current shelter caused by the war was REPAIRED</t>
  </si>
  <si>
    <t xml:space="preserve">Percentage of households reporting that the damage to current shelter was not repaired, by reason </t>
  </si>
  <si>
    <t>Percentage of households reporting damage to current shelter caused by the war, by severity</t>
  </si>
  <si>
    <t>Percentage of households reporting enough space/essential items so that the members of the households can cook</t>
  </si>
  <si>
    <t>Percentage of households reporting enough space/essential items so that the members of the households can sleep</t>
  </si>
  <si>
    <t>Percentage of households reporting enough space/essential items so that the members of the households can store food</t>
  </si>
  <si>
    <t>Households by main heating source in 2024-2025 winter season</t>
  </si>
  <si>
    <t>Households by main source of lighting</t>
  </si>
  <si>
    <t>Households by issue faced with electricity</t>
  </si>
  <si>
    <t>Households experiencing utility interruptions in the past three months, by utility type</t>
  </si>
  <si>
    <t>Households by access to alternative source of power</t>
  </si>
  <si>
    <t>Households with access to the internet in the past 4 weeks, by frequency</t>
  </si>
  <si>
    <t>WASH</t>
  </si>
  <si>
    <t>Households by main source of drinking water, by source</t>
  </si>
  <si>
    <t>Households where main source of drinking water is off premises, by  time taken to fetch water from main source of drinking water in minutes</t>
  </si>
  <si>
    <t>Households by acceptability of water in the past 4 weeks (prior to treatment)</t>
  </si>
  <si>
    <t>Households who treat drinking water from the main source</t>
  </si>
  <si>
    <t>Households by days without sufficient drinking water quantity in the past 4 weeks</t>
  </si>
  <si>
    <t>Households by main source of water for domestic purposes</t>
  </si>
  <si>
    <t>Households by days without sufficient water for domestic purposes quantity in the past 4 weeks</t>
  </si>
  <si>
    <t>Percentage of households reporting enough space/essential items so that the members of the households can perform personal hygiene</t>
  </si>
  <si>
    <t>Households by main handwashing facility</t>
  </si>
  <si>
    <t>Households having access to soap for washing hands</t>
  </si>
  <si>
    <t>Households by main toilet facility</t>
  </si>
  <si>
    <t>Households sharing main toilet facility</t>
  </si>
  <si>
    <t>Households sharing main toilet facility by number of households sharing that facility</t>
  </si>
  <si>
    <t>Households facing issues with pumping off sewage/septic tank in the past 12 months, by issue</t>
  </si>
  <si>
    <t>Percentage of households who had to go without washing hands after dirty activities in the past 4 weeks, by frequency</t>
  </si>
  <si>
    <t>Percentage of households who worried about not having enough water to cover all needs in the past 4 weeks, by frequency</t>
  </si>
  <si>
    <t>Percentage of households who had to change plans due to problems with water in the past 4 weeks, by frequency</t>
  </si>
  <si>
    <t>Food security</t>
  </si>
  <si>
    <t>Reduced Coping Strategies Index (rCSI)</t>
  </si>
  <si>
    <t>Food Consumption Score</t>
  </si>
  <si>
    <t>Households adopting Consumption-based Coping Strategies, by strategy</t>
  </si>
  <si>
    <t>AAP</t>
  </si>
  <si>
    <t>Households reporting most significant challenges their household currently faces</t>
  </si>
  <si>
    <t>Households reporting challenges, by type of support they would like to receive</t>
  </si>
  <si>
    <t>Households reporting challenges, by modality of assistance they would like to receive</t>
  </si>
  <si>
    <t>Households by last time aid was received</t>
  </si>
  <si>
    <t>Households reporting barriers in accessing to aid in the past 12 months, by barrier</t>
  </si>
  <si>
    <t>Households who received aid, by aid satisfaction in the past 12 months</t>
  </si>
  <si>
    <t>Households dissatisfied with aid received, by reason</t>
  </si>
  <si>
    <t>Percentage of households reporting reliable information channels to get information about aid, by channel</t>
  </si>
  <si>
    <t>Percentage of households utilizing complaint and feedback channels, by type</t>
  </si>
  <si>
    <t>Percentage of households receiving a response through complaint and feedback channels</t>
  </si>
  <si>
    <t>Percentage of household who have experienced cuts in  government assistance in the past 6 months</t>
  </si>
  <si>
    <t>Percentage of households unable to obtain needed legal assistance, by type of assistance</t>
  </si>
  <si>
    <t>Percentage of households unable to obtain needed social and administrative services, by type of services</t>
  </si>
  <si>
    <t>Percentage of households reporting services for women/girls are needed but not available in the area, by type of services</t>
  </si>
  <si>
    <t>Percentage of household reporting services for children are needed but not available in the area, by type of service</t>
  </si>
  <si>
    <t>Percentage of households whose ability to work/access resources was affected by threats in the past 3 months</t>
  </si>
  <si>
    <t>Percentage of households whose social interactions/participation were limited by threats in the past 3 months</t>
  </si>
  <si>
    <t>Percentage of households whose movement/access to public spaces changed due to threats in the past 3 months</t>
  </si>
  <si>
    <t>Percentage of households with children (&lt;18 y.o.) currently not living in the household</t>
  </si>
  <si>
    <t>Percentage of households with children (&lt;18 y.o.) currently not living in the household, by reasons</t>
  </si>
  <si>
    <t>by gender composition of household</t>
  </si>
  <si>
    <t>Households by gender composition</t>
  </si>
  <si>
    <t>Household members by age group on the admin of overall</t>
  </si>
  <si>
    <t>admin_category</t>
  </si>
  <si>
    <t>30-49 y.o.</t>
  </si>
  <si>
    <t>50-64 y.o.</t>
  </si>
  <si>
    <t>65+ y.o.</t>
  </si>
  <si>
    <t>6-17 y.o.</t>
  </si>
  <si>
    <t>18-29 y.o.</t>
  </si>
  <si>
    <t>&lt; 6 y.o.</t>
  </si>
  <si>
    <t>general_count</t>
  </si>
  <si>
    <t xml:space="preserve"> Overall</t>
  </si>
  <si>
    <t>Total</t>
  </si>
  <si>
    <t>Household members by gender on the admin of overall</t>
  </si>
  <si>
    <t>Women</t>
  </si>
  <si>
    <t>Men</t>
  </si>
  <si>
    <t>Other</t>
  </si>
  <si>
    <t>Households by urbanity (urban, rural location) on the admin of overall</t>
  </si>
  <si>
    <t>urban</t>
  </si>
  <si>
    <t>rural</t>
  </si>
  <si>
    <t>Households with at least one member with a registered or reported disability on the admin of overall</t>
  </si>
  <si>
    <t>HH with no WGSS nor registered disability</t>
  </si>
  <si>
    <t>HH with a WGSS and/or registered disability</t>
  </si>
  <si>
    <t>Households by size on the admin of overall</t>
  </si>
  <si>
    <t>HHs with 2-4 members</t>
  </si>
  <si>
    <t>Single HH member</t>
  </si>
  <si>
    <t>With 5+ members</t>
  </si>
  <si>
    <t>Households by presence of children (&lt;18 y.o.) on the admin of overall</t>
  </si>
  <si>
    <t>HHs without children</t>
  </si>
  <si>
    <t>HHs with children</t>
  </si>
  <si>
    <t>Households by age of adults in the households on the admin of overall</t>
  </si>
  <si>
    <t>Non-elderly HHs</t>
  </si>
  <si>
    <t>Elderly HHs</t>
  </si>
  <si>
    <t>Mixed HHs (both 60+ and under)</t>
  </si>
  <si>
    <t>Households by caregiving status on the admin of overall</t>
  </si>
  <si>
    <t>Household without children</t>
  </si>
  <si>
    <t>Multiple adults with children</t>
  </si>
  <si>
    <t>Single female adult with children</t>
  </si>
  <si>
    <t>Single male adult with children</t>
  </si>
  <si>
    <t>Households by displacement status of head of household on the admin of overall</t>
  </si>
  <si>
    <t>Non-displaced HHs</t>
  </si>
  <si>
    <t>IDP HHs</t>
  </si>
  <si>
    <t>Returnee HHs</t>
  </si>
  <si>
    <t>Displaced within settlement HHs</t>
  </si>
  <si>
    <t>Households by gender of head of household on the admin of overall</t>
  </si>
  <si>
    <t>Joint-headed HH (JHHs)</t>
  </si>
  <si>
    <t>HHs headed by 1 woman (WHHs)</t>
  </si>
  <si>
    <t>HHs headed by 1 man (MHHs)</t>
  </si>
  <si>
    <t>Percentage of households by marital status of head of household on the admin of overall</t>
  </si>
  <si>
    <t>married</t>
  </si>
  <si>
    <t>single</t>
  </si>
  <si>
    <t>widowed</t>
  </si>
  <si>
    <t>divorced</t>
  </si>
  <si>
    <t>prefer_not_to_answer</t>
  </si>
  <si>
    <t>do_not_know</t>
  </si>
  <si>
    <t>Percentage of households by education level of head of household on the admin of overall</t>
  </si>
  <si>
    <t>Master’s degree</t>
  </si>
  <si>
    <t>Vocational, technical education</t>
  </si>
  <si>
    <t>Bachelor’s degree</t>
  </si>
  <si>
    <t>Complete general secondary</t>
  </si>
  <si>
    <t>Basic general secondary</t>
  </si>
  <si>
    <t>Do not know</t>
  </si>
  <si>
    <t>PhD</t>
  </si>
  <si>
    <t>Primary school</t>
  </si>
  <si>
    <t>No education completed</t>
  </si>
  <si>
    <t>Doctor of Sciences</t>
  </si>
  <si>
    <t>Prefer not to answer</t>
  </si>
  <si>
    <t>Employment status of household members (&gt;15 y.o.) in the past four weeks on the admin of overall</t>
  </si>
  <si>
    <t>Officially employed with a permanent job (annual/monthly/weekly wage), excluding military service</t>
  </si>
  <si>
    <t>Retired not working</t>
  </si>
  <si>
    <t>Unemployed</t>
  </si>
  <si>
    <t>Informally/unofficially employed with cash or in-kind-payment</t>
  </si>
  <si>
    <t>Permanently sick or disabled (can't work)</t>
  </si>
  <si>
    <t>Own business</t>
  </si>
  <si>
    <t>Student not working</t>
  </si>
  <si>
    <t>Retired but still working (to receive additional income, or just prefer working)</t>
  </si>
  <si>
    <t>Unpaid work (e.g. looking after children, looking after the elderly, housework, etc.)</t>
  </si>
  <si>
    <t>Military service</t>
  </si>
  <si>
    <t>Student and working</t>
  </si>
  <si>
    <t>Officially employed with a temporary job (annual/monthly/weekly/daily wage)</t>
  </si>
  <si>
    <t>Working for free/volunteering</t>
  </si>
  <si>
    <t>Percentage of household members (&gt;15 y.o. and &lt;75) who sought a job in the past 4 weeks on the admin of overall</t>
  </si>
  <si>
    <t>No</t>
  </si>
  <si>
    <t>Yes</t>
  </si>
  <si>
    <t>Percentage of household members (&gt;15 y.o. and &lt;75) who sought a job in the past 4 weeks broken down by employment age of household members on the admin of overall</t>
  </si>
  <si>
    <t>disaggregations_category_1</t>
  </si>
  <si>
    <t>16-17 y.o.</t>
  </si>
  <si>
    <t>30-44 y.o.</t>
  </si>
  <si>
    <t>45-59 y.o.</t>
  </si>
  <si>
    <t>60+ y.o.</t>
  </si>
  <si>
    <t>Percentage of household members (&gt;15 y.o. and &lt;75) who sought a job in the past 4 weeks broken down by gender of household members on the admin of overall</t>
  </si>
  <si>
    <t>11</t>
  </si>
  <si>
    <t>Employment barriers faced by household members (&gt;15 y.o. and &lt; 75 y.o.) that sought a job in the past 4 weeks, by type on the admin of overall</t>
  </si>
  <si>
    <t>Not satisfied with salaries / working conditions</t>
  </si>
  <si>
    <t>Lack of opportunities in the area</t>
  </si>
  <si>
    <t>Discrimination</t>
  </si>
  <si>
    <t>No barriers</t>
  </si>
  <si>
    <t>Lack of qualification</t>
  </si>
  <si>
    <t>Need to care for children / sick / elderly family member</t>
  </si>
  <si>
    <t>Lack of means of transportation</t>
  </si>
  <si>
    <t>Sickness or disability</t>
  </si>
  <si>
    <t>Lack of ability to invest in own business</t>
  </si>
  <si>
    <t>Other (specify)</t>
  </si>
  <si>
    <t>Lack of necessary documents</t>
  </si>
  <si>
    <t>Employment barriers faced by household members (&gt;15 y.o. and &lt; 75 y.o.) that sought a job in the past 4 weeks, by type broken down by employment age of household members on the admin of overall</t>
  </si>
  <si>
    <t>13</t>
  </si>
  <si>
    <t>Employment barriers faced by household members (&gt;15 y.o. and &lt; 75 y.o.) that sought a job in the past 4 weeks, by type broken down by gender of household members on the admin of overall</t>
  </si>
  <si>
    <t>1</t>
  </si>
  <si>
    <t>Employment barriers faced by household members (&gt;15 y.o. and &lt; 75 y.o.) that sought a job in the past 4 weeks, by type broken down by gender and age of household members on the admin of overall</t>
  </si>
  <si>
    <t>disaggregations_category_2</t>
  </si>
  <si>
    <t>8</t>
  </si>
  <si>
    <t>5</t>
  </si>
  <si>
    <t>25</t>
  </si>
  <si>
    <t>School-aged children (3-17 y.o.) attending school or early education program during 2024-2025 school year on the admin of overall</t>
  </si>
  <si>
    <t>School-aged children (3-17 y.o.) attending school or early education program during 2024-2025 school year broken down by households with at least one member with a reported and/or registered disability on the admin of overall</t>
  </si>
  <si>
    <t>School-aged children (3-17 y.o.) attending school or early education program during 2024-2025 school year broken down by urbanity on the admin of overall</t>
  </si>
  <si>
    <t>School-aged children (3-17 y.o.) attending school or early education program during 2024-2025 school year broken down by household size on the admin of overall</t>
  </si>
  <si>
    <t>School-aged children (3-17 y.o.) attending school or early education program during 2024-2025 school year broken down by income per capita (quartiles) on the admin of overall</t>
  </si>
  <si>
    <t>HHs with 0-4750 UAH income per capita</t>
  </si>
  <si>
    <t>HHs with 13000 UAH and above income per capita</t>
  </si>
  <si>
    <t>HHs with 4750 - 7667 UAH income per capita</t>
  </si>
  <si>
    <t>HHs with 7667 - 13000 UAH income per capita</t>
  </si>
  <si>
    <t>School-aged children (3-17 y.o.) attending school or early education program during 2024-2025 school year broken down by gender of head of household on the admin of overall</t>
  </si>
  <si>
    <t>School-aged children (3-17 y.o.) attending school or early education program during 2024-2025 school year broken down by age of adults in the households on the admin of overall</t>
  </si>
  <si>
    <t>School-aged children (3-17 y.o.) attending school or early education program during 2024-2025 school year broken down by displacement status of head of household on the admin of overall</t>
  </si>
  <si>
    <t>4</t>
  </si>
  <si>
    <t>School-aged children (3-17 y.o.) attending school or early education program during 2024-2025 school year broken down by IDP household on the admin of overall</t>
  </si>
  <si>
    <t>IDP</t>
  </si>
  <si>
    <t>Non-IDP</t>
  </si>
  <si>
    <t>School-aged children (3-17 y.o.) attending school or early education program during 2024-2025 school year broken down by proximity to frontline/border with Russian Federation on the admin of overall</t>
  </si>
  <si>
    <t>HHs living away from FL / RB</t>
  </si>
  <si>
    <t>HHs living within 0-20km from frontline/ Russian Border</t>
  </si>
  <si>
    <t>HHs living within 21-50km from frontline/ Russian Border</t>
  </si>
  <si>
    <t>School-aged children (3-17 y.o.) attending school or early education program during 2024-2025 school year broken down by age of school-aged children on the admin of overall</t>
  </si>
  <si>
    <t>10-14 y.o.</t>
  </si>
  <si>
    <t>15-17 y.o.</t>
  </si>
  <si>
    <t>3-5 y.o.</t>
  </si>
  <si>
    <t>6-9 y.o.</t>
  </si>
  <si>
    <t>School-aged children (3-17 y.o.) attending school or early education program during 2024-2025 school year broken down by gender of school-aged children on the admin of overall</t>
  </si>
  <si>
    <t>School-aged children (3-17 y.o.) attending school or early education program during 2024-2025 school year broken down by gender and age of school-aged children on the admin of overall</t>
  </si>
  <si>
    <t>School-aged children (3-17 y.o.) attending school or early education program by main education modality during 2024-2025 school year on the admin of overall</t>
  </si>
  <si>
    <t>In-person</t>
  </si>
  <si>
    <t>Blended (remote and in-person)</t>
  </si>
  <si>
    <t>Remote</t>
  </si>
  <si>
    <t>School-aged children (3-17 y.o.) attending school or early education program by main education modality during 2024-2025 school year broken down by households with at least one member with a reported and/or registered disability on the admin of overall</t>
  </si>
  <si>
    <t>School-aged children (3-17 y.o.) attending school or early education program by main education modality during 2024-2025 school year broken down by urbanity on the admin of overall</t>
  </si>
  <si>
    <t>School-aged children (3-17 y.o.) attending school or early education program by main education modality during 2024-2025 school year broken down by household size on the admin of overall</t>
  </si>
  <si>
    <t>School-aged children (3-17 y.o.) attending school or early education program by main education modality during 2024-2025 school year broken down by income per capita (quartiles) on the admin of overall</t>
  </si>
  <si>
    <t>School-aged children (3-17 y.o.) attending school or early education program by main education modality during 2024-2025 school year broken down by gender of head of household on the admin of overall</t>
  </si>
  <si>
    <t>School-aged children (3-17 y.o.) attending school or early education program by main education modality during 2024-2025 school year broken down by age of adults in the households on the admin of overall</t>
  </si>
  <si>
    <t>7</t>
  </si>
  <si>
    <t>School-aged children (3-17 y.o.) attending school or early education program by main education modality during 2024-2025 school year broken down by displacement status of head of household on the admin of overall</t>
  </si>
  <si>
    <t>24</t>
  </si>
  <si>
    <t>School-aged children (3-17 y.o.) attending school or early education program by main education modality during 2024-2025 school year broken down by IDP household on the admin of overall</t>
  </si>
  <si>
    <t>School-aged children (3-17 y.o.) attending school or early education program by main education modality during 2024-2025 school year broken down by proximity to frontline/border with Russian Federation on the admin of overall</t>
  </si>
  <si>
    <t>School-aged children (3-17 y.o.) attending school or early education program by main education modality during 2024-2025 school year broken down by age of school-aged children on the admin of overall</t>
  </si>
  <si>
    <t>School-aged children (3-17 y.o.) attending school or early education program by main education modality during 2024-2025 school year broken down by gender of school-aged children on the admin of overall</t>
  </si>
  <si>
    <t>School-aged children (3-17 y.o.) attending school or early education program by main education modality during 2024-2025 school year broken down by gender and age of school-aged children on the admin of overall</t>
  </si>
  <si>
    <t>School-aged children (3-17 y.o.) attending school or early education program by grade during 2024-2025 school year on the admin of overall</t>
  </si>
  <si>
    <t>Preschool</t>
  </si>
  <si>
    <t>Primary school -grade 4</t>
  </si>
  <si>
    <t>Primary school -grade 3</t>
  </si>
  <si>
    <t>Secondary school - grade 9</t>
  </si>
  <si>
    <t>Secondary school - grade 7</t>
  </si>
  <si>
    <t>Secondary school - grade 6</t>
  </si>
  <si>
    <t>Secondary school - grade 8</t>
  </si>
  <si>
    <t>Secondary school - grade 5</t>
  </si>
  <si>
    <t>Primary school -grade 1</t>
  </si>
  <si>
    <t>Primary school -grade 2</t>
  </si>
  <si>
    <t>High school -grade 10</t>
  </si>
  <si>
    <t>Vocational Education and Training (VET)</t>
  </si>
  <si>
    <t>High school - grade 11</t>
  </si>
  <si>
    <t>University</t>
  </si>
  <si>
    <t>School-aged children (3-17 y.o.) attending school or early education program by grade during 2024-2025 school year broken down by households with at least one member with a reported and/or registered disability on the admin of overall</t>
  </si>
  <si>
    <t>School-aged children (3-17 y.o.) attending school or early education program by grade during 2024-2025 school year broken down by urbanity on the admin of overall</t>
  </si>
  <si>
    <t>School-aged children (3-17 y.o.) attending school or early education program by grade during 2024-2025 school year broken down by household size on the admin of overall</t>
  </si>
  <si>
    <t>School-aged children (3-17 y.o.) attending school or early education program by grade during 2024-2025 school year broken down by income per capita (quartiles) on the admin of overall</t>
  </si>
  <si>
    <t>School-aged children (3-17 y.o.) attending school or early education program by grade during 2024-2025 school year broken down by gender of head of household on the admin of overall</t>
  </si>
  <si>
    <t>School-aged children (3-17 y.o.) attending school or early education program by grade during 2024-2025 school year broken down by age of adults in the households on the admin of overall</t>
  </si>
  <si>
    <t>School-aged children (3-17 y.o.) attending school or early education program by grade during 2024-2025 school year broken down by displacement status of head of household on the admin of overall</t>
  </si>
  <si>
    <t>School-aged children (3-17 y.o.) attending school or early education program by grade during 2024-2025 school year broken down by IDP household on the admin of overall</t>
  </si>
  <si>
    <t>School-aged children (3-17 y.o.) attending school or early education program by grade during 2024-2025 school year broken down by proximity to frontline/border with Russian Federation on the admin of overall</t>
  </si>
  <si>
    <t>School-aged children (3-17 y.o.) attending school or early education program by grade during 2024-2025 school year broken down by age of school-aged children on the admin of overall</t>
  </si>
  <si>
    <t>School-aged children (3-17 y.o.) attending school or early education program by grade during 2024-2025 school year broken down by gender of school-aged children on the admin of overall</t>
  </si>
  <si>
    <t>School-aged children (3-17 y.o.) attending school or early education program by grade during 2024-2025 school year broken down by gender and age of school-aged children on the admin of overall</t>
  </si>
  <si>
    <t>Percentage of school-aged children (3-17 y.o.) by reasons for not attending school in 2024-2025 school year on the admin of overall</t>
  </si>
  <si>
    <t>The child is too young to attend school/kindergarten</t>
  </si>
  <si>
    <t>Protection risks while at or traveling to the school (e.g. missile attacks)</t>
  </si>
  <si>
    <t>Cannot afford the direct costs of education (e.g. tuition, supplies, transportation)</t>
  </si>
  <si>
    <t>The child's disability or other health issues prevent them from accessing school</t>
  </si>
  <si>
    <t>Unable to enrol in school due to lack of enrolment space</t>
  </si>
  <si>
    <t>Marriage/engagement</t>
  </si>
  <si>
    <t>Pregnancy</t>
  </si>
  <si>
    <t>No school available in the area</t>
  </si>
  <si>
    <t xml:space="preserve">The child has already completed compulsory school grades </t>
  </si>
  <si>
    <t xml:space="preserve">Lack of quiet and safe space to attend or listen to online learning classes </t>
  </si>
  <si>
    <t>There is a lack of interest/Education is not a priority either for the child or the household</t>
  </si>
  <si>
    <t>Inadequate or damaged infrastructure for learning in a safe environment (e.g. damaged school facilities, no or inadequate bomb shelter)</t>
  </si>
  <si>
    <t>Lack of appropriate IT equipment (laptop, tablet, etc)</t>
  </si>
  <si>
    <t>Unable to enrol in school due to recent displacement/evacuation/return</t>
  </si>
  <si>
    <t>Lack of or poor quality of teachers</t>
  </si>
  <si>
    <t>Percentage of school-aged children (3-17 y.o.) by reasons for not attending school in 2024-2025 school year broken down by households with at least one member with a reported and/or registered disability on the admin of overall</t>
  </si>
  <si>
    <t>23</t>
  </si>
  <si>
    <t>Percentage of school-aged children (3-17 y.o.) by reasons for not attending school in 2024-2025 school year broken down by urbanity on the admin of overall</t>
  </si>
  <si>
    <t>Percentage of school-aged children (3-17 y.o.) by reasons for not attending school in 2024-2025 school year broken down by household size on the admin of overall</t>
  </si>
  <si>
    <t>Percentage of school-aged children (3-17 y.o.) by reasons for not attending school in 2024-2025 school year broken down by income per capita (quartiles) on the admin of overall</t>
  </si>
  <si>
    <t>17</t>
  </si>
  <si>
    <t>14</t>
  </si>
  <si>
    <t>Percentage of school-aged children (3-17 y.o.) by reasons for not attending school in 2024-2025 school year broken down by gender of head of household on the admin of overall</t>
  </si>
  <si>
    <t>18</t>
  </si>
  <si>
    <t>Percentage of school-aged children (3-17 y.o.) by reasons for not attending school in 2024-2025 school year broken down by age of adults in the households on the admin of overall</t>
  </si>
  <si>
    <t>20</t>
  </si>
  <si>
    <t>Percentage of school-aged children (3-17 y.o.) by reasons for not attending school in 2024-2025 school year broken down by displacement status of head of household on the admin of overall</t>
  </si>
  <si>
    <t>19</t>
  </si>
  <si>
    <t>Percentage of school-aged children (3-17 y.o.) by reasons for not attending school in 2024-2025 school year broken down by IDP household on the admin of overall</t>
  </si>
  <si>
    <t>Percentage of school-aged children (3-17 y.o.) by reasons for not attending school in 2024-2025 school year broken down by proximity to frontline/border with Russian Federation on the admin of overall</t>
  </si>
  <si>
    <t>27</t>
  </si>
  <si>
    <t>Percentage of school-aged children (3-17 y.o.) by reasons for not attending school in 2024-2025 school year broken down by age of school-aged children on the admin of overall</t>
  </si>
  <si>
    <t>2</t>
  </si>
  <si>
    <t>Percentage of school-aged children (3-17 y.o.) by reasons for not attending school in 2024-2025 school year broken down by gender of school-aged children on the admin of overall</t>
  </si>
  <si>
    <t>Percentage of school-aged children (3-17 y.o.) by reasons for not attending school in 2024-2025 school year broken down by gender and age of school-aged children on the admin of overall</t>
  </si>
  <si>
    <t>6</t>
  </si>
  <si>
    <t>3</t>
  </si>
  <si>
    <t>Percentage of school-aged children (3-17 y.o.) whose education was disrupted due to school damage on the admin of overall</t>
  </si>
  <si>
    <t>Percentage of school-aged children (3-17 y.o.) whose education was disrupted due to school damage broken down by households with at least one member with a reported and/or registered disability on the admin of overall</t>
  </si>
  <si>
    <t>Percentage of school-aged children (3-17 y.o.) whose education was disrupted due to school damage broken down by urbanity on the admin of overall</t>
  </si>
  <si>
    <t>Percentage of school-aged children (3-17 y.o.) whose education was disrupted due to school damage broken down by household size on the admin of overall</t>
  </si>
  <si>
    <t>Percentage of school-aged children (3-17 y.o.) whose education was disrupted due to school damage broken down by income per capita (quartiles) on the admin of overall</t>
  </si>
  <si>
    <t>Percentage of school-aged children (3-17 y.o.) whose education was disrupted due to school damage broken down by gender of head of household on the admin of overall</t>
  </si>
  <si>
    <t>Percentage of school-aged children (3-17 y.o.) whose education was disrupted due to school damage broken down by age of adults in the households on the admin of overall</t>
  </si>
  <si>
    <t>Percentage of school-aged children (3-17 y.o.) whose education was disrupted due to school damage broken down by displacement status of head of household on the admin of overall</t>
  </si>
  <si>
    <t>Percentage of school-aged children (3-17 y.o.) whose education was disrupted due to school damage broken down by IDP household on the admin of overall</t>
  </si>
  <si>
    <t>Percentage of school-aged children (3-17 y.o.) whose education was disrupted due to school damage broken down by proximity to frontline/border with Russian Federation on the admin of overall</t>
  </si>
  <si>
    <t>Percentage of school-aged children (3-17 y.o.) whose education was disrupted due to school damage broken down by age of school-aged children on the admin of overall</t>
  </si>
  <si>
    <t>Percentage of school-aged children (3-17 y.o.) whose education was disrupted due to school damage broken down by gender of school-aged children on the admin of overall</t>
  </si>
  <si>
    <t>Percentage of school-aged children (3-17 y.o.) whose education was disrupted due to school damage broken down by gender and age of school-aged children on the admin of overall</t>
  </si>
  <si>
    <t>Percentage of school-aged children (3-17 y.o.) whose education was disrupted due to displacement/evacuation/return  on the admin of overall</t>
  </si>
  <si>
    <t>Percentage of school-aged children (3-17 y.o.) whose education was disrupted due to displacement/evacuation/return  broken down by households with at least one member with a reported and/or registered disability on the admin of overall</t>
  </si>
  <si>
    <t>Percentage of school-aged children (3-17 y.o.) whose education was disrupted due to displacement/evacuation/return  broken down by urbanity on the admin of overall</t>
  </si>
  <si>
    <t>Percentage of school-aged children (3-17 y.o.) whose education was disrupted due to displacement/evacuation/return  broken down by household size on the admin of overall</t>
  </si>
  <si>
    <t>Percentage of school-aged children (3-17 y.o.) whose education was disrupted due to displacement/evacuation/return  broken down by income per capita (quartiles) on the admin of overall</t>
  </si>
  <si>
    <t>Percentage of school-aged children (3-17 y.o.) whose education was disrupted due to displacement/evacuation/return  broken down by gender of head of household on the admin of overall</t>
  </si>
  <si>
    <t>Percentage of school-aged children (3-17 y.o.) whose education was disrupted due to displacement/evacuation/return  broken down by age of adults in the households on the admin of overall</t>
  </si>
  <si>
    <t>Percentage of school-aged children (3-17 y.o.) whose education was disrupted due to displacement/evacuation/return  broken down by displacement status of head of household on the admin of overall</t>
  </si>
  <si>
    <t>Percentage of school-aged children (3-17 y.o.) whose education was disrupted due to displacement/evacuation/return  broken down by IDP household on the admin of overall</t>
  </si>
  <si>
    <t>Percentage of school-aged children (3-17 y.o.) whose education was disrupted due to displacement/evacuation/return  broken down by proximity to frontline/border with Russian Federation on the admin of overall</t>
  </si>
  <si>
    <t>Percentage of school-aged children (3-17 y.o.) whose education was disrupted due to displacement/evacuation/return  broken down by age of school-aged children on the admin of overall</t>
  </si>
  <si>
    <t>Percentage of school-aged children (3-17 y.o.) whose education was disrupted due to displacement/evacuation/return  broken down by gender of school-aged children on the admin of overall</t>
  </si>
  <si>
    <t>Percentage of school-aged children (3-17 y.o.) whose education was disrupted due to displacement/evacuation/return  broken down by gender and age of school-aged children on the admin of overall</t>
  </si>
  <si>
    <t>Percentage of household members who needed to access healthcare in the past 3 months on the admin of overall</t>
  </si>
  <si>
    <t>Percentage of household members who needed to access healthcare in the past 3 months broken down by households with at least one member with a reported and/or registered disability on the admin of overall</t>
  </si>
  <si>
    <t>Percentage of household members who needed to access healthcare in the past 3 months broken down by urbanity on the admin of overall</t>
  </si>
  <si>
    <t>Percentage of household members who needed to access healthcare in the past 3 months broken down by household size on the admin of overall</t>
  </si>
  <si>
    <t>Percentage of household members who needed to access healthcare in the past 3 months broken down by income per capita (quartiles) on the admin of overall</t>
  </si>
  <si>
    <t>Percentage of household members who needed to access healthcare in the past 3 months broken down by gender of head of household on the admin of overall</t>
  </si>
  <si>
    <t>Percentage of household members who needed to access healthcare in the past 3 months broken down by age of adults in the households on the admin of overall</t>
  </si>
  <si>
    <t>Percentage of household members who needed to access healthcare in the past 3 months broken down by households with at least one child (&lt;18 y.o.) on the admin of overall</t>
  </si>
  <si>
    <t>Percentage of household members who needed to access healthcare in the past 3 months broken down by displacement status of head of household on the admin of overall</t>
  </si>
  <si>
    <t>Percentage of household members who needed to access healthcare in the past 3 months broken down by IDP household on the admin of overall</t>
  </si>
  <si>
    <t>Percentage of household members who needed to access healthcare in the past 3 months broken down by proximity to frontline/border with Russian Federation on the admin of overall</t>
  </si>
  <si>
    <t>Percentage of household members who needed to access healthcare in the past 3 months broken down by caregiving status  on the admin of overall</t>
  </si>
  <si>
    <t>22</t>
  </si>
  <si>
    <t>Percentage of household members who needed to access healthcare in the past 3 months broken down by age of household members on the admin of overall</t>
  </si>
  <si>
    <t>Percentage of household members who needed to access healthcare in the past 3 months broken down by gender of household members on the admin of overall</t>
  </si>
  <si>
    <t>Percentage of household members who needed to access healthcare in the past 3 months broken down by age and gender of household members on the admin of overall</t>
  </si>
  <si>
    <t>Percentage of household members able to obtain all healthcare in the past 3 months  on the admin of overall</t>
  </si>
  <si>
    <t>Percentage of household members able to obtain all healthcare in the past 3 months  broken down by households with at least one member with a reported and/or registered disability on the admin of overall</t>
  </si>
  <si>
    <t>Percentage of household members able to obtain all healthcare in the past 3 months  broken down by urbanity on the admin of overall</t>
  </si>
  <si>
    <t>Percentage of household members able to obtain all healthcare in the past 3 months  broken down by household size on the admin of overall</t>
  </si>
  <si>
    <t>Percentage of household members able to obtain all healthcare in the past 3 months  broken down by income per capita (quartiles) on the admin of overall</t>
  </si>
  <si>
    <t>Percentage of household members able to obtain all healthcare in the past 3 months  broken down by gender of head of household on the admin of overall</t>
  </si>
  <si>
    <t>Percentage of household members able to obtain all healthcare in the past 3 months  broken down by age of adults in the households on the admin of overall</t>
  </si>
  <si>
    <t>Percentage of household members able to obtain all healthcare in the past 3 months  broken down by households with at least one child (&lt;18 y.o.) on the admin of overall</t>
  </si>
  <si>
    <t>Percentage of household members able to obtain all healthcare in the past 3 months  broken down by displacement status of head of household on the admin of overall</t>
  </si>
  <si>
    <t>12</t>
  </si>
  <si>
    <t>Percentage of household members able to obtain all healthcare in the past 3 months  broken down by IDP household on the admin of overall</t>
  </si>
  <si>
    <t>Percentage of household members able to obtain all healthcare in the past 3 months  broken down by proximity to frontline/border with Russian Federation on the admin of overall</t>
  </si>
  <si>
    <t>Percentage of household members able to obtain all healthcare in the past 3 months  broken down by caregiving status  on the admin of overall</t>
  </si>
  <si>
    <t>Percentage of household members able to obtain all healthcare in the past 3 months  broken down by age of household members on the admin of overall</t>
  </si>
  <si>
    <t>Percentage of household members able to obtain all healthcare in the past 3 months  broken down by gender of household members on the admin of overall</t>
  </si>
  <si>
    <t>Percentage of household members able to obtain all healthcare in the past 3 months  broken down by age and gender of household members on the admin of overall</t>
  </si>
  <si>
    <t>Percentage of household members unable to obtain all healthcare in the past 3 months, by type of need on the admin of overall</t>
  </si>
  <si>
    <t xml:space="preserve">Consultation or drugs for chronic illness (diabetes, hypertension, etc.) </t>
  </si>
  <si>
    <t>Preventative consultation / check-up</t>
  </si>
  <si>
    <t>Consultation or drugs for other illnesses</t>
  </si>
  <si>
    <t>Consultation or drugs for acute illness (fever, diarrhoea, cough, etc.)</t>
  </si>
  <si>
    <t>Trauma care (injury, accident)</t>
  </si>
  <si>
    <t>Elective, non-life saving surgery</t>
  </si>
  <si>
    <t>Physical or mental health care after missile/drone strike (e.g. psychological support, rehabilitation)</t>
  </si>
  <si>
    <t>Emergency, life saving surgery</t>
  </si>
  <si>
    <t>Ante-natal or post-natal services</t>
  </si>
  <si>
    <t>Percentage of household members unable to obtain all healthcare in the past 3 months, by type of need broken down by households with at least one member with a reported and/or registered disability on the admin of overall</t>
  </si>
  <si>
    <t>Percentage of household members unable to obtain all healthcare in the past 3 months, by type of need broken down by urbanity on the admin of overall</t>
  </si>
  <si>
    <t>Percentage of household members unable to obtain all healthcare in the past 3 months, by type of need broken down by household size on the admin of overall</t>
  </si>
  <si>
    <t>Percentage of household members unable to obtain all healthcare in the past 3 months, by type of need broken down by income per capita (quartiles) on the admin of overall</t>
  </si>
  <si>
    <t>Percentage of household members unable to obtain all healthcare in the past 3 months, by type of need broken down by gender of head of household on the admin of overall</t>
  </si>
  <si>
    <t>Percentage of household members unable to obtain all healthcare in the past 3 months, by type of need broken down by age of adults in the households on the admin of overall</t>
  </si>
  <si>
    <t>Percentage of household members unable to obtain all healthcare in the past 3 months, by type of need broken down by households with at least one child (&lt;18 y.o.) on the admin of overall</t>
  </si>
  <si>
    <t>Percentage of household members unable to obtain all healthcare in the past 3 months, by type of need broken down by displacement status of head of household on the admin of overall</t>
  </si>
  <si>
    <t>9</t>
  </si>
  <si>
    <t>Percentage of household members unable to obtain all healthcare in the past 3 months, by type of need broken down by IDP household on the admin of overall</t>
  </si>
  <si>
    <t>Percentage of household members unable to obtain all healthcare in the past 3 months, by type of need broken down by proximity to frontline/border with Russian Federation on the admin of overall</t>
  </si>
  <si>
    <t>Percentage of household members unable to obtain all healthcare in the past 3 months, by type of need broken down by caregiving status  on the admin of overall</t>
  </si>
  <si>
    <t>Percentage of household members unable to obtain all healthcare in the past 3 months, by type of need broken down by age of household members on the admin of overall</t>
  </si>
  <si>
    <t>Percentage of household members unable to obtain all healthcare in the past 3 months, by type of need broken down by gender of household members on the admin of overall</t>
  </si>
  <si>
    <t>Percentage of household members unable to obtain all healthcare in the past 3 months, by type of need broken down by age and gender of household members on the admin of overall</t>
  </si>
  <si>
    <t>16</t>
  </si>
  <si>
    <t>Average travel time to nearest functioning health facility (minutes) on the admin of overall</t>
  </si>
  <si>
    <t>mean</t>
  </si>
  <si>
    <t>median</t>
  </si>
  <si>
    <t>min</t>
  </si>
  <si>
    <t>max</t>
  </si>
  <si>
    <t>Average travel time to nearest functioning health facility (minutes) broken down by households with at least one member with a reported and/or registered disability on the admin of overall</t>
  </si>
  <si>
    <t>Average travel time to nearest functioning health facility (minutes) broken down by urbanity on the admin of overall</t>
  </si>
  <si>
    <t>Average travel time to nearest functioning health facility (minutes) broken down by household size on the admin of overall</t>
  </si>
  <si>
    <t>Average travel time to nearest functioning health facility (minutes) broken down by income per capita (quartiles) on the admin of overall</t>
  </si>
  <si>
    <t>Average travel time to nearest functioning health facility (minutes) broken down by gender of head of household on the admin of overall</t>
  </si>
  <si>
    <t>Average travel time to nearest functioning health facility (minutes) broken down by age of adults in the households on the admin of overall</t>
  </si>
  <si>
    <t>Average travel time to nearest functioning health facility (minutes) broken down by households with at least one child (&lt;18 y.o.) on the admin of overall</t>
  </si>
  <si>
    <t>Average travel time to nearest functioning health facility (minutes) broken down by displacement status of head of household on the admin of overall</t>
  </si>
  <si>
    <t>Average travel time to nearest functioning health facility (minutes) broken down by IDP household on the admin of overall</t>
  </si>
  <si>
    <t>Average travel time to nearest functioning health facility (minutes) broken down by proximity to frontline/border with Russian Federation on the admin of overall</t>
  </si>
  <si>
    <t>Average travel time to nearest functioning health facility (minutes) broken down by caregiving status  on the admin of overall</t>
  </si>
  <si>
    <t>Households with members with chronic conditions requiring regular medication on the admin of overall</t>
  </si>
  <si>
    <t xml:space="preserve">None </t>
  </si>
  <si>
    <t xml:space="preserve">Condition requiring medicines for high blood pressure  </t>
  </si>
  <si>
    <t xml:space="preserve">Condition requiring medicines to prevent or treat heart problems  </t>
  </si>
  <si>
    <t xml:space="preserve">Condition requiring medicines to regulate blood sugar  </t>
  </si>
  <si>
    <t xml:space="preserve">Condition requiring medicines for pain  </t>
  </si>
  <si>
    <t xml:space="preserve">Condition requiring medicines for neurological or nervous system diseases (e.g. epilepsy)  </t>
  </si>
  <si>
    <t xml:space="preserve">Condition requiring medicines for thyroid problems  </t>
  </si>
  <si>
    <t xml:space="preserve">Condition requiring medicines for allergies  </t>
  </si>
  <si>
    <t xml:space="preserve">Other (specify)  </t>
  </si>
  <si>
    <t xml:space="preserve">Condition requiring medicines for long-term lung problems (like asthma)  </t>
  </si>
  <si>
    <t xml:space="preserve">Condition requiring medicines for mental health conditions  </t>
  </si>
  <si>
    <t xml:space="preserve">Condition requiring medicines to prevent or treat cancer  </t>
  </si>
  <si>
    <t>Condition as a result of a missile or drone strike (physical or mental)</t>
  </si>
  <si>
    <t xml:space="preserve">Condition requiring medicines for infections  </t>
  </si>
  <si>
    <t>Households with members with chronic conditions requiring regular medication broken down by households with at least one member with a reported and/or registered disability on the admin of overall</t>
  </si>
  <si>
    <t>Households with members with chronic conditions requiring regular medication broken down by urbanity on the admin of overall</t>
  </si>
  <si>
    <t>Households with members with chronic conditions requiring regular medication broken down by household size on the admin of overall</t>
  </si>
  <si>
    <t>Households with members with chronic conditions requiring regular medication broken down by income per capita (quartiles) on the admin of overall</t>
  </si>
  <si>
    <t>Households with members with chronic conditions requiring regular medication broken down by gender of head of household on the admin of overall</t>
  </si>
  <si>
    <t>Households with members with chronic conditions requiring regular medication broken down by age of adults in the households on the admin of overall</t>
  </si>
  <si>
    <t>Households with members with chronic conditions requiring regular medication broken down by households with at least one child (&lt;18 y.o.) on the admin of overall</t>
  </si>
  <si>
    <t>Households with members with chronic conditions requiring regular medication broken down by displacement status of head of household on the admin of overall</t>
  </si>
  <si>
    <t>Households with members with chronic conditions requiring regular medication broken down by IDP household on the admin of overall</t>
  </si>
  <si>
    <t>Households with members with chronic conditions requiring regular medication broken down by proximity to frontline/border with Russian Federation on the admin of overall</t>
  </si>
  <si>
    <t>Households with members with chronic conditions requiring regular medication broken down by caregiving status  on the admin of overall</t>
  </si>
  <si>
    <t>Households with members with chronic conditions requiring regular medication, by frequency of disrupted access to healthcare for chronic conditions in the past 3 months on the admin of overall</t>
  </si>
  <si>
    <t>Never</t>
  </si>
  <si>
    <t>Rarely</t>
  </si>
  <si>
    <t>Sometimes</t>
  </si>
  <si>
    <t>Always</t>
  </si>
  <si>
    <t>Often</t>
  </si>
  <si>
    <t>Households with members with chronic conditions requiring regular medication, by frequency of disrupted access to healthcare for chronic conditions in the past 3 months broken down by households with at least one member with a reported and/or registered disability on the admin of overall</t>
  </si>
  <si>
    <t>Households with members with chronic conditions requiring regular medication, by frequency of disrupted access to healthcare for chronic conditions in the past 3 months broken down by urbanity on the admin of overall</t>
  </si>
  <si>
    <t>Households with members with chronic conditions requiring regular medication, by frequency of disrupted access to healthcare for chronic conditions in the past 3 months broken down by household size on the admin of overall</t>
  </si>
  <si>
    <t>Households with members with chronic conditions requiring regular medication, by frequency of disrupted access to healthcare for chronic conditions in the past 3 months broken down by income per capita (quartiles) on the admin of overall</t>
  </si>
  <si>
    <t>Households with members with chronic conditions requiring regular medication, by frequency of disrupted access to healthcare for chronic conditions in the past 3 months broken down by gender of head of household on the admin of overall</t>
  </si>
  <si>
    <t>Households with members with chronic conditions requiring regular medication, by frequency of disrupted access to healthcare for chronic conditions in the past 3 months broken down by age of adults in the households on the admin of overall</t>
  </si>
  <si>
    <t>Households with members with chronic conditions requiring regular medication, by frequency of disrupted access to healthcare for chronic conditions in the past 3 months broken down by households with at least one child (&lt;18 y.o.) on the admin of overall</t>
  </si>
  <si>
    <t>Households with members with chronic conditions requiring regular medication, by frequency of disrupted access to healthcare for chronic conditions in the past 3 months broken down by displacement status of head of household on the admin of overall</t>
  </si>
  <si>
    <t>Households with members with chronic conditions requiring regular medication, by frequency of disrupted access to healthcare for chronic conditions in the past 3 months broken down by IDP household on the admin of overall</t>
  </si>
  <si>
    <t>Households with members with chronic conditions requiring regular medication, by frequency of disrupted access to healthcare for chronic conditions in the past 3 months broken down by proximity to frontline/border with Russian Federation on the admin of overall</t>
  </si>
  <si>
    <t>Households with members with chronic conditions requiring regular medication, by frequency of disrupted access to healthcare for chronic conditions in the past 3 months broken down by caregiving status  on the admin of overall</t>
  </si>
  <si>
    <t>Percentage of households by barriers preventing access to health care in the past 3 months on the admin of overall</t>
  </si>
  <si>
    <t>Cost of medicine</t>
  </si>
  <si>
    <t>Cost of treatment</t>
  </si>
  <si>
    <t xml:space="preserve">The needed services/ medicine were not available </t>
  </si>
  <si>
    <t>Transport necessary to get to the services / access medicine</t>
  </si>
  <si>
    <t>Time necessary to access the services and/or access medicine</t>
  </si>
  <si>
    <t>Security concerns (during travel or while being in the facility / seeking medicine)</t>
  </si>
  <si>
    <t>The need for unofficial payments</t>
  </si>
  <si>
    <t>Lack of medical facilities / facilities difficult to access</t>
  </si>
  <si>
    <t xml:space="preserve">Did not have a declaration with a local doctor </t>
  </si>
  <si>
    <t>Nearest hospital/health facility not functioning/damaged by an airstrike</t>
  </si>
  <si>
    <t>Could not take time off work/care responsibilities at home</t>
  </si>
  <si>
    <t>Refusal to provide service / medicine</t>
  </si>
  <si>
    <t>Evacuation/displacement (treatment interrupted, lost access to care or medications)</t>
  </si>
  <si>
    <t>Lack of pharmacies / pharmacies difficult to access</t>
  </si>
  <si>
    <t xml:space="preserve">Did not have the needed documents </t>
  </si>
  <si>
    <t>Percentage of households by barriers preventing access to health care in the past 3 months broken down by households with at least one member with a reported and/or registered disability on the admin of overall</t>
  </si>
  <si>
    <t>Percentage of households by barriers preventing access to health care in the past 3 months broken down by urbanity on the admin of overall</t>
  </si>
  <si>
    <t>Percentage of households by barriers preventing access to health care in the past 3 months broken down by household size on the admin of overall</t>
  </si>
  <si>
    <t>Percentage of households by barriers preventing access to health care in the past 3 months broken down by income per capita (quartiles) on the admin of overall</t>
  </si>
  <si>
    <t>Percentage of households by barriers preventing access to health care in the past 3 months broken down by gender of head of household on the admin of overall</t>
  </si>
  <si>
    <t>Percentage of households by barriers preventing access to health care in the past 3 months broken down by age of adults in the households on the admin of overall</t>
  </si>
  <si>
    <t>Percentage of households by barriers preventing access to health care in the past 3 months broken down by households with at least one child (&lt;18 y.o.) on the admin of overall</t>
  </si>
  <si>
    <t>Percentage of households by barriers preventing access to health care in the past 3 months broken down by displacement status of head of household on the admin of overall</t>
  </si>
  <si>
    <t>10</t>
  </si>
  <si>
    <t>Percentage of households by barriers preventing access to health care in the past 3 months broken down by IDP household on the admin of overall</t>
  </si>
  <si>
    <t>Percentage of households by barriers preventing access to health care in the past 3 months broken down by proximity to frontline/border with Russian Federation on the admin of overall</t>
  </si>
  <si>
    <t>Percentage of households by barriers preventing access to health care in the past 3 months broken down by caregiving status  on the admin of overall</t>
  </si>
  <si>
    <t>Percentage of households feeling emotionally unwell (2+ weeks in the past 6 months) on the admin of overall</t>
  </si>
  <si>
    <t>Percentage of households feeling emotionally unwell (2+ weeks in the past 6 months) broken down by households with at least one member with a reported and/or registered disability on the admin of overall</t>
  </si>
  <si>
    <t>Percentage of households feeling emotionally unwell (2+ weeks in the past 6 months) broken down by urbanity on the admin of overall</t>
  </si>
  <si>
    <t>Percentage of households feeling emotionally unwell (2+ weeks in the past 6 months) broken down by household size on the admin of overall</t>
  </si>
  <si>
    <t>Percentage of households feeling emotionally unwell (2+ weeks in the past 6 months) broken down by income per capita (quartiles) on the admin of overall</t>
  </si>
  <si>
    <t>Percentage of households feeling emotionally unwell (2+ weeks in the past 6 months) broken down by gender of head of household on the admin of overall</t>
  </si>
  <si>
    <t>Percentage of households feeling emotionally unwell (2+ weeks in the past 6 months) broken down by age of adults in the households on the admin of overall</t>
  </si>
  <si>
    <t>Percentage of households feeling emotionally unwell (2+ weeks in the past 6 months) broken down by households with at least one child (&lt;18 y.o.) on the admin of overall</t>
  </si>
  <si>
    <t>Percentage of households feeling emotionally unwell (2+ weeks in the past 6 months) broken down by displacement status of head of household on the admin of overall</t>
  </si>
  <si>
    <t>Percentage of households feeling emotionally unwell (2+ weeks in the past 6 months) broken down by IDP household on the admin of overall</t>
  </si>
  <si>
    <t>Percentage of households feeling emotionally unwell (2+ weeks in the past 6 months) broken down by proximity to frontline/border with Russian Federation on the admin of overall</t>
  </si>
  <si>
    <t>Percentage of households feeling emotionally unwell (2+ weeks in the past 6 months) broken down by caregiving status  on the admin of overall</t>
  </si>
  <si>
    <t>Percentage of households feeling emotionally unwell (2+ weeks in the past 6 months), by experienced difficulty in completing day-to-day activities on the admin of overall</t>
  </si>
  <si>
    <t>Mild</t>
  </si>
  <si>
    <t>Moderate</t>
  </si>
  <si>
    <t>Severe</t>
  </si>
  <si>
    <t>Extreme / Cannot do</t>
  </si>
  <si>
    <t>Percentage of households feeling emotionally unwell (2+ weeks in the past 6 months), by experienced difficulty in completing day-to-day activities broken down by households with at least one member with a reported and/or registered disability on the admin of overall</t>
  </si>
  <si>
    <t>Percentage of households feeling emotionally unwell (2+ weeks in the past 6 months), by experienced difficulty in completing day-to-day activities broken down by urbanity on the admin of overall</t>
  </si>
  <si>
    <t>Percentage of households feeling emotionally unwell (2+ weeks in the past 6 months), by experienced difficulty in completing day-to-day activities broken down by household size on the admin of overall</t>
  </si>
  <si>
    <t>Percentage of households feeling emotionally unwell (2+ weeks in the past 6 months), by experienced difficulty in completing day-to-day activities broken down by income per capita (quartiles) on the admin of overall</t>
  </si>
  <si>
    <t>Percentage of households feeling emotionally unwell (2+ weeks in the past 6 months), by experienced difficulty in completing day-to-day activities broken down by gender of head of household on the admin of overall</t>
  </si>
  <si>
    <t>Percentage of households feeling emotionally unwell (2+ weeks in the past 6 months), by experienced difficulty in completing day-to-day activities broken down by age of adults in the households on the admin of overall</t>
  </si>
  <si>
    <t>Percentage of households feeling emotionally unwell (2+ weeks in the past 6 months), by experienced difficulty in completing day-to-day activities broken down by households with at least one child (&lt;18 y.o.) on the admin of overall</t>
  </si>
  <si>
    <t>Percentage of households feeling emotionally unwell (2+ weeks in the past 6 months), by experienced difficulty in completing day-to-day activities broken down by displacement status of head of household on the admin of overall</t>
  </si>
  <si>
    <t>Percentage of households feeling emotionally unwell (2+ weeks in the past 6 months), by experienced difficulty in completing day-to-day activities broken down by IDP household on the admin of overall</t>
  </si>
  <si>
    <t>Percentage of households feeling emotionally unwell (2+ weeks in the past 6 months), by experienced difficulty in completing day-to-day activities broken down by proximity to frontline/border with Russian Federation on the admin of overall</t>
  </si>
  <si>
    <t>Percentage of households feeling emotionally unwell (2+ weeks in the past 6 months), by experienced difficulty in completing day-to-day activities broken down by caregiving status  on the admin of overall</t>
  </si>
  <si>
    <t>Percentage of households feeling emotionally unwell that received mental health or psychosocial support/services, by type on the admin of overall</t>
  </si>
  <si>
    <t>Yes, from a psychologist</t>
  </si>
  <si>
    <t>Yes, from a family doctor</t>
  </si>
  <si>
    <t>Yes, from a psychiatrist</t>
  </si>
  <si>
    <t xml:space="preserve">Yes, from other service providers </t>
  </si>
  <si>
    <t>Yes, from a social worker</t>
  </si>
  <si>
    <t>Percentage of households feeling emotionally unwell that received mental health or psychosocial support/services, by type broken down by households with at least one member with a reported and/or registered disability on the admin of overall</t>
  </si>
  <si>
    <t>Percentage of households feeling emotionally unwell that received mental health or psychosocial support/services, by type broken down by urbanity on the admin of overall</t>
  </si>
  <si>
    <t>Percentage of households feeling emotionally unwell that received mental health or psychosocial support/services, by type broken down by household size on the admin of overall</t>
  </si>
  <si>
    <t>Percentage of households feeling emotionally unwell that received mental health or psychosocial support/services, by type broken down by income per capita (quartiles) on the admin of overall</t>
  </si>
  <si>
    <t>Percentage of households feeling emotionally unwell that received mental health or psychosocial support/services, by type broken down by gender of head of household on the admin of overall</t>
  </si>
  <si>
    <t>Percentage of households feeling emotionally unwell that received mental health or psychosocial support/services, by type broken down by age of adults in the households on the admin of overall</t>
  </si>
  <si>
    <t>Percentage of households feeling emotionally unwell that received mental health or psychosocial support/services, by type broken down by households with at least one child (&lt;18 y.o.) on the admin of overall</t>
  </si>
  <si>
    <t>Percentage of households feeling emotionally unwell that received mental health or psychosocial support/services, by type broken down by displacement status of head of household on the admin of overall</t>
  </si>
  <si>
    <t>Percentage of households feeling emotionally unwell that received mental health or psychosocial support/services, by type broken down by IDP household on the admin of overall</t>
  </si>
  <si>
    <t>Percentage of households feeling emotionally unwell that received mental health or psychosocial support/services, by type broken down by proximity to frontline/border with Russian Federation on the admin of overall</t>
  </si>
  <si>
    <t>Percentage of households feeling emotionally unwell that received mental health or psychosocial support/services, by type broken down by caregiving status  on the admin of overall</t>
  </si>
  <si>
    <t>Percentage of households with at least one member with registered disability, by type on the admin of overall</t>
  </si>
  <si>
    <t>Yes, group III</t>
  </si>
  <si>
    <t>Yes, group II</t>
  </si>
  <si>
    <t>Yes, group I</t>
  </si>
  <si>
    <t>Yes, but unsure which group</t>
  </si>
  <si>
    <t>Percentage of households with at least one member with registered disability, by type broken down by households with at least one member with a reported and/or registered disability on the admin of overall</t>
  </si>
  <si>
    <t>Percentage of households with at least one member with registered disability, by type broken down by urbanity on the admin of overall</t>
  </si>
  <si>
    <t>Percentage of households with at least one member with registered disability, by type broken down by household size on the admin of overall</t>
  </si>
  <si>
    <t>Percentage of households with at least one member with registered disability, by type broken down by income per capita (quartiles) on the admin of overall</t>
  </si>
  <si>
    <t>Percentage of households with at least one member with registered disability, by type broken down by gender of head of household on the admin of overall</t>
  </si>
  <si>
    <t>Percentage of households with at least one member with registered disability, by type broken down by age of adults in the households on the admin of overall</t>
  </si>
  <si>
    <t>Percentage of households with at least one member with registered disability, by type broken down by households with at least one child (&lt;18 y.o.) on the admin of overall</t>
  </si>
  <si>
    <t>Percentage of households with at least one member with registered disability, by type broken down by displacement status of head of household on the admin of overall</t>
  </si>
  <si>
    <t>Percentage of households with at least one member with registered disability, by type broken down by IDP household on the admin of overall</t>
  </si>
  <si>
    <t>Percentage of households with at least one member with registered disability, by type broken down by proximity to frontline/border with Russian Federation on the admin of overall</t>
  </si>
  <si>
    <t>Percentage of households with at least one member with registered disability, by type broken down by caregiving status  on the admin of overall</t>
  </si>
  <si>
    <t>Percentage of households with at least one member that has difficulties seeing on the admin of overall</t>
  </si>
  <si>
    <t xml:space="preserve">No household members have any difficulties </t>
  </si>
  <si>
    <t>Some difficulty</t>
  </si>
  <si>
    <t>A lot of difficulty</t>
  </si>
  <si>
    <t>Cannot do at all</t>
  </si>
  <si>
    <t>Percentage of households with at least one member that has difficulties seeing broken down by households with at least one member with a reported and/or registered disability on the admin of overall</t>
  </si>
  <si>
    <t>Percentage of households with at least one member that has difficulties seeing broken down by urbanity on the admin of overall</t>
  </si>
  <si>
    <t>Percentage of households with at least one member that has difficulties seeing broken down by household size on the admin of overall</t>
  </si>
  <si>
    <t>Percentage of households with at least one member that has difficulties seeing broken down by income per capita (quartiles) on the admin of overall</t>
  </si>
  <si>
    <t>Percentage of households with at least one member that has difficulties seeing broken down by gender of head of household on the admin of overall</t>
  </si>
  <si>
    <t>Percentage of households with at least one member that has difficulties seeing broken down by age of adults in the households on the admin of overall</t>
  </si>
  <si>
    <t>Percentage of households with at least one member that has difficulties seeing broken down by households with at least one child (&lt;18 y.o.) on the admin of overall</t>
  </si>
  <si>
    <t>Percentage of households with at least one member that has difficulties seeing broken down by displacement status of head of household on the admin of overall</t>
  </si>
  <si>
    <t>Percentage of households with at least one member that has difficulties seeing broken down by IDP household on the admin of overall</t>
  </si>
  <si>
    <t>Percentage of households with at least one member that has difficulties seeing broken down by proximity to frontline/border with Russian Federation on the admin of overall</t>
  </si>
  <si>
    <t>Percentage of households with at least one member that has difficulties seeing broken down by caregiving status  on the admin of overall</t>
  </si>
  <si>
    <t>Percentage of households with at least one member that has difficulties hearing on the admin of overall</t>
  </si>
  <si>
    <t>Percentage of households with at least one member that has difficulties hearing broken down by households with at least one member with a reported and/or registered disability on the admin of overall</t>
  </si>
  <si>
    <t>Percentage of households with at least one member that has difficulties hearing broken down by urbanity on the admin of overall</t>
  </si>
  <si>
    <t>Percentage of households with at least one member that has difficulties hearing broken down by household size on the admin of overall</t>
  </si>
  <si>
    <t>Percentage of households with at least one member that has difficulties hearing broken down by income per capita (quartiles) on the admin of overall</t>
  </si>
  <si>
    <t>Percentage of households with at least one member that has difficulties hearing broken down by gender of head of household on the admin of overall</t>
  </si>
  <si>
    <t>Percentage of households with at least one member that has difficulties hearing broken down by age of adults in the households on the admin of overall</t>
  </si>
  <si>
    <t>Percentage of households with at least one member that has difficulties hearing broken down by households with at least one child (&lt;18 y.o.) on the admin of overall</t>
  </si>
  <si>
    <t>Percentage of households with at least one member that has difficulties hearing broken down by displacement status of head of household on the admin of overall</t>
  </si>
  <si>
    <t>Percentage of households with at least one member that has difficulties hearing broken down by IDP household on the admin of overall</t>
  </si>
  <si>
    <t>Percentage of households with at least one member that has difficulties hearing broken down by proximity to frontline/border with Russian Federation on the admin of overall</t>
  </si>
  <si>
    <t>Percentage of households with at least one member that has difficulties hearing broken down by caregiving status  on the admin of overall</t>
  </si>
  <si>
    <t>Percentage of households with at least one member that has difficulties walking on the admin of overall</t>
  </si>
  <si>
    <t>Percentage of households with at least one member that has difficulties walking broken down by households with at least one member with a reported and/or registered disability on the admin of overall</t>
  </si>
  <si>
    <t>Percentage of households with at least one member that has difficulties walking broken down by urbanity on the admin of overall</t>
  </si>
  <si>
    <t>Percentage of households with at least one member that has difficulties walking broken down by household size on the admin of overall</t>
  </si>
  <si>
    <t>Percentage of households with at least one member that has difficulties walking broken down by income per capita (quartiles) on the admin of overall</t>
  </si>
  <si>
    <t>Percentage of households with at least one member that has difficulties walking broken down by gender of head of household on the admin of overall</t>
  </si>
  <si>
    <t>Percentage of households with at least one member that has difficulties walking broken down by age of adults in the households on the admin of overall</t>
  </si>
  <si>
    <t>Percentage of households with at least one member that has difficulties walking broken down by households with at least one child (&lt;18 y.o.) on the admin of overall</t>
  </si>
  <si>
    <t>Percentage of households with at least one member that has difficulties walking broken down by displacement status of head of household on the admin of overall</t>
  </si>
  <si>
    <t>Percentage of households with at least one member that has difficulties walking broken down by IDP household on the admin of overall</t>
  </si>
  <si>
    <t>Percentage of households with at least one member that has difficulties walking broken down by proximity to frontline/border with Russian Federation on the admin of overall</t>
  </si>
  <si>
    <t>Percentage of households with at least one member that has difficulties walking broken down by caregiving status  on the admin of overall</t>
  </si>
  <si>
    <t>Percentage of households with at least one member that has difficulties concentrating on the admin of overall</t>
  </si>
  <si>
    <t>Percentage of households with at least one member that has difficulties concentrating broken down by households with at least one member with a reported and/or registered disability on the admin of overall</t>
  </si>
  <si>
    <t>Percentage of households with at least one member that has difficulties concentrating broken down by urbanity on the admin of overall</t>
  </si>
  <si>
    <t>Percentage of households with at least one member that has difficulties concentrating broken down by household size on the admin of overall</t>
  </si>
  <si>
    <t>Percentage of households with at least one member that has difficulties concentrating broken down by income per capita (quartiles) on the admin of overall</t>
  </si>
  <si>
    <t>Percentage of households with at least one member that has difficulties concentrating broken down by gender of head of household on the admin of overall</t>
  </si>
  <si>
    <t>Percentage of households with at least one member that has difficulties concentrating broken down by age of adults in the households on the admin of overall</t>
  </si>
  <si>
    <t>Percentage of households with at least one member that has difficulties concentrating broken down by households with at least one child (&lt;18 y.o.) on the admin of overall</t>
  </si>
  <si>
    <t>Percentage of households with at least one member that has difficulties concentrating broken down by displacement status of head of household on the admin of overall</t>
  </si>
  <si>
    <t>Percentage of households with at least one member that has difficulties concentrating broken down by IDP household on the admin of overall</t>
  </si>
  <si>
    <t>Percentage of households with at least one member that has difficulties concentrating broken down by proximity to frontline/border with Russian Federation on the admin of overall</t>
  </si>
  <si>
    <t>Percentage of households with at least one member that has difficulties concentrating broken down by caregiving status  on the admin of overall</t>
  </si>
  <si>
    <t>Percentage of households with at least one member that has difficulties performing self-care on the admin of overall</t>
  </si>
  <si>
    <t>Percentage of households with at least one member that has difficulties performing self-care broken down by households with at least one member with a reported and/or registered disability on the admin of overall</t>
  </si>
  <si>
    <t>Percentage of households with at least one member that has difficulties performing self-care broken down by urbanity on the admin of overall</t>
  </si>
  <si>
    <t>Percentage of households with at least one member that has difficulties performing self-care broken down by household size on the admin of overall</t>
  </si>
  <si>
    <t>Percentage of households with at least one member that has difficulties performing self-care broken down by income per capita (quartiles) on the admin of overall</t>
  </si>
  <si>
    <t>Percentage of households with at least one member that has difficulties performing self-care broken down by gender of head of household on the admin of overall</t>
  </si>
  <si>
    <t>Percentage of households with at least one member that has difficulties performing self-care broken down by age of adults in the households on the admin of overall</t>
  </si>
  <si>
    <t>Percentage of households with at least one member that has difficulties performing self-care broken down by households with at least one child (&lt;18 y.o.) on the admin of overall</t>
  </si>
  <si>
    <t>Percentage of households with at least one member that has difficulties performing self-care broken down by displacement status of head of household on the admin of overall</t>
  </si>
  <si>
    <t>Percentage of households with at least one member that has difficulties performing self-care broken down by IDP household on the admin of overall</t>
  </si>
  <si>
    <t>Percentage of households with at least one member that has difficulties performing self-care broken down by proximity to frontline/border with Russian Federation on the admin of overall</t>
  </si>
  <si>
    <t>Percentage of households with at least one member that has difficulties performing self-care broken down by caregiving status  on the admin of overall</t>
  </si>
  <si>
    <t>Percentage of households with at least one member that has difficulties communicating on the admin of overall</t>
  </si>
  <si>
    <t>Percentage of households with at least one member that has difficulties communicating broken down by households with at least one member with a reported and/or registered disability on the admin of overall</t>
  </si>
  <si>
    <t>Percentage of households with at least one member that has difficulties communicating broken down by urbanity on the admin of overall</t>
  </si>
  <si>
    <t>Percentage of households with at least one member that has difficulties communicating broken down by household size on the admin of overall</t>
  </si>
  <si>
    <t>Percentage of households with at least one member that has difficulties communicating broken down by income per capita (quartiles) on the admin of overall</t>
  </si>
  <si>
    <t>Percentage of households with at least one member that has difficulties communicating broken down by gender of head of household on the admin of overall</t>
  </si>
  <si>
    <t>Percentage of households with at least one member that has difficulties communicating broken down by age of adults in the households on the admin of overall</t>
  </si>
  <si>
    <t>Percentage of households with at least one member that has difficulties communicating broken down by households with at least one child (&lt;18 y.o.) on the admin of overall</t>
  </si>
  <si>
    <t>Percentage of households with at least one member that has difficulties communicating broken down by displacement status of head of household on the admin of overall</t>
  </si>
  <si>
    <t>Percentage of households with at least one member that has difficulties communicating broken down by IDP household on the admin of overall</t>
  </si>
  <si>
    <t>Percentage of households with at least one member that has difficulties communicating broken down by proximity to frontline/border with Russian Federation on the admin of overall</t>
  </si>
  <si>
    <t>Percentage of households with at least one member that has difficulties communicating broken down by caregiving status  on the admin of overall</t>
  </si>
  <si>
    <t>Percentage of households with school-aged children (3-17 y.o.) whose education was disrupted monthly by prolonged or repetitive air alerts during the 2024-2025 school year on the admin of overall</t>
  </si>
  <si>
    <t>Percentage of households with school-aged children (3-17 y.o.) whose education was disrupted monthly by prolonged or repetitive air alerts during the 2024-2025 school year broken down by households with at least one member with a reported and/or registered disability on the admin of overall</t>
  </si>
  <si>
    <t>Percentage of households with school-aged children (3-17 y.o.) whose education was disrupted monthly by prolonged or repetitive air alerts during the 2024-2025 school year broken down by urbanity on the admin of overall</t>
  </si>
  <si>
    <t>Percentage of households with school-aged children (3-17 y.o.) whose education was disrupted monthly by prolonged or repetitive air alerts during the 2024-2025 school year broken down by household size on the admin of overall</t>
  </si>
  <si>
    <t>Percentage of households with school-aged children (3-17 y.o.) whose education was disrupted monthly by prolonged or repetitive air alerts during the 2024-2025 school year broken down by income per capita (quartiles) on the admin of overall</t>
  </si>
  <si>
    <t>Percentage of households with school-aged children (3-17 y.o.) whose education was disrupted monthly by prolonged or repetitive air alerts during the 2024-2025 school year broken down by gender of head of household on the admin of overall</t>
  </si>
  <si>
    <t>Percentage of households with school-aged children (3-17 y.o.) whose education was disrupted monthly by prolonged or repetitive air alerts during the 2024-2025 school year broken down by age of adults in the households on the admin of overall</t>
  </si>
  <si>
    <t>Percentage of households with school-aged children (3-17 y.o.) whose education was disrupted monthly by prolonged or repetitive air alerts during the 2024-2025 school year broken down by displacement status of head of household on the admin of overall</t>
  </si>
  <si>
    <t>Percentage of households with school-aged children (3-17 y.o.) whose education was disrupted monthly by prolonged or repetitive air alerts during the 2024-2025 school year broken down by IDP household on the admin of overall</t>
  </si>
  <si>
    <t>Percentage of households with school-aged children (3-17 y.o.) whose education was disrupted monthly by prolonged or repetitive air alerts during the 2024-2025 school year broken down by proximity to frontline/border with Russian Federation on the admin of overall</t>
  </si>
  <si>
    <t>Percentage of households by time adults spend on supporting children's education on the admin of overall</t>
  </si>
  <si>
    <t>Less than 5 hours</t>
  </si>
  <si>
    <t>5 to 10 hours</t>
  </si>
  <si>
    <t>More than 10 hours</t>
  </si>
  <si>
    <t>0 hours (no support)</t>
  </si>
  <si>
    <t>Percentage of households by time adults spend on supporting children's education broken down by households with at least one member with a reported and/or registered disability on the admin of overall</t>
  </si>
  <si>
    <t>Percentage of households by time adults spend on supporting children's education broken down by urbanity on the admin of overall</t>
  </si>
  <si>
    <t>Percentage of households by time adults spend on supporting children's education broken down by household size on the admin of overall</t>
  </si>
  <si>
    <t>Percentage of households by time adults spend on supporting children's education broken down by income per capita (quartiles) on the admin of overall</t>
  </si>
  <si>
    <t>Percentage of households by time adults spend on supporting children's education broken down by gender of head of household on the admin of overall</t>
  </si>
  <si>
    <t>Percentage of households by time adults spend on supporting children's education broken down by age of adults in the households on the admin of overall</t>
  </si>
  <si>
    <t>Percentage of households by time adults spend on supporting children's education broken down by displacement status of head of household on the admin of overall</t>
  </si>
  <si>
    <t>Percentage of households by time adults spend on supporting children's education broken down by IDP household on the admin of overall</t>
  </si>
  <si>
    <t>Percentage of households by time adults spend on supporting children's education broken down by proximity to frontline/border with Russian Federation on the admin of overall</t>
  </si>
  <si>
    <t>Percentage of households by displacement status of head of household on the admin of overall</t>
  </si>
  <si>
    <t>Percentage of households by displacement status of head of household broken down by households with at least one member with a reported and/or registered disability on the admin of overall</t>
  </si>
  <si>
    <t>Percentage of households by displacement status of head of household broken down by urbanity on the admin of overall</t>
  </si>
  <si>
    <t>Percentage of households by displacement status of head of household broken down by household size on the admin of overall</t>
  </si>
  <si>
    <t>Percentage of households by displacement status of head of household broken down by income per capita (quartiles) on the admin of overall</t>
  </si>
  <si>
    <t>Percentage of households by displacement status of head of household broken down by gender of head of household on the admin of overall</t>
  </si>
  <si>
    <t>Percentage of households by displacement status of head of household broken down by age of adults in the households on the admin of overall</t>
  </si>
  <si>
    <t>Percentage of households by displacement status of head of household broken down by households with at least one child (&lt;18 y.o.) on the admin of overall</t>
  </si>
  <si>
    <t>Percentage of households by displacement status of head of household broken down by proximity to frontline/border with Russian Federation on the admin of overall</t>
  </si>
  <si>
    <t>Percentage of households by displacement status of head of household broken down by caregiving status  on the admin of overall</t>
  </si>
  <si>
    <t>Households which are IDPs, by duration of most recent displacement (months) on the admin of overall</t>
  </si>
  <si>
    <t>12 months or more</t>
  </si>
  <si>
    <t>9 months or more but less than 12 months</t>
  </si>
  <si>
    <t>1 month or more but less than 3 months</t>
  </si>
  <si>
    <t>3 months or more but less than 6 months</t>
  </si>
  <si>
    <t>6 months or more, but less than 9 months</t>
  </si>
  <si>
    <t>less than 1 month</t>
  </si>
  <si>
    <t>Households which are returnees, by duration of displacement before return (months) on the admin of overall</t>
  </si>
  <si>
    <t>Households which are returnees, by length since most recent return (months) on the admin of overall</t>
  </si>
  <si>
    <t>Households which are IDPs, by duration in current place of residence (months) on the admin of overall</t>
  </si>
  <si>
    <t>Households which are displaced within settlements, by duration of most recent displacement (months) on the admin of overall</t>
  </si>
  <si>
    <t>Percentage of displaced households by oblast of origin on the admin of overall</t>
  </si>
  <si>
    <t>Donetska</t>
  </si>
  <si>
    <t>Kharkivska</t>
  </si>
  <si>
    <t>Khersonska</t>
  </si>
  <si>
    <t>Luhaska</t>
  </si>
  <si>
    <t>Zaporizka</t>
  </si>
  <si>
    <t>Kyiv</t>
  </si>
  <si>
    <t>Sumska</t>
  </si>
  <si>
    <t>Dnipropetrovska</t>
  </si>
  <si>
    <t>Kyivska</t>
  </si>
  <si>
    <t>Chernihivska</t>
  </si>
  <si>
    <t>Vinnytska</t>
  </si>
  <si>
    <t>Khmelnytska</t>
  </si>
  <si>
    <t>Lvivska</t>
  </si>
  <si>
    <t>Odeska</t>
  </si>
  <si>
    <t>Mykolaivska</t>
  </si>
  <si>
    <t>Zhytomyrska</t>
  </si>
  <si>
    <t>Chernivetska</t>
  </si>
  <si>
    <t>Poltavska</t>
  </si>
  <si>
    <t>Cherkaska</t>
  </si>
  <si>
    <t>Percentage of households with at least one member with IDP certificate/receiving IDP payments on the admin of overall</t>
  </si>
  <si>
    <t>No one in my household has an IDP certificate and does not receive IDP payments</t>
  </si>
  <si>
    <t>At least one or more people have an IDP certificate and receive IDP payments</t>
  </si>
  <si>
    <t xml:space="preserve">At least one or more people have an IDP certificate, but no one receives IDP payments </t>
  </si>
  <si>
    <t>Percentage of returnee households by reasons for return to their habitual place of residence on the admin of overall</t>
  </si>
  <si>
    <t xml:space="preserve">Security situation improved in habitual place of residence </t>
  </si>
  <si>
    <t xml:space="preserve">Personal reasons (e.g. family reunification, community rebuilding) </t>
  </si>
  <si>
    <t xml:space="preserve">Educational reasons (e.g. difficulty accessing such services in the displacement location) </t>
  </si>
  <si>
    <t xml:space="preserve">Economic opportunities in habitual place of residence (e.g. return to old workplace/available vacancies) </t>
  </si>
  <si>
    <t xml:space="preserve">Economic challenges in location of displacement (e.g. unable to access adequate employment opportunities) </t>
  </si>
  <si>
    <t xml:space="preserve">Accommodation challenges in location of displacement (e.g. unable to access adequate and/or affordable accommodation in previous area) </t>
  </si>
  <si>
    <t xml:space="preserve">Medical reasons (e.g. difficulty accessing such services in the displacement location) </t>
  </si>
  <si>
    <t xml:space="preserve">Need to secure personal housing, land, or property in habitual place of residence </t>
  </si>
  <si>
    <t xml:space="preserve">Need to care for family members who stayed in habitual place of residence </t>
  </si>
  <si>
    <t xml:space="preserve">Security situation worsened in location of displacement </t>
  </si>
  <si>
    <t xml:space="preserve">Lost access to IDP benefits </t>
  </si>
  <si>
    <t xml:space="preserve">Obtaining new or replacing old documentation </t>
  </si>
  <si>
    <t xml:space="preserve">Can access humanitarian assistance in habitual place of residence </t>
  </si>
  <si>
    <t xml:space="preserve">Discrimination in location of displacement </t>
  </si>
  <si>
    <t>Percentage of returnee households by reasons for return to their habitual place of residence broken down by households with at least one member with a reported and/or registered disability on the admin of overall</t>
  </si>
  <si>
    <t>Percentage of returnee households by reasons for return to their habitual place of residence broken down by urbanity on the admin of overall</t>
  </si>
  <si>
    <t>Percentage of returnee households by reasons for return to their habitual place of residence broken down by household size on the admin of overall</t>
  </si>
  <si>
    <t>Percentage of returnee households by reasons for return to their habitual place of residence broken down by income per capita (quartiles) on the admin of overall</t>
  </si>
  <si>
    <t>Percentage of returnee households by reasons for return to their habitual place of residence broken down by gender of head of household on the admin of overall</t>
  </si>
  <si>
    <t>Percentage of returnee households by reasons for return to their habitual place of residence broken down by age of adults in the households on the admin of overall</t>
  </si>
  <si>
    <t>Percentage of returnee households by reasons for return to their habitual place of residence broken down by households with at least one child (&lt;18 y.o.) on the admin of overall</t>
  </si>
  <si>
    <t>Percentage of returnee households by reasons for return to their habitual place of residence broken down by displacement status of head of household on the admin of overall</t>
  </si>
  <si>
    <t>Percentage of returnee households by reasons for return to their habitual place of residence broken down by IDP household on the admin of overall</t>
  </si>
  <si>
    <t>Percentage of returnee households by reasons for return to their habitual place of residence broken down by proximity to frontline/border with Russian Federation on the admin of overall</t>
  </si>
  <si>
    <t>Percentage of returnee households by reasons for return to their habitual place of residence broken down by caregiving status  on the admin of overall</t>
  </si>
  <si>
    <t>Percentage of households who were evacuated in the past 6 months on the admin of overall</t>
  </si>
  <si>
    <t>Percentage of households who were evacuated in the past 6 months broken down by households with at least one member with a reported and/or registered disability on the admin of overall</t>
  </si>
  <si>
    <t>Percentage of households who were evacuated in the past 6 months broken down by urbanity on the admin of overall</t>
  </si>
  <si>
    <t>Percentage of households who were evacuated in the past 6 months broken down by household size on the admin of overall</t>
  </si>
  <si>
    <t>Percentage of households who were evacuated in the past 6 months broken down by income per capita (quartiles) on the admin of overall</t>
  </si>
  <si>
    <t>Percentage of households who were evacuated in the past 6 months broken down by gender of head of household on the admin of overall</t>
  </si>
  <si>
    <t>15</t>
  </si>
  <si>
    <t>Percentage of households who were evacuated in the past 6 months broken down by age of adults in the households on the admin of overall</t>
  </si>
  <si>
    <t>Percentage of households who were evacuated in the past 6 months broken down by households with at least one child (&lt;18 y.o.) on the admin of overall</t>
  </si>
  <si>
    <t>29</t>
  </si>
  <si>
    <t>Percentage of households who were evacuated in the past 6 months broken down by proximity to frontline/border with Russian Federation on the admin of overall</t>
  </si>
  <si>
    <t>Percentage of households who were evacuated in the past 6 months broken down by caregiving status  on the admin of overall</t>
  </si>
  <si>
    <t>Households reporting expenditures in the last 30 days, by type on the admin of overall</t>
  </si>
  <si>
    <t xml:space="preserve">Food items </t>
  </si>
  <si>
    <t xml:space="preserve">Communications (phone airtime, Internet costs, etc.) </t>
  </si>
  <si>
    <t>Utilities (electricity, gas connections, water supply, etc)</t>
  </si>
  <si>
    <t xml:space="preserve">Other hygiene items (personal and domestic, e.g. laundry detergent, soap, shampoo, cleaning materials, etc.) </t>
  </si>
  <si>
    <t>Transportation (e.g. public transport, car maintenance, fuel for vehicles, etc.)</t>
  </si>
  <si>
    <t xml:space="preserve">Feminine hygiene products </t>
  </si>
  <si>
    <t xml:space="preserve">Water (except for utilities) </t>
  </si>
  <si>
    <t>Pet care (pet food, veterinary care etc.)</t>
  </si>
  <si>
    <t>Clothing and shoes</t>
  </si>
  <si>
    <t xml:space="preserve">Non-hygiene, non-food household items for frequent purchase (lightbulbs, cooking utensils, etc.) </t>
  </si>
  <si>
    <t xml:space="preserve">Recreation, sport, and culture </t>
  </si>
  <si>
    <t xml:space="preserve">Rent for shelter and/or land </t>
  </si>
  <si>
    <t>Fuel for other purposes (e.g for cooking, and excluding fuel for cars)</t>
  </si>
  <si>
    <t>Childcare, elderly care, care for disabled people (e.g. Paying for childcare services, paying for elder care services)</t>
  </si>
  <si>
    <t>All other frequent expenditure (specify)</t>
  </si>
  <si>
    <t>My household did not spend any money over the last 30 days</t>
  </si>
  <si>
    <t>Households reporting expenditures in the last 30 days, by type broken down by households with at least one member with a reported and/or registered disability on the admin of overall</t>
  </si>
  <si>
    <t>Households reporting expenditures in the last 30 days, by type broken down by urbanity on the admin of overall</t>
  </si>
  <si>
    <t>Households reporting expenditures in the last 30 days, by type broken down by household size on the admin of overall</t>
  </si>
  <si>
    <t>Households reporting expenditures in the last 30 days, by type broken down by income per capita (quartiles) on the admin of overall</t>
  </si>
  <si>
    <t>Households reporting expenditures in the last 30 days, by type broken down by gender of head of household on the admin of overall</t>
  </si>
  <si>
    <t>Households reporting expenditures in the last 30 days, by type broken down by age of adults in the households on the admin of overall</t>
  </si>
  <si>
    <t>Households reporting expenditures in the last 30 days, by type broken down by households with at least one child (&lt;18 y.o.) on the admin of overall</t>
  </si>
  <si>
    <t>Households reporting expenditures in the last 30 days, by type broken down by displacement status of head of household on the admin of overall</t>
  </si>
  <si>
    <t>Households reporting expenditures in the last 30 days, by type broken down by IDP household on the admin of overall</t>
  </si>
  <si>
    <t>Households reporting expenditures in the last 30 days, by type broken down by proximity to frontline/border with Russian Federation on the admin of overall</t>
  </si>
  <si>
    <t>Households reporting expenditures in the last 30 days, by type broken down by caregiving status  on the admin of overall</t>
  </si>
  <si>
    <t>mean_Food items</t>
  </si>
  <si>
    <t>median_Food items</t>
  </si>
  <si>
    <t>min_Food items</t>
  </si>
  <si>
    <t>max_Food items</t>
  </si>
  <si>
    <t>general_count_Food items</t>
  </si>
  <si>
    <t>mean_Clothing and shoes</t>
  </si>
  <si>
    <t>median_Clothing and shoes</t>
  </si>
  <si>
    <t>min_Clothing and shoes</t>
  </si>
  <si>
    <t>max_Clothing and shoes</t>
  </si>
  <si>
    <t>general_count_Clothing and shoes</t>
  </si>
  <si>
    <t>mean_Rent for shelter and/or land</t>
  </si>
  <si>
    <t>median_Rent for shelter and/or land</t>
  </si>
  <si>
    <t>min_Rent for shelter and/or land</t>
  </si>
  <si>
    <t>max_Rent for shelter and/or land</t>
  </si>
  <si>
    <t>general_count_Rent for shelter and/or land</t>
  </si>
  <si>
    <t>mean_Water (except for utilities)</t>
  </si>
  <si>
    <t>median_Water (except for utilities)</t>
  </si>
  <si>
    <t>min_Water (except for utilities)</t>
  </si>
  <si>
    <t>max_Water (except for utilities)</t>
  </si>
  <si>
    <t>general_count_Water (except for utilities)</t>
  </si>
  <si>
    <t>mean_Feminine hygiene products</t>
  </si>
  <si>
    <t>median_Feminine hygiene products</t>
  </si>
  <si>
    <t>min_Feminine hygiene products</t>
  </si>
  <si>
    <t>max_Feminine hygiene products</t>
  </si>
  <si>
    <t>general_count_Feminine hygiene products</t>
  </si>
  <si>
    <t>mean_Other hygiene items</t>
  </si>
  <si>
    <t>median_Other hygiene items</t>
  </si>
  <si>
    <t>min_Other hygiene items</t>
  </si>
  <si>
    <t>max_Other hygiene items</t>
  </si>
  <si>
    <t>general_count_Other hygiene items</t>
  </si>
  <si>
    <t>mean_Non-hygiene, non-food household items</t>
  </si>
  <si>
    <t>median_Non-hygiene, non-food household items</t>
  </si>
  <si>
    <t>min_Non-hygiene, non-food household items</t>
  </si>
  <si>
    <t>max_Non-hygiene, non-food household items</t>
  </si>
  <si>
    <t>general_count_Non-hygiene, non-food household items</t>
  </si>
  <si>
    <t xml:space="preserve">mean_Utilities </t>
  </si>
  <si>
    <t xml:space="preserve">median_Utilities </t>
  </si>
  <si>
    <t xml:space="preserve">min_Utilities </t>
  </si>
  <si>
    <t xml:space="preserve">max_Utilities </t>
  </si>
  <si>
    <t xml:space="preserve">general_count_Utilities </t>
  </si>
  <si>
    <t>mean_Transportation</t>
  </si>
  <si>
    <t>median_Transportation</t>
  </si>
  <si>
    <t>min_Transportation</t>
  </si>
  <si>
    <t>max_Transportation</t>
  </si>
  <si>
    <t>general_count_Transportation</t>
  </si>
  <si>
    <t>mean_Fuel for other purposes</t>
  </si>
  <si>
    <t>median_Fuel for other purposes</t>
  </si>
  <si>
    <t>min_Fuel for other purposes</t>
  </si>
  <si>
    <t>max_Fuel for other purposes</t>
  </si>
  <si>
    <t>general_count_Fuel for other purposes</t>
  </si>
  <si>
    <t xml:space="preserve">mean_Communications </t>
  </si>
  <si>
    <t xml:space="preserve">median_Communications </t>
  </si>
  <si>
    <t xml:space="preserve">min_Communications </t>
  </si>
  <si>
    <t xml:space="preserve">max_Communications </t>
  </si>
  <si>
    <t xml:space="preserve">general_count_Communications </t>
  </si>
  <si>
    <t>mean_Care services (Childcare, elderly care, care for disabled people)</t>
  </si>
  <si>
    <t>median_Care services (Childcare, elderly care, care for disabled people)</t>
  </si>
  <si>
    <t>min_Care services (Childcare, elderly care, care for disabled people)</t>
  </si>
  <si>
    <t>max_Care services (Childcare, elderly care, care for disabled people)</t>
  </si>
  <si>
    <t>general_count_Care services (Childcare, elderly care, care for disabled people)</t>
  </si>
  <si>
    <t>mean_Recreation, sport, and culture</t>
  </si>
  <si>
    <t>median_Recreation, sport, and culture</t>
  </si>
  <si>
    <t>min_Recreation, sport, and culture</t>
  </si>
  <si>
    <t>max_Recreation, sport, and culture</t>
  </si>
  <si>
    <t>general_count_Recreation, sport, and culture</t>
  </si>
  <si>
    <t>mean_Pet care (pet food, veterinary care)</t>
  </si>
  <si>
    <t>median_Pet care (pet food, veterinary care)</t>
  </si>
  <si>
    <t>min_Pet care (pet food, veterinary care)</t>
  </si>
  <si>
    <t>max_Pet care (pet food, veterinary care)</t>
  </si>
  <si>
    <t>general_count_Pet care (pet food, veterinary care)</t>
  </si>
  <si>
    <t xml:space="preserve">mean_All other frequent expenditures </t>
  </si>
  <si>
    <t xml:space="preserve">median_All other frequent expenditures </t>
  </si>
  <si>
    <t xml:space="preserve">min_All other frequent expenditures </t>
  </si>
  <si>
    <t xml:space="preserve">max_All other frequent expenditures </t>
  </si>
  <si>
    <t xml:space="preserve">general_count_All other frequent expenditures </t>
  </si>
  <si>
    <t>general_count_max</t>
  </si>
  <si>
    <t>Household Domestic Expenditure over the last 30 days, by type and amount by households with at least one member with a reported and/or registered disability</t>
  </si>
  <si>
    <t>Household Domestic Expenditure over the last 30 days, by type and amount by urbanity</t>
  </si>
  <si>
    <t>Household Domestic Expenditure over the last 30 days, by type and amount by household size</t>
  </si>
  <si>
    <t>Household Domestic Expenditure over the last 30 days, by type and amount by gender of head of household</t>
  </si>
  <si>
    <t>Household Domestic Expenditure over the last 30 days, by type and amount by age of adults in the households</t>
  </si>
  <si>
    <t>Household Domestic Expenditure over the last 30 days, by type and amount by households with at least one child (&lt;18 y.o.)</t>
  </si>
  <si>
    <t>Household Domestic Expenditure over the last 30 days, by type and amount by displacement status of head of household</t>
  </si>
  <si>
    <t>Household Domestic Expenditure over the last 30 days, by type and amount by IDP household</t>
  </si>
  <si>
    <t>Household Domestic Expenditure over the last 30 days, by type and amount by proximity to frontline/border with Russian Federation</t>
  </si>
  <si>
    <t xml:space="preserve">Household Domestic Expenditure over the last 30 days, by type and amount by caregiving status </t>
  </si>
  <si>
    <t>Monthly household expenditures on heating last winter on the admin of overall</t>
  </si>
  <si>
    <t>Monthly household expenditures on heating last winter broken down by households with at least one member with a reported and/or registered disability on the admin of overall</t>
  </si>
  <si>
    <t>Monthly household expenditures on heating last winter broken down by urbanity on the admin of overall</t>
  </si>
  <si>
    <t>Monthly household expenditures on heating last winter broken down by household size on the admin of overall</t>
  </si>
  <si>
    <t>Monthly household expenditures on heating last winter broken down by income per capita (quartiles) on the admin of overall</t>
  </si>
  <si>
    <t>Monthly household expenditures on heating last winter broken down by gender of head of household on the admin of overall</t>
  </si>
  <si>
    <t>Monthly household expenditures on heating last winter broken down by age of adults in the households on the admin of overall</t>
  </si>
  <si>
    <t>Monthly household expenditures on heating last winter broken down by households with at least one child (&lt;18 y.o.) on the admin of overall</t>
  </si>
  <si>
    <t>Monthly household expenditures on heating last winter broken down by displacement status of head of household on the admin of overall</t>
  </si>
  <si>
    <t>Monthly household expenditures on heating last winter broken down by IDP household on the admin of overall</t>
  </si>
  <si>
    <t>Monthly household expenditures on heating last winter broken down by proximity to frontline/border with Russian Federation on the admin of overall</t>
  </si>
  <si>
    <t>Monthly household expenditures on heating last winter broken down by caregiving status  on the admin of overall</t>
  </si>
  <si>
    <t>Households reporting  long term expenditures in the past 6 months, by type on the admin of overall</t>
  </si>
  <si>
    <t>Health-related expenditures (healthcare, medicine, etc.)</t>
  </si>
  <si>
    <t>Shelter maintenance or repair</t>
  </si>
  <si>
    <t>Non-food household items for infrequent purchase (blankets, cooking pots, etc.)</t>
  </si>
  <si>
    <t>Education-related expenditures (school fees, supplies, uniforms, etc.)</t>
  </si>
  <si>
    <t>Debt repayment</t>
  </si>
  <si>
    <t>My household did not spend any money on the infrequent expenditures over the last 6 months</t>
  </si>
  <si>
    <t>All other infrequent expenditures (please specify)</t>
  </si>
  <si>
    <t>mean_Shelter maintenance or repair</t>
  </si>
  <si>
    <t>median_Shelter maintenance or repair</t>
  </si>
  <si>
    <t>min_Shelter maintenance or repair</t>
  </si>
  <si>
    <t>max_Shelter maintenance or repair</t>
  </si>
  <si>
    <t>general_count_Shelter maintenance or repair</t>
  </si>
  <si>
    <t>mean_Non-food items for infrequent purchase</t>
  </si>
  <si>
    <t>median_Non-food items for infrequent purchase</t>
  </si>
  <si>
    <t>min_Non-food items for infrequent purchase</t>
  </si>
  <si>
    <t>max_Non-food items for infrequent purchase</t>
  </si>
  <si>
    <t>general_count_Non-food items for infrequent purchase</t>
  </si>
  <si>
    <t>mean_Health-related expenditures</t>
  </si>
  <si>
    <t>median_Health-related expenditures</t>
  </si>
  <si>
    <t>min_Health-related expenditures</t>
  </si>
  <si>
    <t>max_Health-related expenditures</t>
  </si>
  <si>
    <t>general_count_Health-related expenditures</t>
  </si>
  <si>
    <t>mean_Education-related expenditures</t>
  </si>
  <si>
    <t>median_Education-related expenditures</t>
  </si>
  <si>
    <t>min_Education-related expenditures</t>
  </si>
  <si>
    <t>max_Education-related expenditures</t>
  </si>
  <si>
    <t>general_count_Education-related expenditures</t>
  </si>
  <si>
    <t>mean_Debt repayment</t>
  </si>
  <si>
    <t>median_Debt repayment</t>
  </si>
  <si>
    <t>min_Debt repayment</t>
  </si>
  <si>
    <t>max_Debt repayment</t>
  </si>
  <si>
    <t>general_count_Debt repayment</t>
  </si>
  <si>
    <t>mean_All other infrequent expenditures</t>
  </si>
  <si>
    <t>median_All other infrequent expenditures</t>
  </si>
  <si>
    <t>min_All other infrequent expenditures</t>
  </si>
  <si>
    <t>max_All other infrequent expenditures</t>
  </si>
  <si>
    <t>general_count_All other infrequent expenditures</t>
  </si>
  <si>
    <t>Households reporting  long term expenditures in the past 6 months, by type broken down by households with at least one member with a reported and/or registered disability on the admin of overall</t>
  </si>
  <si>
    <t>Household Domestic Expenditure over the last 6 months, by type and amount by households with at least one member with a reported and/or registered disability</t>
  </si>
  <si>
    <t>Households reporting  long term expenditures in the past 6 months, by type broken down by urbanity on the admin of overall</t>
  </si>
  <si>
    <t>Household Domestic Expenditure over the last 6 months, by type and amount by urbanity</t>
  </si>
  <si>
    <t>Households reporting  long term expenditures in the past 6 months, by type broken down by household size on the admin of overall</t>
  </si>
  <si>
    <t>Household Domestic Expenditure over the last 6 months, by type and amount by household size</t>
  </si>
  <si>
    <t>Households reporting  long term expenditures in the past 6 months, by type broken down by gender of head of household on the admin of overall</t>
  </si>
  <si>
    <t>Household Domestic Expenditure over the last 6 months, by type and amount by gender of head of household</t>
  </si>
  <si>
    <t>Households reporting  long term expenditures in the past 6 months, by type broken down by age of adults in the households on the admin of overall</t>
  </si>
  <si>
    <t>Household Domestic Expenditure over the last 6 months, by type and amount by age of adults in the households</t>
  </si>
  <si>
    <t>Households reporting  long term expenditures in the past 6 months, by type broken down by households with at least one child (&lt;18 y.o.) on the admin of overall</t>
  </si>
  <si>
    <t>Household Domestic Expenditure over the last 6 months, by type and amount by households with at least one child (&lt;18 y.o.)</t>
  </si>
  <si>
    <t>Households reporting  long term expenditures in the past 6 months, by type broken down by displacement status of head of household on the admin of overall</t>
  </si>
  <si>
    <t>Household Domestic Expenditure over the last 6 months, by type and amount by displacement status of head of household</t>
  </si>
  <si>
    <t>Households reporting  long term expenditures in the past 6 months, by type broken down by IDP household on the admin of overall</t>
  </si>
  <si>
    <t>Household Domestic Expenditure over the last 6 months, by type and amount by IDP household</t>
  </si>
  <si>
    <t>Households reporting  long term expenditures in the past 6 months, by type broken down by proximity to frontline/border with Russian Federation on the admin of overall</t>
  </si>
  <si>
    <t>Household Domestic Expenditure over the last 6 months, by type and amount by proximity to frontline/border with Russian Federation</t>
  </si>
  <si>
    <t>Households reporting  long term expenditures in the past 6 months, by type broken down by caregiving status  on the admin of overall</t>
  </si>
  <si>
    <t xml:space="preserve">Household Domestic Expenditure over the last 6 months, by type and amount by caregiving status </t>
  </si>
  <si>
    <t>Total monthly expenditures per capita on the admin of overall</t>
  </si>
  <si>
    <t>Total monthly expenditures per capita broken down by households with at least one member with a reported and/or registered disability on the admin of overall</t>
  </si>
  <si>
    <t>Total monthly expenditures per capita broken down by urbanity on the admin of overall</t>
  </si>
  <si>
    <t>Total monthly expenditures per capita broken down by household size on the admin of overall</t>
  </si>
  <si>
    <t>Total monthly expenditures per capita broken down by income per capita (quartiles) on the admin of overall</t>
  </si>
  <si>
    <t>Total monthly expenditures per capita broken down by gender of head of household on the admin of overall</t>
  </si>
  <si>
    <t>Total monthly expenditures per capita broken down by age of adults in the households on the admin of overall</t>
  </si>
  <si>
    <t>Total monthly expenditures per capita broken down by households with at least one child (&lt;18 y.o.) on the admin of overall</t>
  </si>
  <si>
    <t>Total monthly expenditures per capita broken down by displacement status of head of household on the admin of overall</t>
  </si>
  <si>
    <t>Total monthly expenditures per capita broken down by IDP household on the admin of overall</t>
  </si>
  <si>
    <t>Total monthly expenditures per capita broken down by proximity to frontline/border with Russian Federation on the admin of overall</t>
  </si>
  <si>
    <t>Total monthly expenditures per capita broken down by caregiving status  on the admin of overall</t>
  </si>
  <si>
    <t>Percentage of households reporting completely lacking essential non-food items in the last 3 months, by type on the admin of overall</t>
  </si>
  <si>
    <t>Sufficient and appropriate clothing for winter and summer</t>
  </si>
  <si>
    <t>Cleaning products for the house (e.g. dishwasher soap, laundry detergent, cleaning solution, etc.)</t>
  </si>
  <si>
    <t>Hygiene products for the body (e.g. shampoo, razor, combs)</t>
  </si>
  <si>
    <t>Fuel for heating (coal, firewood, liquid gas)</t>
  </si>
  <si>
    <t xml:space="preserve">Bedding and towels (e.g. including mattresses, bedsheets, towels) </t>
  </si>
  <si>
    <t>Feminine hygiene items</t>
  </si>
  <si>
    <t>Water treatment product and materials</t>
  </si>
  <si>
    <t>Kitchen set (e.g .cooking and eating set)</t>
  </si>
  <si>
    <t>Heating appliances (heaters, boiler systems)</t>
  </si>
  <si>
    <t>Baby diapers</t>
  </si>
  <si>
    <t>Percentage of households reporting completely lacking essential non-food items in the last 3 months, by type broken down by households with at least one member with a reported and/or registered disability on the admin of overall</t>
  </si>
  <si>
    <t>Percentage of households reporting completely lacking essential non-food items in the last 3 months, by type broken down by urbanity on the admin of overall</t>
  </si>
  <si>
    <t>Percentage of households reporting completely lacking essential non-food items in the last 3 months, by type broken down by household size on the admin of overall</t>
  </si>
  <si>
    <t>Percentage of households reporting completely lacking essential non-food items in the last 3 months, by type broken down by income per capita (quartiles) on the admin of overall</t>
  </si>
  <si>
    <t>Percentage of households reporting completely lacking essential non-food items in the last 3 months, by type broken down by gender of head of household on the admin of overall</t>
  </si>
  <si>
    <t>Percentage of households reporting completely lacking essential non-food items in the last 3 months, by type broken down by age of adults in the households on the admin of overall</t>
  </si>
  <si>
    <t>Percentage of households reporting completely lacking essential non-food items in the last 3 months, by type broken down by households with at least one child (&lt;18 y.o.) on the admin of overall</t>
  </si>
  <si>
    <t>Percentage of households reporting completely lacking essential non-food items in the last 3 months, by type broken down by displacement status of head of household on the admin of overall</t>
  </si>
  <si>
    <t>Percentage of households reporting completely lacking essential non-food items in the last 3 months, by type broken down by IDP household on the admin of overall</t>
  </si>
  <si>
    <t>Percentage of households reporting completely lacking essential non-food items in the last 3 months, by type broken down by proximity to frontline/border with Russian Federation on the admin of overall</t>
  </si>
  <si>
    <t>Percentage of households reporting completely lacking essential non-food items in the last 3 months, by type broken down by caregiving status  on the admin of overall</t>
  </si>
  <si>
    <t>Households reporting primary income sources over the last 30 days, by type of income source on the admin of overall</t>
  </si>
  <si>
    <t xml:space="preserve">Salaried work, including from family members serving away from the home in the military </t>
  </si>
  <si>
    <t xml:space="preserve">Pension (age and prior military service) </t>
  </si>
  <si>
    <t>Regular government social benefits (disability pension, maternity benefits, assistance for low-income families)</t>
  </si>
  <si>
    <t>Informal/unofficial labour (including casual employment)</t>
  </si>
  <si>
    <t>Loans or support from family and friends in Ukraine</t>
  </si>
  <si>
    <t>IDP benefits from government</t>
  </si>
  <si>
    <t>Income from own business or merchant activity (not including own production)</t>
  </si>
  <si>
    <t>Remittances (money transfers from family and friends abroad)</t>
  </si>
  <si>
    <t xml:space="preserve">Income from own production (agriculture, livestock, fishing, food processing, home manufacture, etc.) </t>
  </si>
  <si>
    <t xml:space="preserve">Income from rent </t>
  </si>
  <si>
    <t>Humanitarian aid (cash payment)</t>
  </si>
  <si>
    <t>One-off government assistance (e-Recovery, one-time compensation for family of defenders)</t>
  </si>
  <si>
    <t>My household did not receive any monetary income over the last 4 weeks</t>
  </si>
  <si>
    <t>Loans, support, or charitable donations from community members (not including humanitarian aid)</t>
  </si>
  <si>
    <t>Households reporting primary income sources over the last 30 days, by type of income source broken down by households with at least one member with a reported and/or registered disability on the admin of overall</t>
  </si>
  <si>
    <t>Households reporting primary income sources over the last 30 days, by type of income source broken down by urbanity on the admin of overall</t>
  </si>
  <si>
    <t>Households reporting primary income sources over the last 30 days, by type of income source broken down by household size on the admin of overall</t>
  </si>
  <si>
    <t>Households reporting primary income sources over the last 30 days, by type of income source broken down by income per capita (quartiles) on the admin of overall</t>
  </si>
  <si>
    <t>Households reporting primary income sources over the last 30 days, by type of income source broken down by gender of head of household on the admin of overall</t>
  </si>
  <si>
    <t>Households reporting primary income sources over the last 30 days, by type of income source broken down by age of adults in the households on the admin of overall</t>
  </si>
  <si>
    <t>Households reporting primary income sources over the last 30 days, by type of income source broken down by households with at least one child (&lt;18 y.o.) on the admin of overall</t>
  </si>
  <si>
    <t>Households reporting primary income sources over the last 30 days, by type of income source broken down by displacement status of head of household on the admin of overall</t>
  </si>
  <si>
    <t>Households reporting primary income sources over the last 30 days, by type of income source broken down by IDP household on the admin of overall</t>
  </si>
  <si>
    <t>Households reporting primary income sources over the last 30 days, by type of income source broken down by proximity to frontline/border with Russian Federation on the admin of overall</t>
  </si>
  <si>
    <t>Households reporting primary income sources over the last 30 days, by type of income source broken down by caregiving status  on the admin of overall</t>
  </si>
  <si>
    <t>mean_Salaried work</t>
  </si>
  <si>
    <t>median_Salaried work</t>
  </si>
  <si>
    <t>min_Salaried work</t>
  </si>
  <si>
    <t>max_Salaried work</t>
  </si>
  <si>
    <t>general_count_Salaried work</t>
  </si>
  <si>
    <t>mean_Informal/unofficial labour</t>
  </si>
  <si>
    <t>median_Informal/unofficial labour</t>
  </si>
  <si>
    <t>min_Informal/unofficial labour</t>
  </si>
  <si>
    <t>max_Informal/unofficial labour</t>
  </si>
  <si>
    <t>general_count_Informal/unofficial labour</t>
  </si>
  <si>
    <t>mean_Own business or merchant activity</t>
  </si>
  <si>
    <t>median_Own business or merchant activity</t>
  </si>
  <si>
    <t>min_Own business or merchant activity</t>
  </si>
  <si>
    <t>max_Own business or merchant activity</t>
  </si>
  <si>
    <t>general_count_Own business or merchant activity</t>
  </si>
  <si>
    <t>mean_Own production (agriculture, livestock, etc.)</t>
  </si>
  <si>
    <t>median_Own production (agriculture, livestock, etc.)</t>
  </si>
  <si>
    <t>min_Own production (agriculture, livestock, etc.)</t>
  </si>
  <si>
    <t>max_Own production (agriculture, livestock, etc.)</t>
  </si>
  <si>
    <t>general_count_Own production (agriculture, livestock, etc.)</t>
  </si>
  <si>
    <t>mean_IDP benefits from the government</t>
  </si>
  <si>
    <t>median_IDP benefits from the government</t>
  </si>
  <si>
    <t>min_IDP benefits from the government</t>
  </si>
  <si>
    <t>max_IDP benefits from the government</t>
  </si>
  <si>
    <t>general_count_IDP benefits from the government</t>
  </si>
  <si>
    <t>mean_Pension (age and prior military service)</t>
  </si>
  <si>
    <t>median_Pension (age and prior military service)</t>
  </si>
  <si>
    <t>min_Pension (age and prior military service)</t>
  </si>
  <si>
    <t>max_Pension (age and prior military service)</t>
  </si>
  <si>
    <t>general_count_Pension (age and prior military service)</t>
  </si>
  <si>
    <t>mean_Regular government social benefits (disability, maternity, low income families)</t>
  </si>
  <si>
    <t>median_Regular government social benefits (disability, maternity, low income families)</t>
  </si>
  <si>
    <t>min_Regular government social benefits (disability, maternity, low income families)</t>
  </si>
  <si>
    <t>max_Regular government social benefits (disability, maternity, low income families)</t>
  </si>
  <si>
    <t>general_count_Regular government social benefits (disability, maternity, low income families)</t>
  </si>
  <si>
    <t>mean_Rent</t>
  </si>
  <si>
    <t>median_Rent</t>
  </si>
  <si>
    <t>min_Rent</t>
  </si>
  <si>
    <t>max_Rent</t>
  </si>
  <si>
    <t>general_count_Rent</t>
  </si>
  <si>
    <t>mean_Remittances</t>
  </si>
  <si>
    <t>median_Remittances</t>
  </si>
  <si>
    <t>min_Remittances</t>
  </si>
  <si>
    <t>max_Remittances</t>
  </si>
  <si>
    <t>general_count_Remittances</t>
  </si>
  <si>
    <t>mean_Humanitarian aid</t>
  </si>
  <si>
    <t>median_Humanitarian aid</t>
  </si>
  <si>
    <t>min_Humanitarian aid</t>
  </si>
  <si>
    <t>max_Humanitarian aid</t>
  </si>
  <si>
    <t>general_count_Humanitarian aid</t>
  </si>
  <si>
    <t>mean_Loans or support from family and friends in Ukraine</t>
  </si>
  <si>
    <t>median_Loans or support from family and friends in Ukraine</t>
  </si>
  <si>
    <t>min_Loans or support from family and friends in Ukraine</t>
  </si>
  <si>
    <t>max_Loans or support from family and friends in Ukraine</t>
  </si>
  <si>
    <t>general_count_Loans or support from family and friends in Ukraine</t>
  </si>
  <si>
    <t>mean_Loans, support, or charitable donations from community members</t>
  </si>
  <si>
    <t>median_Loans, support, or charitable donations from community members</t>
  </si>
  <si>
    <t>min_Loans, support, or charitable donations from community members</t>
  </si>
  <si>
    <t>max_Loans, support, or charitable donations from community members</t>
  </si>
  <si>
    <t>general_count_Loans, support, or charitable donations from community members</t>
  </si>
  <si>
    <t>mean_One-off government assistance (e-Recovery, one-time compensation for the family of defenders)</t>
  </si>
  <si>
    <t>median_One-off government assistance (e-Recovery, one-time compensation for the family of defenders)</t>
  </si>
  <si>
    <t>min_One-off government assistance (e-Recovery, one-time compensation for the family of defenders)</t>
  </si>
  <si>
    <t>max_One-off government assistance (e-Recovery, one-time compensation for the family of defenders)</t>
  </si>
  <si>
    <t>general_count_One-off government assistance (e-Recovery, one-time compensation for the family of defenders)</t>
  </si>
  <si>
    <t>mean_Other income sources</t>
  </si>
  <si>
    <t>median_Other income sources</t>
  </si>
  <si>
    <t>min_Other income sources</t>
  </si>
  <si>
    <t>max_Other income sources</t>
  </si>
  <si>
    <t>general_count_Other income sources</t>
  </si>
  <si>
    <t>Household income per capita over the 30 days prior to data collection, by types of income source by households with at least one member with a reported and/or registered disability</t>
  </si>
  <si>
    <t>Household income per capita over the 30 days prior to data collection, by types of income source by urbanity</t>
  </si>
  <si>
    <t>Household income per capita over the 30 days prior to data collection, by types of income source by household size</t>
  </si>
  <si>
    <t>Household income per capita over the 30 days prior to data collection, by types of income source by gender of head of household</t>
  </si>
  <si>
    <t>Household income per capita over the 30 days prior to data collection, by types of income source by age of adults in the households</t>
  </si>
  <si>
    <t>Household income per capita over the 30 days prior to data collection, by types of income source by households with at least one child (&lt;18 y.o.)</t>
  </si>
  <si>
    <t>Household income per capita over the 30 days prior to data collection, by types of income source by displacement status of head of household</t>
  </si>
  <si>
    <t>Household income per capita over the 30 days prior to data collection, by types of income source by IDP household</t>
  </si>
  <si>
    <t>Household income per capita over the 30 days prior to data collection, by types of income source by proximity to frontline/border with Russian Federation</t>
  </si>
  <si>
    <t xml:space="preserve">Household income per capita over the 30 days prior to data collection, by types of income source by caregiving status </t>
  </si>
  <si>
    <t>Total monthly income per capita on the admin of overall</t>
  </si>
  <si>
    <t>Total monthly income per capita broken down by households with at least one member with a reported and/or registered disability on the admin of overall</t>
  </si>
  <si>
    <t>Total monthly income per capita broken down by urbanity on the admin of overall</t>
  </si>
  <si>
    <t>Total monthly income per capita broken down by household size on the admin of overall</t>
  </si>
  <si>
    <t>Total monthly income per capita broken down by gender of head of household on the admin of overall</t>
  </si>
  <si>
    <t>Total monthly income per capita broken down by age of adults in the households on the admin of overall</t>
  </si>
  <si>
    <t>Total monthly income per capita broken down by households with at least one child (&lt;18 y.o.) on the admin of overall</t>
  </si>
  <si>
    <t>Total monthly income per capita broken down by displacement status of head of household on the admin of overall</t>
  </si>
  <si>
    <t>Total monthly income per capita broken down by IDP household on the admin of overall</t>
  </si>
  <si>
    <t>Total monthly income per capita broken down by proximity to frontline/border with Russian Federation on the admin of overall</t>
  </si>
  <si>
    <t>Total monthly income per capita broken down by caregiving status  on the admin of overall</t>
  </si>
  <si>
    <t>Households receiving income from remittances/family and friends in Ukraine/community members, by regularity on the admin of overall</t>
  </si>
  <si>
    <t>Irregular – received occasionally or unexpectedly</t>
  </si>
  <si>
    <t>Regular – received consistently (e.g. weekly or monthly)</t>
  </si>
  <si>
    <t>Households receiving income from remittances/family and friends in Ukraine/community members, by regularity broken down by households with at least one member with a reported and/or registered disability on the admin of overall</t>
  </si>
  <si>
    <t>Households receiving income from remittances/family and friends in Ukraine/community members, by regularity broken down by urbanity on the admin of overall</t>
  </si>
  <si>
    <t>Households receiving income from remittances/family and friends in Ukraine/community members, by regularity broken down by household size on the admin of overall</t>
  </si>
  <si>
    <t>Households receiving income from remittances/family and friends in Ukraine/community members, by regularity broken down by gender of head of household on the admin of overall</t>
  </si>
  <si>
    <t>Households receiving income from remittances/family and friends in Ukraine/community members, by regularity broken down by age of adults in the households on the admin of overall</t>
  </si>
  <si>
    <t>Households receiving income from remittances/family and friends in Ukraine/community members, by regularity broken down by households with at least one child (&lt;18 y.o.) on the admin of overall</t>
  </si>
  <si>
    <t>Households receiving income from remittances/family and friends in Ukraine/community members, by regularity broken down by displacement status of head of household on the admin of overall</t>
  </si>
  <si>
    <t>Households receiving income from remittances/family and friends in Ukraine/community members, by regularity broken down by IDP household on the admin of overall</t>
  </si>
  <si>
    <t>Households receiving income from remittances/family and friends in Ukraine/community members, by regularity broken down by proximity to frontline/border with Russian Federation on the admin of overall</t>
  </si>
  <si>
    <t>Households receiving income from remittances/family and friends in Ukraine/community members, by regularity broken down by caregiving status  on the admin of overall</t>
  </si>
  <si>
    <t>Percentage of households who have become indebted since 2024 on the admin of overall</t>
  </si>
  <si>
    <t>Percentage of households who have become indebted since 2024 broken down by households with at least one member with a reported and/or registered disability on the admin of overall</t>
  </si>
  <si>
    <t>Percentage of households who have become indebted since 2024 broken down by urbanity on the admin of overall</t>
  </si>
  <si>
    <t>Percentage of households who have become indebted since 2024 broken down by household size on the admin of overall</t>
  </si>
  <si>
    <t>Percentage of households who have become indebted since 2024 broken down by income per capita (quartiles) on the admin of overall</t>
  </si>
  <si>
    <t>Percentage of households who have become indebted since 2024 broken down by gender of head of household on the admin of overall</t>
  </si>
  <si>
    <t>Percentage of households who have become indebted since 2024 broken down by age of adults in the households on the admin of overall</t>
  </si>
  <si>
    <t>Percentage of households who have become indebted since 2024 broken down by households with at least one child (&lt;18 y.o.) on the admin of overall</t>
  </si>
  <si>
    <t>Percentage of households who have become indebted since 2024 broken down by displacement status of head of household on the admin of overall</t>
  </si>
  <si>
    <t>Percentage of households who have become indebted since 2024 broken down by IDP household on the admin of overall</t>
  </si>
  <si>
    <t>Percentage of households who have become indebted since 2024 broken down by proximity to frontline/border with Russian Federation on the admin of overall</t>
  </si>
  <si>
    <t>Percentage of households who have become indebted since 2024 broken down by caregiving status  on the admin of overall</t>
  </si>
  <si>
    <t>Percentage of households who are currently indebted, by reason on the admin of overall</t>
  </si>
  <si>
    <t>Domestic assets (appliances, household repairs, repairing facilities) for your household</t>
  </si>
  <si>
    <t xml:space="preserve">Health / Medical expenses for your household </t>
  </si>
  <si>
    <t>Domestic consumption (food, utilities, etc) for your household</t>
  </si>
  <si>
    <t>Repayment of other debts of your household</t>
  </si>
  <si>
    <t>Education expenses for your household</t>
  </si>
  <si>
    <t xml:space="preserve">Holiday / Travel for your household </t>
  </si>
  <si>
    <t>Shelter repair for your household</t>
  </si>
  <si>
    <t>Investment in business (capital or assets) belonging to a household member</t>
  </si>
  <si>
    <t>Property / Mortgage belonging to a household member</t>
  </si>
  <si>
    <t>For another households' needs</t>
  </si>
  <si>
    <t>Urgent travel related to displacement for your household</t>
  </si>
  <si>
    <t>Obtaining / replacing official documents for your household</t>
  </si>
  <si>
    <t>Replacing possessions of your household that were destroyed / left behind due to the war</t>
  </si>
  <si>
    <t>Percentage of households who are currently indebted, by reason broken down by households with at least one member with a reported and/or registered disability on the admin of overall</t>
  </si>
  <si>
    <t>Percentage of households who are currently indebted, by reason broken down by urbanity on the admin of overall</t>
  </si>
  <si>
    <t>Percentage of households who are currently indebted, by reason broken down by household size on the admin of overall</t>
  </si>
  <si>
    <t>Percentage of households who are currently indebted, by reason broken down by income per capita (quartiles) on the admin of overall</t>
  </si>
  <si>
    <t>Percentage of households who are currently indebted, by reason broken down by gender of head of household on the admin of overall</t>
  </si>
  <si>
    <t>Percentage of households who are currently indebted, by reason broken down by age of adults in the households on the admin of overall</t>
  </si>
  <si>
    <t>Percentage of households who are currently indebted, by reason broken down by households with at least one child (&lt;18 y.o.) on the admin of overall</t>
  </si>
  <si>
    <t>Percentage of households who are currently indebted, by reason broken down by displacement status of head of household on the admin of overall</t>
  </si>
  <si>
    <t>Percentage of households who are currently indebted, by reason broken down by IDP household on the admin of overall</t>
  </si>
  <si>
    <t>Percentage of households who are currently indebted, by reason broken down by proximity to frontline/border with Russian Federation on the admin of overall</t>
  </si>
  <si>
    <t>Percentage of households who are currently indebted, by reason broken down by caregiving status  on the admin of overall</t>
  </si>
  <si>
    <t>Percentage of households earning an income from own production, by challenges experienced on the admin of overall</t>
  </si>
  <si>
    <t>No challenges</t>
  </si>
  <si>
    <t>Lack of or high cost of animal feed/veterinary services</t>
  </si>
  <si>
    <t>Lack of or high cost of seeds/fertilizer/pesticides</t>
  </si>
  <si>
    <t>Lack of labor</t>
  </si>
  <si>
    <t>Water scarcity</t>
  </si>
  <si>
    <t>Difficulty accessing markets to sell products</t>
  </si>
  <si>
    <t xml:space="preserve">Lack of access to land/pasture </t>
  </si>
  <si>
    <t>Insecurity preventing access to fields/livestock</t>
  </si>
  <si>
    <t>Lack of agricultural tools/equipment</t>
  </si>
  <si>
    <t>Damage to land or irrigation systems</t>
  </si>
  <si>
    <t>Loss of livestock due to conflict/disease</t>
  </si>
  <si>
    <t>Contamination of land (e.g., mines, ERW)</t>
  </si>
  <si>
    <t>Percentage of households earning an income from own production, by challenges experienced broken down by households with at least one member with a reported and/or registered disability on the admin of overall</t>
  </si>
  <si>
    <t>Percentage of households earning an income from own production, by challenges experienced broken down by urbanity on the admin of overall</t>
  </si>
  <si>
    <t>Percentage of households earning an income from own production, by challenges experienced broken down by household size on the admin of overall</t>
  </si>
  <si>
    <t>26</t>
  </si>
  <si>
    <t>Percentage of households earning an income from own production, by challenges experienced broken down by income per capita (quartiles) on the admin of overall</t>
  </si>
  <si>
    <t>Percentage of households earning an income from own production, by challenges experienced broken down by gender of head of household on the admin of overall</t>
  </si>
  <si>
    <t>Percentage of households earning an income from own production, by challenges experienced broken down by age of adults in the households on the admin of overall</t>
  </si>
  <si>
    <t>Percentage of households earning an income from own production, by challenges experienced broken down by households with at least one child (&lt;18 y.o.) on the admin of overall</t>
  </si>
  <si>
    <t>Percentage of households earning an income from own production, by challenges experienced broken down by displacement status of head of household on the admin of overall</t>
  </si>
  <si>
    <t>Percentage of households earning an income from own production, by challenges experienced broken down by IDP household on the admin of overall</t>
  </si>
  <si>
    <t>Percentage of households earning an income from own production, by challenges experienced broken down by proximity to frontline/border with Russian Federation on the admin of overall</t>
  </si>
  <si>
    <t>Percentage of households earning an income from own production, by challenges experienced broken down by caregiving status  on the admin of overall</t>
  </si>
  <si>
    <t>option</t>
  </si>
  <si>
    <t>perc_Selling household assets/goods</t>
  </si>
  <si>
    <t>perc_Spending savings or consuming stocks</t>
  </si>
  <si>
    <t>perc_Purchasing food on credit or borrowing food</t>
  </si>
  <si>
    <t>perc_Getting an additional job</t>
  </si>
  <si>
    <t>perc_Selling productive assets</t>
  </si>
  <si>
    <t>perc_Reducing essential health expenditures</t>
  </si>
  <si>
    <t>perc_Sending household members to live elsewhere</t>
  </si>
  <si>
    <t>perc_Selling housing/land</t>
  </si>
  <si>
    <t>perc_Using degrading sources of income/illegal work/high-risk jobs</t>
  </si>
  <si>
    <t>perc_Asking strangers for money</t>
  </si>
  <si>
    <t>No, had no need to use this coping strategy</t>
  </si>
  <si>
    <t>No, have already exhausted this coping strategy and cannot use it again</t>
  </si>
  <si>
    <t>Not applicable / This coping strategy is not available to me</t>
  </si>
  <si>
    <t>Households using Livelihood Coping Strategies, by main reason on the admin of overall</t>
  </si>
  <si>
    <t xml:space="preserve">To access or pay for food </t>
  </si>
  <si>
    <t xml:space="preserve">To access or pay for healthcare </t>
  </si>
  <si>
    <t xml:space="preserve">To access or pay for shelter </t>
  </si>
  <si>
    <t xml:space="preserve">Other (specify) </t>
  </si>
  <si>
    <t xml:space="preserve">To access or pay for education </t>
  </si>
  <si>
    <t>Households adopting Livelihood Coping Strategies, by strategy by households with at least one member with a reported and/or registered disability</t>
  </si>
  <si>
    <t>Households using Livelihood Coping Strategies, by main reason broken down by households with at least one member with a reported and/or registered disability on the admin of overall</t>
  </si>
  <si>
    <t>Households adopting Livelihood Coping Strategies, by strategy by urbanity</t>
  </si>
  <si>
    <t>Households using Livelihood Coping Strategies, by main reason broken down by urbanity on the admin of overall</t>
  </si>
  <si>
    <t>Households adopting Livelihood Coping Strategies, by strategy by household size</t>
  </si>
  <si>
    <t>Households using Livelihood Coping Strategies, by main reason broken down by household size on the admin of overall</t>
  </si>
  <si>
    <t>Households adopting Livelihood Coping Strategies, by strategy by income per capita (quartiles)</t>
  </si>
  <si>
    <t>Households using Livelihood Coping Strategies, by main reason broken down by income per capita (quartiles) on the admin of overall</t>
  </si>
  <si>
    <t>Households adopting Livelihood Coping Strategies, by strategy by gender of head of household</t>
  </si>
  <si>
    <t>Households using Livelihood Coping Strategies, by main reason broken down by gender of head of household on the admin of overall</t>
  </si>
  <si>
    <t>Households adopting Livelihood Coping Strategies, by strategy by age of adults in the households</t>
  </si>
  <si>
    <t>Households using Livelihood Coping Strategies, by main reason broken down by age of adults in the households on the admin of overall</t>
  </si>
  <si>
    <t>Households adopting Livelihood Coping Strategies, by strategy by households with at least one child (&lt;18 y.o.)</t>
  </si>
  <si>
    <t>Households using Livelihood Coping Strategies, by main reason broken down by households with at least one child (&lt;18 y.o.) on the admin of overall</t>
  </si>
  <si>
    <t>Households adopting Livelihood Coping Strategies, by strategy by displacement status of head of household</t>
  </si>
  <si>
    <t>Households using Livelihood Coping Strategies, by main reason broken down by displacement status of head of household on the admin of overall</t>
  </si>
  <si>
    <t>Households adopting Livelihood Coping Strategies, by strategy by IDP household</t>
  </si>
  <si>
    <t>Households using Livelihood Coping Strategies, by main reason broken down by IDP household on the admin of overall</t>
  </si>
  <si>
    <t>Households adopting Livelihood Coping Strategies, by strategy by proximity to frontline/border with Russian Federation</t>
  </si>
  <si>
    <t>Households using Livelihood Coping Strategies, by main reason broken down by proximity to frontline/border with Russian Federation on the admin of overall</t>
  </si>
  <si>
    <t xml:space="preserve">Households adopting Livelihood Coping Strategies, by strategy by caregiving status </t>
  </si>
  <si>
    <t>Households using Livelihood Coping Strategies, by main reason broken down by caregiving status  on the admin of overall</t>
  </si>
  <si>
    <t>Livelihood Coping Strategy - Essential Needs (LCS-EN) on the admin of overall</t>
  </si>
  <si>
    <t>No coping</t>
  </si>
  <si>
    <t>Crisis</t>
  </si>
  <si>
    <t>Stress</t>
  </si>
  <si>
    <t>Emergency</t>
  </si>
  <si>
    <t>Livelihood Coping Strategy - Essential Needs (LCS-EN) broken down by households with at least one member with a reported and/or registered disability on the admin of overall</t>
  </si>
  <si>
    <t>Livelihood Coping Strategy - Essential Needs (LCS-EN) broken down by urbanity on the admin of overall</t>
  </si>
  <si>
    <t>Livelihood Coping Strategy - Essential Needs (LCS-EN) broken down by household size on the admin of overall</t>
  </si>
  <si>
    <t>Livelihood Coping Strategy - Essential Needs (LCS-EN) broken down by income per capita (quartiles) on the admin of overall</t>
  </si>
  <si>
    <t>Livelihood Coping Strategy - Essential Needs (LCS-EN) broken down by gender of head of household on the admin of overall</t>
  </si>
  <si>
    <t>Livelihood Coping Strategy - Essential Needs (LCS-EN) broken down by age of adults in the households on the admin of overall</t>
  </si>
  <si>
    <t>Livelihood Coping Strategy - Essential Needs (LCS-EN) broken down by households with at least one child (&lt;18 y.o.) on the admin of overall</t>
  </si>
  <si>
    <t>Livelihood Coping Strategy - Essential Needs (LCS-EN) broken down by displacement status of head of household on the admin of overall</t>
  </si>
  <si>
    <t>Livelihood Coping Strategy - Essential Needs (LCS-EN) broken down by IDP household on the admin of overall</t>
  </si>
  <si>
    <t>Livelihood Coping Strategy - Essential Needs (LCS-EN) broken down by proximity to frontline/border with Russian Federation on the admin of overall</t>
  </si>
  <si>
    <t>Livelihood Coping Strategy - Essential Needs (LCS-EN) broken down by caregiving status  on the admin of overall</t>
  </si>
  <si>
    <t>Households exposed to armed violence/artillery shelling in the last 3 months on the admin of overall</t>
  </si>
  <si>
    <t>Households exposed to armed violence/artillery shelling in the last 3 months broken down by households with at least one member with a reported and/or registered disability on the admin of overall</t>
  </si>
  <si>
    <t>Households exposed to armed violence/artillery shelling in the last 3 months broken down by urbanity on the admin of overall</t>
  </si>
  <si>
    <t>Households exposed to armed violence/artillery shelling in the last 3 months broken down by household size on the admin of overall</t>
  </si>
  <si>
    <t>Households exposed to armed violence/artillery shelling in the last 3 months broken down by income per capita (quartiles) on the admin of overall</t>
  </si>
  <si>
    <t>Households exposed to armed violence/artillery shelling in the last 3 months broken down by gender of head of household on the admin of overall</t>
  </si>
  <si>
    <t>Households exposed to armed violence/artillery shelling in the last 3 months broken down by age of adults in the households on the admin of overall</t>
  </si>
  <si>
    <t>Households exposed to armed violence/artillery shelling in the last 3 months broken down by households with at least one child (&lt;18 y.o.) on the admin of overall</t>
  </si>
  <si>
    <t>Households exposed to armed violence/artillery shelling in the last 3 months broken down by displacement status of head of household on the admin of overall</t>
  </si>
  <si>
    <t>Households exposed to armed violence/artillery shelling in the last 3 months broken down by IDP household on the admin of overall</t>
  </si>
  <si>
    <t>Households exposed to armed violence/artillery shelling in the last 3 months broken down by proximity to frontline/border with Russian Federation on the admin of overall</t>
  </si>
  <si>
    <t>Households exposed to armed violence/artillery shelling in the last 3 months broken down by caregiving status  on the admin of overall</t>
  </si>
  <si>
    <t>Households exposed to armed violence/artillery shelling in the last 3 months broken down by gender of respondent on the admin of overall</t>
  </si>
  <si>
    <t>Men-respondents</t>
  </si>
  <si>
    <t>Other respondents</t>
  </si>
  <si>
    <t>Women-respondents</t>
  </si>
  <si>
    <t>Households exposed to armed violence/artillery shelling in the last 3 months broken down by age of respondents on the admin of overall</t>
  </si>
  <si>
    <t>18-19 y.o. respondents</t>
  </si>
  <si>
    <t>20-39 y.o. respondents</t>
  </si>
  <si>
    <t>40-64 y.o. respondents</t>
  </si>
  <si>
    <t>65+ y.o. respondents</t>
  </si>
  <si>
    <t>Households exposed to armed violence/artillery shelling in the last 3 months broken down by gender and age of respondents on the admin of overall</t>
  </si>
  <si>
    <t>Households exposed to armed violence/artillery shelling in the last 3 months, by frequency  on the admin of overall</t>
  </si>
  <si>
    <t>Daily or almost daily</t>
  </si>
  <si>
    <t>Once a week</t>
  </si>
  <si>
    <t>Once a month</t>
  </si>
  <si>
    <t>Less than once a month</t>
  </si>
  <si>
    <t>Households exposed to armed violence/artillery shelling in the last 3 months, by frequency  broken down by households with at least one member with a reported and/or registered disability on the admin of overall</t>
  </si>
  <si>
    <t>Households exposed to armed violence/artillery shelling in the last 3 months, by frequency  broken down by urbanity on the admin of overall</t>
  </si>
  <si>
    <t>Households exposed to armed violence/artillery shelling in the last 3 months, by frequency  broken down by household size on the admin of overall</t>
  </si>
  <si>
    <t>Households exposed to armed violence/artillery shelling in the last 3 months, by frequency  broken down by income per capita (quartiles) on the admin of overall</t>
  </si>
  <si>
    <t>Households exposed to armed violence/artillery shelling in the last 3 months, by frequency  broken down by gender of head of household on the admin of overall</t>
  </si>
  <si>
    <t>Households exposed to armed violence/artillery shelling in the last 3 months, by frequency  broken down by age of adults in the households on the admin of overall</t>
  </si>
  <si>
    <t>Households exposed to armed violence/artillery shelling in the last 3 months, by frequency  broken down by households with at least one child (&lt;18 y.o.) on the admin of overall</t>
  </si>
  <si>
    <t>Households exposed to armed violence/artillery shelling in the last 3 months, by frequency  broken down by displacement status of head of household on the admin of overall</t>
  </si>
  <si>
    <t>Households exposed to armed violence/artillery shelling in the last 3 months, by frequency  broken down by IDP household on the admin of overall</t>
  </si>
  <si>
    <t>Households exposed to armed violence/artillery shelling in the last 3 months, by frequency  broken down by proximity to frontline/border with Russian Federation on the admin of overall</t>
  </si>
  <si>
    <t>Households exposed to armed violence/artillery shelling in the last 3 months, by frequency  broken down by caregiving status  on the admin of overall</t>
  </si>
  <si>
    <t>Households exposed to armed violence/artillery shelling in the last 3 months, by frequency  broken down by gender of respondent on the admin of overall</t>
  </si>
  <si>
    <t>Households exposed to armed violence/artillery shelling in the last 3 months, by frequency  broken down by age of respondents on the admin of overall</t>
  </si>
  <si>
    <t>Households exposed to armed violence/artillery shelling in the last 3 months, by frequency  broken down by gender and age of respondents on the admin of overall</t>
  </si>
  <si>
    <t>Households exposed to drone/missile attacks in last 3 months on the admin of overall</t>
  </si>
  <si>
    <t>Households exposed to drone/missile attacks in last 3 months broken down by households with at least one member with a reported and/or registered disability on the admin of overall</t>
  </si>
  <si>
    <t>Households exposed to drone/missile attacks in last 3 months broken down by urbanity on the admin of overall</t>
  </si>
  <si>
    <t>Households exposed to drone/missile attacks in last 3 months broken down by household size on the admin of overall</t>
  </si>
  <si>
    <t>Households exposed to drone/missile attacks in last 3 months broken down by income per capita (quartiles) on the admin of overall</t>
  </si>
  <si>
    <t>Households exposed to drone/missile attacks in last 3 months broken down by gender of head of household on the admin of overall</t>
  </si>
  <si>
    <t>Households exposed to drone/missile attacks in last 3 months broken down by age of adults in the households on the admin of overall</t>
  </si>
  <si>
    <t>Households exposed to drone/missile attacks in last 3 months broken down by households with at least one child (&lt;18 y.o.) on the admin of overall</t>
  </si>
  <si>
    <t>Households exposed to drone/missile attacks in last 3 months broken down by displacement status of head of household on the admin of overall</t>
  </si>
  <si>
    <t>Households exposed to drone/missile attacks in last 3 months broken down by IDP household on the admin of overall</t>
  </si>
  <si>
    <t>Households exposed to drone/missile attacks in last 3 months broken down by proximity to frontline/border with Russian Federation on the admin of overall</t>
  </si>
  <si>
    <t>Households exposed to drone/missile attacks in last 3 months broken down by caregiving status  on the admin of overall</t>
  </si>
  <si>
    <t>Households exposed to drone/missile attacks in last 3 months broken down by gender of respondent on the admin of overall</t>
  </si>
  <si>
    <t>Households exposed to drone/missile attacks in last 3 months broken down by age of respondents on the admin of overall</t>
  </si>
  <si>
    <t>Households exposed to drone/missile attacks in last 3 months broken down by gender and age of respondents on the admin of overall</t>
  </si>
  <si>
    <t>Households exposed to drone/missile attacks in past 3 months, by frequency on the admin of overall</t>
  </si>
  <si>
    <t>Households exposed to drone/missile attacks in past 3 months, by frequency broken down by households with at least one member with a reported and/or registered disability on the admin of overall</t>
  </si>
  <si>
    <t>Households exposed to drone/missile attacks in past 3 months, by frequency broken down by urbanity on the admin of overall</t>
  </si>
  <si>
    <t>Households exposed to drone/missile attacks in past 3 months, by frequency broken down by household size on the admin of overall</t>
  </si>
  <si>
    <t>Households exposed to drone/missile attacks in past 3 months, by frequency broken down by income per capita (quartiles) on the admin of overall</t>
  </si>
  <si>
    <t>Households exposed to drone/missile attacks in past 3 months, by frequency broken down by gender of head of household on the admin of overall</t>
  </si>
  <si>
    <t>Households exposed to drone/missile attacks in past 3 months, by frequency broken down by age of adults in the households on the admin of overall</t>
  </si>
  <si>
    <t>Households exposed to drone/missile attacks in past 3 months, by frequency broken down by households with at least one child (&lt;18 y.o.) on the admin of overall</t>
  </si>
  <si>
    <t>Households exposed to drone/missile attacks in past 3 months, by frequency broken down by displacement status of head of household on the admin of overall</t>
  </si>
  <si>
    <t>Households exposed to drone/missile attacks in past 3 months, by frequency broken down by IDP household on the admin of overall</t>
  </si>
  <si>
    <t>Households exposed to drone/missile attacks in past 3 months, by frequency broken down by proximity to frontline/border with Russian Federation on the admin of overall</t>
  </si>
  <si>
    <t>Households exposed to drone/missile attacks in past 3 months, by frequency broken down by caregiving status  on the admin of overall</t>
  </si>
  <si>
    <t>Households exposed to drone/missile attacks in past 3 months, by frequency broken down by gender of respondent on the admin of overall</t>
  </si>
  <si>
    <t>Households exposed to drone/missile attacks in past 3 months, by frequency broken down by age of respondents on the admin of overall</t>
  </si>
  <si>
    <t>Households exposed to drone/missile attacks in past 3 months, by frequency broken down by gender and age of respondents on the admin of overall</t>
  </si>
  <si>
    <t>Households exposed to other safety and security incidents in the last 3 months, by type on the admin of overall</t>
  </si>
  <si>
    <t>Conscription-related incidents</t>
  </si>
  <si>
    <t>Attacks / threatening behavior of stray animals (dogs, etc)</t>
  </si>
  <si>
    <t>Crime (e.g. being robbed, property looting)</t>
  </si>
  <si>
    <t>Physical violence not related to the conflict</t>
  </si>
  <si>
    <t>Discrimination and harassment (because of language, ethnicity, status, etc.)</t>
  </si>
  <si>
    <t xml:space="preserve">Incidents related to the presence of military actors </t>
  </si>
  <si>
    <t>Kidnapping, forced disappearance (excluding conscription)</t>
  </si>
  <si>
    <t>Exploitation (being engaged in harmful forms of labor, human trafficking)</t>
  </si>
  <si>
    <t>Arbitrary arrest / detention (excluding conscription)</t>
  </si>
  <si>
    <t>Households exposed to other safety and security incidents in the last 3 months, by type broken down by households with at least one member with a reported and/or registered disability on the admin of overall</t>
  </si>
  <si>
    <t>Households exposed to other safety and security incidents in the last 3 months, by type broken down by urbanity on the admin of overall</t>
  </si>
  <si>
    <t>Households exposed to other safety and security incidents in the last 3 months, by type broken down by household size on the admin of overall</t>
  </si>
  <si>
    <t>Households exposed to other safety and security incidents in the last 3 months, by type broken down by income per capita (quartiles) on the admin of overall</t>
  </si>
  <si>
    <t>Households exposed to other safety and security incidents in the last 3 months, by type broken down by gender of head of household on the admin of overall</t>
  </si>
  <si>
    <t>Households exposed to other safety and security incidents in the last 3 months, by type broken down by age of adults in the households on the admin of overall</t>
  </si>
  <si>
    <t>Households exposed to other safety and security incidents in the last 3 months, by type broken down by households with at least one child (&lt;18 y.o.) on the admin of overall</t>
  </si>
  <si>
    <t>Households exposed to other safety and security incidents in the last 3 months, by type broken down by displacement status of head of household on the admin of overall</t>
  </si>
  <si>
    <t>Households exposed to other safety and security incidents in the last 3 months, by type broken down by IDP household on the admin of overall</t>
  </si>
  <si>
    <t>Households exposed to other safety and security incidents in the last 3 months, by type broken down by proximity to frontline/border with Russian Federation on the admin of overall</t>
  </si>
  <si>
    <t>Households exposed to other safety and security incidents in the last 3 months, by type broken down by caregiving status  on the admin of overall</t>
  </si>
  <si>
    <t>Households exposed to other safety and security incidents in the last 3 months, by type broken down by gender of respondent on the admin of overall</t>
  </si>
  <si>
    <t>Households exposed to other safety and security incidents in the last 3 months, by type broken down by age of respondents on the admin of overall</t>
  </si>
  <si>
    <t>Households exposed to other safety and security incidents in the last 3 months, by type broken down by gender and age of respondents on the admin of overall</t>
  </si>
  <si>
    <t>Households reporting being concerned about having any HH member engaging in risky activities due to economic needs, by frequency on the admin of overall</t>
  </si>
  <si>
    <t xml:space="preserve">Never </t>
  </si>
  <si>
    <t xml:space="preserve">Always </t>
  </si>
  <si>
    <t xml:space="preserve">Several times </t>
  </si>
  <si>
    <t xml:space="preserve">Just once or twice </t>
  </si>
  <si>
    <t>Households reporting being concerned about having any HH member engaging in risky activities due to economic needs, by frequency broken down by households with at least one member with a reported and/or registered disability on the admin of overall</t>
  </si>
  <si>
    <t>Households reporting being concerned about having any HH member engaging in risky activities due to economic needs, by frequency broken down by urbanity on the admin of overall</t>
  </si>
  <si>
    <t>Households reporting being concerned about having any HH member engaging in risky activities due to economic needs, by frequency broken down by household size on the admin of overall</t>
  </si>
  <si>
    <t>Households reporting being concerned about having any HH member engaging in risky activities due to economic needs, by frequency broken down by income per capita (quartiles) on the admin of overall</t>
  </si>
  <si>
    <t>Households reporting being concerned about having any HH member engaging in risky activities due to economic needs, by frequency broken down by gender of head of household on the admin of overall</t>
  </si>
  <si>
    <t>Households reporting being concerned about having any HH member engaging in risky activities due to economic needs, by frequency broken down by age of adults in the households on the admin of overall</t>
  </si>
  <si>
    <t>Households reporting being concerned about having any HH member engaging in risky activities due to economic needs, by frequency broken down by households with at least one child (&lt;18 y.o.) on the admin of overall</t>
  </si>
  <si>
    <t>Households reporting being concerned about having any HH member engaging in risky activities due to economic needs, by frequency broken down by displacement status of head of household on the admin of overall</t>
  </si>
  <si>
    <t>Households reporting being concerned about having any HH member engaging in risky activities due to economic needs, by frequency broken down by IDP household on the admin of overall</t>
  </si>
  <si>
    <t>Households reporting being concerned about having any HH member engaging in risky activities due to economic needs, by frequency broken down by proximity to frontline/border with Russian Federation on the admin of overall</t>
  </si>
  <si>
    <t>Households reporting being concerned about having any HH member engaging in risky activities due to economic needs, by frequency broken down by caregiving status  on the admin of overall</t>
  </si>
  <si>
    <t>Households reporting being concerned about having any HH member engaging in risky activities due to economic needs, by frequency broken down by gender of respondent on the admin of overall</t>
  </si>
  <si>
    <t>Households reporting being concerned about having any HH member engaging in risky activities due to economic needs, by frequency broken down by age of respondents on the admin of overall</t>
  </si>
  <si>
    <t>Households reporting being concerned about having any HH member engaging in risky activities due to economic needs, by frequency broken down by gender and age of respondents on the admin of overall</t>
  </si>
  <si>
    <t>Households reporting being concerned about being forced to flee, by frequency on the admin of overall</t>
  </si>
  <si>
    <t>Households reporting being concerned about being forced to flee, by frequency broken down by households with at least one member with a reported and/or registered disability on the admin of overall</t>
  </si>
  <si>
    <t>Households reporting being concerned about being forced to flee, by frequency broken down by urbanity on the admin of overall</t>
  </si>
  <si>
    <t>Households reporting being concerned about being forced to flee, by frequency broken down by household size on the admin of overall</t>
  </si>
  <si>
    <t>Households reporting being concerned about being forced to flee, by frequency broken down by income per capita (quartiles) on the admin of overall</t>
  </si>
  <si>
    <t>Households reporting being concerned about being forced to flee, by frequency broken down by gender of head of household on the admin of overall</t>
  </si>
  <si>
    <t>Households reporting being concerned about being forced to flee, by frequency broken down by age of adults in the households on the admin of overall</t>
  </si>
  <si>
    <t>Households reporting being concerned about being forced to flee, by frequency broken down by households with at least one child (&lt;18 y.o.) on the admin of overall</t>
  </si>
  <si>
    <t>Households reporting being concerned about being forced to flee, by frequency broken down by displacement status of head of household on the admin of overall</t>
  </si>
  <si>
    <t>Households reporting being concerned about being forced to flee, by frequency broken down by IDP household on the admin of overall</t>
  </si>
  <si>
    <t>Households reporting being concerned about being forced to flee, by frequency broken down by proximity to frontline/border with Russian Federation on the admin of overall</t>
  </si>
  <si>
    <t>Households reporting being concerned about being forced to flee, by frequency broken down by caregiving status  on the admin of overall</t>
  </si>
  <si>
    <t>Households reporting being concerned about being forced to flee, by frequency broken down by gender of respondent on the admin of overall</t>
  </si>
  <si>
    <t>Households reporting being concerned about being forced to flee, by frequency broken down by age of respondents on the admin of overall</t>
  </si>
  <si>
    <t>Households reporting being concerned about being forced to flee, by frequency broken down by gender and age of respondents on the admin of overall</t>
  </si>
  <si>
    <t>Households reporting being concerned about violence in the community, not related to the conflict, by frequency on the admin of overall</t>
  </si>
  <si>
    <t>Households reporting being concerned about violence in the community, not related to the conflict, by frequency broken down by households with at least one member with a reported and/or registered disability on the admin of overall</t>
  </si>
  <si>
    <t>Households reporting being concerned about violence in the community, not related to the conflict, by frequency broken down by urbanity on the admin of overall</t>
  </si>
  <si>
    <t>Households reporting being concerned about violence in the community, not related to the conflict, by frequency broken down by household size on the admin of overall</t>
  </si>
  <si>
    <t>Households reporting being concerned about violence in the community, not related to the conflict, by frequency broken down by income per capita (quartiles) on the admin of overall</t>
  </si>
  <si>
    <t>Households reporting being concerned about violence in the community, not related to the conflict, by frequency broken down by gender of head of household on the admin of overall</t>
  </si>
  <si>
    <t>Households reporting being concerned about violence in the community, not related to the conflict, by frequency broken down by age of adults in the households on the admin of overall</t>
  </si>
  <si>
    <t>Households reporting being concerned about violence in the community, not related to the conflict, by frequency broken down by households with at least one child (&lt;18 y.o.) on the admin of overall</t>
  </si>
  <si>
    <t>Households reporting being concerned about violence in the community, not related to the conflict, by frequency broken down by displacement status of head of household on the admin of overall</t>
  </si>
  <si>
    <t>Households reporting being concerned about violence in the community, not related to the conflict, by frequency broken down by IDP household on the admin of overall</t>
  </si>
  <si>
    <t>Households reporting being concerned about violence in the community, not related to the conflict, by frequency broken down by proximity to frontline/border with Russian Federation on the admin of overall</t>
  </si>
  <si>
    <t>Households reporting being concerned about violence in the community, not related to the conflict, by frequency broken down by caregiving status  on the admin of overall</t>
  </si>
  <si>
    <t>Households reporting being concerned about violence in the community, not related to the conflict, by frequency broken down by gender of respondent on the admin of overall</t>
  </si>
  <si>
    <t>Households reporting being concerned about violence in the community, not related to the conflict, by frequency broken down by age of respondents on the admin of overall</t>
  </si>
  <si>
    <t>Households reporting being concerned about violence in the community, not related to the conflict, by frequency broken down by gender and age of respondents on the admin of overall</t>
  </si>
  <si>
    <t>Households reporting being concerned about persecution/discrimination, by frequency on the admin of overall</t>
  </si>
  <si>
    <t>Households reporting being concerned about persecution/discrimination, by frequency broken down by households with at least one member with a reported and/or registered disability on the admin of overall</t>
  </si>
  <si>
    <t>Households reporting being concerned about persecution/discrimination, by frequency broken down by urbanity on the admin of overall</t>
  </si>
  <si>
    <t>Households reporting being concerned about persecution/discrimination, by frequency broken down by household size on the admin of overall</t>
  </si>
  <si>
    <t>Households reporting being concerned about persecution/discrimination, by frequency broken down by income per capita (quartiles) on the admin of overall</t>
  </si>
  <si>
    <t>Households reporting being concerned about persecution/discrimination, by frequency broken down by gender of head of household on the admin of overall</t>
  </si>
  <si>
    <t>Households reporting being concerned about persecution/discrimination, by frequency broken down by age of adults in the households on the admin of overall</t>
  </si>
  <si>
    <t>Households reporting being concerned about persecution/discrimination, by frequency broken down by households with at least one child (&lt;18 y.o.) on the admin of overall</t>
  </si>
  <si>
    <t>Households reporting being concerned about persecution/discrimination, by frequency broken down by displacement status of head of household on the admin of overall</t>
  </si>
  <si>
    <t>Households reporting being concerned about persecution/discrimination, by frequency broken down by IDP household on the admin of overall</t>
  </si>
  <si>
    <t>Households reporting being concerned about persecution/discrimination, by frequency broken down by proximity to frontline/border with Russian Federation on the admin of overall</t>
  </si>
  <si>
    <t>Households reporting being concerned about persecution/discrimination, by frequency broken down by caregiving status  on the admin of overall</t>
  </si>
  <si>
    <t>Households reporting being concerned about persecution/discrimination, by frequency broken down by gender of respondent on the admin of overall</t>
  </si>
  <si>
    <t>Households reporting being concerned about persecution/discrimination, by frequency broken down by age of respondents on the admin of overall</t>
  </si>
  <si>
    <t>Households reporting being concerned about persecution/discrimination, by frequency broken down by gender and age of respondents on the admin of overall</t>
  </si>
  <si>
    <t>Households reporting being concerned about kidnapping/detention/abduction, by frequency on the admin of overall</t>
  </si>
  <si>
    <t>Households reporting being concerned about kidnapping/detention/abduction, by frequency broken down by households with at least one member with a reported and/or registered disability on the admin of overall</t>
  </si>
  <si>
    <t>Households reporting being concerned about kidnapping/detention/abduction, by frequency broken down by urbanity on the admin of overall</t>
  </si>
  <si>
    <t>Households reporting being concerned about kidnapping/detention/abduction, by frequency broken down by household size on the admin of overall</t>
  </si>
  <si>
    <t>Households reporting being concerned about kidnapping/detention/abduction, by frequency broken down by income per capita (quartiles) on the admin of overall</t>
  </si>
  <si>
    <t>Households reporting being concerned about kidnapping/detention/abduction, by frequency broken down by gender of head of household on the admin of overall</t>
  </si>
  <si>
    <t>Households reporting being concerned about kidnapping/detention/abduction, by frequency broken down by age of adults in the households on the admin of overall</t>
  </si>
  <si>
    <t>Households reporting being concerned about kidnapping/detention/abduction, by frequency broken down by households with at least one child (&lt;18 y.o.) on the admin of overall</t>
  </si>
  <si>
    <t>Households reporting being concerned about kidnapping/detention/abduction, by frequency broken down by displacement status of head of household on the admin of overall</t>
  </si>
  <si>
    <t>Households reporting being concerned about kidnapping/detention/abduction, by frequency broken down by IDP household on the admin of overall</t>
  </si>
  <si>
    <t>Households reporting being concerned about kidnapping/detention/abduction, by frequency broken down by proximity to frontline/border with Russian Federation on the admin of overall</t>
  </si>
  <si>
    <t>Households reporting being concerned about kidnapping/detention/abduction, by frequency broken down by caregiving status  on the admin of overall</t>
  </si>
  <si>
    <t>Households reporting being concerned about kidnapping/detention/abduction, by frequency broken down by gender of respondent on the admin of overall</t>
  </si>
  <si>
    <t>Households reporting being concerned about kidnapping/detention/abduction, by frequency broken down by age of respondents on the admin of overall</t>
  </si>
  <si>
    <t>Households reporting being concerned about kidnapping/detention/abduction, by frequency broken down by gender and age of respondents on the admin of overall</t>
  </si>
  <si>
    <t>Households by reported safety and security concerns for WOMEN in the area, by concern on the admin of overall</t>
  </si>
  <si>
    <t>Conscription of spouse/partner</t>
  </si>
  <si>
    <t>Presence of military actors</t>
  </si>
  <si>
    <t>Households by reported safety and security concerns for WOMEN in the area, by concern broken down by households with at least one member with a reported and/or registered disability on the admin of overall</t>
  </si>
  <si>
    <t>Households by reported safety and security concerns for WOMEN in the area, by concern broken down by urbanity on the admin of overall</t>
  </si>
  <si>
    <t>Households by reported safety and security concerns for WOMEN in the area, by concern broken down by household size on the admin of overall</t>
  </si>
  <si>
    <t>Households by reported safety and security concerns for WOMEN in the area, by concern broken down by income per capita (quartiles) on the admin of overall</t>
  </si>
  <si>
    <t>Households by reported safety and security concerns for WOMEN in the area, by concern broken down by gender of head of household on the admin of overall</t>
  </si>
  <si>
    <t>Households by reported safety and security concerns for WOMEN in the area, by concern broken down by age of adults in the households on the admin of overall</t>
  </si>
  <si>
    <t>Households by reported safety and security concerns for WOMEN in the area, by concern broken down by households with at least one child (&lt;18 y.o.) on the admin of overall</t>
  </si>
  <si>
    <t>Households by reported safety and security concerns for WOMEN in the area, by concern broken down by displacement status of head of household on the admin of overall</t>
  </si>
  <si>
    <t>Households by reported safety and security concerns for WOMEN in the area, by concern broken down by IDP household on the admin of overall</t>
  </si>
  <si>
    <t>Households by reported safety and security concerns for WOMEN in the area, by concern broken down by proximity to frontline/border with Russian Federation on the admin of overall</t>
  </si>
  <si>
    <t>Households by reported safety and security concerns for WOMEN in the area, by concern broken down by caregiving status  on the admin of overall</t>
  </si>
  <si>
    <t>Households by reported safety and security concerns for WOMEN in the area, by concern broken down by gender of respondent on the admin of overall</t>
  </si>
  <si>
    <t>Households by reported safety and security concerns for WOMEN in the area, by concern broken down by age of respondents on the admin of overall</t>
  </si>
  <si>
    <t>Households by reported safety and security concerns for WOMEN in the area, by concern broken down by gender and age of respondents on the admin of overall</t>
  </si>
  <si>
    <t>Percentage of female respondents reporting that at least one female member of their household felt unsafe walking in their community, by frequency on the admin of overall</t>
  </si>
  <si>
    <t>Percentage of female respondents reporting that at least one female member of their household felt unsafe walking in their community, by frequency broken down by households with at least one member with a reported and/or registered disability on the admin of overall</t>
  </si>
  <si>
    <t>Percentage of female respondents reporting that at least one female member of their household felt unsafe walking in their community, by frequency broken down by urbanity on the admin of overall</t>
  </si>
  <si>
    <t>Percentage of female respondents reporting that at least one female member of their household felt unsafe walking in their community, by frequency broken down by household size on the admin of overall</t>
  </si>
  <si>
    <t>Percentage of female respondents reporting that at least one female member of their household felt unsafe walking in their community, by frequency broken down by income per capita (quartiles) on the admin of overall</t>
  </si>
  <si>
    <t>Percentage of female respondents reporting that at least one female member of their household felt unsafe walking in their community, by frequency broken down by gender of head of household on the admin of overall</t>
  </si>
  <si>
    <t>Percentage of female respondents reporting that at least one female member of their household felt unsafe walking in their community, by frequency broken down by age of adults in the households on the admin of overall</t>
  </si>
  <si>
    <t>Percentage of female respondents reporting that at least one female member of their household felt unsafe walking in their community, by frequency broken down by households with at least one child (&lt;18 y.o.) on the admin of overall</t>
  </si>
  <si>
    <t>Percentage of female respondents reporting that at least one female member of their household felt unsafe walking in their community, by frequency broken down by displacement status of head of household on the admin of overall</t>
  </si>
  <si>
    <t>Percentage of female respondents reporting that at least one female member of their household felt unsafe walking in their community, by frequency broken down by IDP household on the admin of overall</t>
  </si>
  <si>
    <t>Percentage of female respondents reporting that at least one female member of their household felt unsafe walking in their community, by frequency broken down by proximity to frontline/border with Russian Federation on the admin of overall</t>
  </si>
  <si>
    <t>Percentage of female respondents reporting that at least one female member of their household felt unsafe walking in their community, by frequency broken down by caregiving status  on the admin of overall</t>
  </si>
  <si>
    <t>Percentage of female respondents reporting that at least one female member of their household felt unsafe walking in their community, by frequency broken down by age of respondents on the admin of overall</t>
  </si>
  <si>
    <t>Percentage of households reporting areas/places that women and girls usually avoid, by type on the admin of overall</t>
  </si>
  <si>
    <t>Poorly lit outdoor areas</t>
  </si>
  <si>
    <t>Outdoor public spaces used for recreation (e.g. parks)</t>
  </si>
  <si>
    <t>Long or isolated underground passages</t>
  </si>
  <si>
    <t>Spaces with high military presence</t>
  </si>
  <si>
    <t>Public markets</t>
  </si>
  <si>
    <t>Indoor public spaces used for recreation (e.g. community centers)</t>
  </si>
  <si>
    <t>Isolated areas within your living space such as elevators/staircases</t>
  </si>
  <si>
    <t>Public transport (e.g. bus stops, train stations, trains, subways, etc.)</t>
  </si>
  <si>
    <t xml:space="preserve">Collective centers/shelters </t>
  </si>
  <si>
    <t>Aid distribution points</t>
  </si>
  <si>
    <t>Communal heating points</t>
  </si>
  <si>
    <t>Communal water points</t>
  </si>
  <si>
    <t>Percentage of households reporting areas/places that women and girls usually avoid, by type broken down by households with at least one member with a reported and/or registered disability on the admin of overall</t>
  </si>
  <si>
    <t>Percentage of households reporting areas/places that women and girls usually avoid, by type broken down by urbanity on the admin of overall</t>
  </si>
  <si>
    <t>Percentage of households reporting areas/places that women and girls usually avoid, by type broken down by household size on the admin of overall</t>
  </si>
  <si>
    <t>Percentage of households reporting areas/places that women and girls usually avoid, by type broken down by income per capita (quartiles) on the admin of overall</t>
  </si>
  <si>
    <t>Percentage of households reporting areas/places that women and girls usually avoid, by type broken down by gender of head of household on the admin of overall</t>
  </si>
  <si>
    <t>Percentage of households reporting areas/places that women and girls usually avoid, by type broken down by age of adults in the households on the admin of overall</t>
  </si>
  <si>
    <t>Percentage of households reporting areas/places that women and girls usually avoid, by type broken down by households with at least one child (&lt;18 y.o.) on the admin of overall</t>
  </si>
  <si>
    <t>Percentage of households reporting areas/places that women and girls usually avoid, by type broken down by displacement status of head of household on the admin of overall</t>
  </si>
  <si>
    <t>Percentage of households reporting areas/places that women and girls usually avoid, by type broken down by IDP household on the admin of overall</t>
  </si>
  <si>
    <t>Percentage of households reporting areas/places that women and girls usually avoid, by type broken down by proximity to frontline/border with Russian Federation on the admin of overall</t>
  </si>
  <si>
    <t>Percentage of households reporting areas/places that women and girls usually avoid, by type broken down by caregiving status  on the admin of overall</t>
  </si>
  <si>
    <t>Percentage of households reporting areas/places that women and girls usually avoid, by type broken down by gender of respondent on the admin of overall</t>
  </si>
  <si>
    <t>Percentage of households reporting areas/places that women and girls usually avoid, by type broken down by age of respondents on the admin of overall</t>
  </si>
  <si>
    <t>21</t>
  </si>
  <si>
    <t>Percentage of households reporting areas/places that women and girls usually avoid, by type broken down by gender and age of respondents on the admin of overall</t>
  </si>
  <si>
    <t>Households by reported safety and security concerns for MEN in the area, by concern on the admin of overall</t>
  </si>
  <si>
    <t>Households by reported safety and security concerns for MEN in the area, by concern broken down by households with at least one member with a reported and/or registered disability on the admin of overall</t>
  </si>
  <si>
    <t>Households by reported safety and security concerns for MEN in the area, by concern broken down by urbanity on the admin of overall</t>
  </si>
  <si>
    <t>Households by reported safety and security concerns for MEN in the area, by concern broken down by household size on the admin of overall</t>
  </si>
  <si>
    <t>Households by reported safety and security concerns for MEN in the area, by concern broken down by income per capita (quartiles) on the admin of overall</t>
  </si>
  <si>
    <t>Households by reported safety and security concerns for MEN in the area, by concern broken down by gender of head of household on the admin of overall</t>
  </si>
  <si>
    <t>Households by reported safety and security concerns for MEN in the area, by concern broken down by age of adults in the households on the admin of overall</t>
  </si>
  <si>
    <t>Households by reported safety and security concerns for MEN in the area, by concern broken down by households with at least one child (&lt;18 y.o.) on the admin of overall</t>
  </si>
  <si>
    <t>Households by reported safety and security concerns for MEN in the area, by concern broken down by displacement status of head of household on the admin of overall</t>
  </si>
  <si>
    <t>Households by reported safety and security concerns for MEN in the area, by concern broken down by IDP household on the admin of overall</t>
  </si>
  <si>
    <t>Households by reported safety and security concerns for MEN in the area, by concern broken down by proximity to frontline/border with Russian Federation on the admin of overall</t>
  </si>
  <si>
    <t>Households by reported safety and security concerns for MEN in the area, by concern broken down by caregiving status  on the admin of overall</t>
  </si>
  <si>
    <t>Households by reported safety and security concerns for MEN in the area, by concern broken down by gender of respondent on the admin of overall</t>
  </si>
  <si>
    <t>Households by reported safety and security concerns for MEN in the area, by concern broken down by age of respondents on the admin of overall</t>
  </si>
  <si>
    <t>Households by reported safety and security concerns for MEN in the area, by concern broken down by gender and age of respondents on the admin of overall</t>
  </si>
  <si>
    <t>Households by reported safety and security concerns for CHILDREN in the area, by concern on the admin of overall</t>
  </si>
  <si>
    <t>Physical or mental violence not related to the conflict (including beating, domestic violence etc.)</t>
  </si>
  <si>
    <t>Crime (e.g. being robbed)</t>
  </si>
  <si>
    <t>Discrimination and abuse by other minors or adults (because of language, displacement status, ethnicity, etc.)</t>
  </si>
  <si>
    <t>Family separation</t>
  </si>
  <si>
    <t>Conscription of family member/head of household</t>
  </si>
  <si>
    <t>Exploitation (being engaged in illegal actions, harmful forms of labor)</t>
  </si>
  <si>
    <t>Households by reported safety and security concerns for CHILDREN in the area, by concern broken down by households with at least one member with a reported and/or registered disability on the admin of overall</t>
  </si>
  <si>
    <t>Households by reported safety and security concerns for CHILDREN in the area, by concern broken down by urbanity on the admin of overall</t>
  </si>
  <si>
    <t>Households by reported safety and security concerns for CHILDREN in the area, by concern broken down by household size on the admin of overall</t>
  </si>
  <si>
    <t>Households by reported safety and security concerns for CHILDREN in the area, by concern broken down by income per capita (quartiles) on the admin of overall</t>
  </si>
  <si>
    <t>Households by reported safety and security concerns for CHILDREN in the area, by concern broken down by gender of head of household on the admin of overall</t>
  </si>
  <si>
    <t>Households by reported safety and security concerns for CHILDREN in the area, by concern broken down by age of adults in the households on the admin of overall</t>
  </si>
  <si>
    <t>Households by reported safety and security concerns for CHILDREN in the area, by concern broken down by households with at least one child (&lt;18 y.o.) on the admin of overall</t>
  </si>
  <si>
    <t>Households by reported safety and security concerns for CHILDREN in the area, by concern broken down by displacement status of head of household on the admin of overall</t>
  </si>
  <si>
    <t>Households by reported safety and security concerns for CHILDREN in the area, by concern broken down by IDP household on the admin of overall</t>
  </si>
  <si>
    <t>Households by reported safety and security concerns for CHILDREN in the area, by concern broken down by proximity to frontline/border with Russian Federation on the admin of overall</t>
  </si>
  <si>
    <t>Households by reported safety and security concerns for CHILDREN in the area, by concern broken down by caregiving status  on the admin of overall</t>
  </si>
  <si>
    <t>Households by reported safety and security concerns for CHILDREN in the area, by concern broken down by gender of respondent on the admin of overall</t>
  </si>
  <si>
    <t>Households by reported safety and security concerns for CHILDREN in the area, by concern broken down by age of respondents on the admin of overall</t>
  </si>
  <si>
    <t>Households by reported safety and security concerns for CHILDREN in the area, by concern broken down by gender and age of respondents on the admin of overall</t>
  </si>
  <si>
    <t>Housing/land/property (HLP) concerns of households, by concern on the admin of overall</t>
  </si>
  <si>
    <t>Damaged or destroyed housing in area NOT occupied by the Russian Federation</t>
  </si>
  <si>
    <t>Damaged or destroyed housing in area occupied by the Russian Federation</t>
  </si>
  <si>
    <t>Housing and/or land is not accessible due to military restrictions, active hostilities</t>
  </si>
  <si>
    <t>Lack of documents / lack of access to documents proving ownership of housing / land</t>
  </si>
  <si>
    <t>Land contaminated with Explosive Ordnances</t>
  </si>
  <si>
    <t>Housing in area occupied by the Russian Federation has been confiscated</t>
  </si>
  <si>
    <t>Lack of access to / eligibility for state compensation mechanism</t>
  </si>
  <si>
    <t>Eviction or fear of eviction from rented housing</t>
  </si>
  <si>
    <t>No social / affordable housing available in the area</t>
  </si>
  <si>
    <t>Housing/land/property (HLP) concerns of households, by concern broken down by households with at least one member with a reported and/or registered disability on the admin of overall</t>
  </si>
  <si>
    <t>Housing/land/property (HLP) concerns of households, by concern broken down by urbanity on the admin of overall</t>
  </si>
  <si>
    <t>Housing/land/property (HLP) concerns of households, by concern broken down by household size on the admin of overall</t>
  </si>
  <si>
    <t>Housing/land/property (HLP) concerns of households, by concern broken down by income per capita (quartiles) on the admin of overall</t>
  </si>
  <si>
    <t>Housing/land/property (HLP) concerns of households, by concern broken down by gender of head of household on the admin of overall</t>
  </si>
  <si>
    <t>Housing/land/property (HLP) concerns of households, by concern broken down by age of adults in the households on the admin of overall</t>
  </si>
  <si>
    <t>Housing/land/property (HLP) concerns of households, by concern broken down by households with at least one child (&lt;18 y.o.) on the admin of overall</t>
  </si>
  <si>
    <t>Housing/land/property (HLP) concerns of households, by concern broken down by displacement status of head of household on the admin of overall</t>
  </si>
  <si>
    <t>Housing/land/property (HLP) concerns of households, by concern broken down by IDP household on the admin of overall</t>
  </si>
  <si>
    <t>Housing/land/property (HLP) concerns of households, by concern broken down by proximity to frontline/border with Russian Federation on the admin of overall</t>
  </si>
  <si>
    <t>Housing/land/property (HLP) concerns of households, by concern broken down by caregiving status  on the admin of overall</t>
  </si>
  <si>
    <t>Housing/land/property (HLP) concerns of households, by concern broken down by gender of respondent on the admin of overall</t>
  </si>
  <si>
    <t>Housing/land/property (HLP) concerns of households, by concern broken down by age of respondents on the admin of overall</t>
  </si>
  <si>
    <t>Housing/land/property (HLP) concerns of households, by concern broken down by gender and age of respondents on the admin of overall</t>
  </si>
  <si>
    <t>Households by presence of explosive ordnance present in community on the admin of overall</t>
  </si>
  <si>
    <t>Yes, I or a member of my household believes they are present</t>
  </si>
  <si>
    <t>Yes, I or a member of my household has seen them</t>
  </si>
  <si>
    <t>Households by presence of explosive ordnance present in community broken down by households with at least one member with a reported and/or registered disability on the admin of overall</t>
  </si>
  <si>
    <t>Households by presence of explosive ordnance present in community broken down by urbanity on the admin of overall</t>
  </si>
  <si>
    <t>Households by presence of explosive ordnance present in community broken down by household size on the admin of overall</t>
  </si>
  <si>
    <t>Households by presence of explosive ordnance present in community broken down by income per capita (quartiles) on the admin of overall</t>
  </si>
  <si>
    <t>Households by presence of explosive ordnance present in community broken down by gender of head of household on the admin of overall</t>
  </si>
  <si>
    <t>Households by presence of explosive ordnance present in community broken down by age of adults in the households on the admin of overall</t>
  </si>
  <si>
    <t>Households by presence of explosive ordnance present in community broken down by households with at least one child (&lt;18 y.o.) on the admin of overall</t>
  </si>
  <si>
    <t>Households by presence of explosive ordnance present in community broken down by displacement status of head of household on the admin of overall</t>
  </si>
  <si>
    <t>Households by presence of explosive ordnance present in community broken down by IDP household on the admin of overall</t>
  </si>
  <si>
    <t>Households by presence of explosive ordnance present in community broken down by proximity to frontline/border with Russian Federation on the admin of overall</t>
  </si>
  <si>
    <t>Households by presence of explosive ordnance present in community broken down by caregiving status  on the admin of overall</t>
  </si>
  <si>
    <t>Households by presence of explosive ordnance present in community broken down by gender of respondent on the admin of overall</t>
  </si>
  <si>
    <t>Households by presence of explosive ordnance present in community broken down by age of respondents on the admin of overall</t>
  </si>
  <si>
    <t>Households by presence of explosive ordnance present in community broken down by gender and age of respondents on the admin of overall</t>
  </si>
  <si>
    <t>Households reporting that explosive ordnances affect the livelihoods of people in the community on the admin of overall</t>
  </si>
  <si>
    <t>Households reporting that explosive ordnances affect the livelihoods of people in the community broken down by households with at least one member with a reported and/or registered disability on the admin of overall</t>
  </si>
  <si>
    <t>Households reporting that explosive ordnances affect the livelihoods of people in the community broken down by urbanity on the admin of overall</t>
  </si>
  <si>
    <t>Households reporting that explosive ordnances affect the livelihoods of people in the community broken down by household size on the admin of overall</t>
  </si>
  <si>
    <t>Households reporting that explosive ordnances affect the livelihoods of people in the community broken down by income per capita (quartiles) on the admin of overall</t>
  </si>
  <si>
    <t>Households reporting that explosive ordnances affect the livelihoods of people in the community broken down by gender of head of household on the admin of overall</t>
  </si>
  <si>
    <t>Households reporting that explosive ordnances affect the livelihoods of people in the community broken down by age of adults in the households on the admin of overall</t>
  </si>
  <si>
    <t>Households reporting that explosive ordnances affect the livelihoods of people in the community broken down by households with at least one child (&lt;18 y.o.) on the admin of overall</t>
  </si>
  <si>
    <t>Households reporting that explosive ordnances affect the livelihoods of people in the community broken down by displacement status of head of household on the admin of overall</t>
  </si>
  <si>
    <t>Households reporting that explosive ordnances affect the livelihoods of people in the community broken down by IDP household on the admin of overall</t>
  </si>
  <si>
    <t>Households reporting that explosive ordnances affect the livelihoods of people in the community broken down by proximity to frontline/border with Russian Federation on the admin of overall</t>
  </si>
  <si>
    <t>Households reporting that explosive ordnances affect the livelihoods of people in the community broken down by caregiving status  on the admin of overall</t>
  </si>
  <si>
    <t>Households reporting that explosive ordnances affect the livelihoods of people in the community broken down by gender of respondent on the admin of overall</t>
  </si>
  <si>
    <t>Households reporting that explosive ordnances affect the livelihoods of people in the community broken down by age of respondents on the admin of overall</t>
  </si>
  <si>
    <t>Households reporting that explosive ordnances affect the livelihoods of people in the community broken down by gender and age of respondents on the admin of overall</t>
  </si>
  <si>
    <t>Households by frequency of training/awareness on safe behaviours towards Explosive Ordnances on the admin of overall</t>
  </si>
  <si>
    <t>Households by frequency of training/awareness on safe behaviours towards Explosive Ordnances broken down by households with at least one member with a reported and/or registered disability on the admin of overall</t>
  </si>
  <si>
    <t>Households by frequency of training/awareness on safe behaviours towards Explosive Ordnances broken down by urbanity on the admin of overall</t>
  </si>
  <si>
    <t>Households by frequency of training/awareness on safe behaviours towards Explosive Ordnances broken down by household size on the admin of overall</t>
  </si>
  <si>
    <t>Households by frequency of training/awareness on safe behaviours towards Explosive Ordnances broken down by income per capita (quartiles) on the admin of overall</t>
  </si>
  <si>
    <t>Households by frequency of training/awareness on safe behaviours towards Explosive Ordnances broken down by gender of head of household on the admin of overall</t>
  </si>
  <si>
    <t>Households by frequency of training/awareness on safe behaviours towards Explosive Ordnances broken down by age of adults in the households on the admin of overall</t>
  </si>
  <si>
    <t>Households by frequency of training/awareness on safe behaviours towards Explosive Ordnances broken down by households with at least one child (&lt;18 y.o.) on the admin of overall</t>
  </si>
  <si>
    <t>Households by frequency of training/awareness on safe behaviours towards Explosive Ordnances broken down by displacement status of head of household on the admin of overall</t>
  </si>
  <si>
    <t>Households by frequency of training/awareness on safe behaviours towards Explosive Ordnances broken down by IDP household on the admin of overall</t>
  </si>
  <si>
    <t>Households by frequency of training/awareness on safe behaviours towards Explosive Ordnances broken down by proximity to frontline/border with Russian Federation on the admin of overall</t>
  </si>
  <si>
    <t>Households by frequency of training/awareness on safe behaviours towards Explosive Ordnances broken down by caregiving status  on the admin of overall</t>
  </si>
  <si>
    <t>Households by frequency of training/awareness on safe behaviours towards Explosive Ordnances broken down by gender of respondent on the admin of overall</t>
  </si>
  <si>
    <t>Households by frequency of training/awareness on safe behaviours towards Explosive Ordnances broken down by age of respondents on the admin of overall</t>
  </si>
  <si>
    <t>Households by frequency of training/awareness on safe behaviours towards Explosive Ordnances broken down by gender and age of respondents on the admin of overall</t>
  </si>
  <si>
    <t>Percentage of households by current shelter situation on the admin of overall</t>
  </si>
  <si>
    <t>Individual shelter (for this household only)</t>
  </si>
  <si>
    <t>Individual shelter (shared with other households)</t>
  </si>
  <si>
    <t>Collective center (Places of temporary residence for IDPs, including those provided by humanitarian organizations, etc.)</t>
  </si>
  <si>
    <t>Hosted by friends/relatives</t>
  </si>
  <si>
    <t>Hosting at least one other household in own home</t>
  </si>
  <si>
    <t>Percentage of households by current shelter situation broken down by households with at least one member with a reported and/or registered disability on the admin of overall</t>
  </si>
  <si>
    <t>Percentage of households by current shelter situation broken down by urbanity on the admin of overall</t>
  </si>
  <si>
    <t>Percentage of households by current shelter situation broken down by household size on the admin of overall</t>
  </si>
  <si>
    <t>Percentage of households by current shelter situation broken down by income per capita (quartiles) on the admin of overall</t>
  </si>
  <si>
    <t>Percentage of households by current shelter situation broken down by gender of head of household on the admin of overall</t>
  </si>
  <si>
    <t>Percentage of households by current shelter situation broken down by age of adults in the households on the admin of overall</t>
  </si>
  <si>
    <t>Percentage of households by current shelter situation broken down by households with at least one child (&lt;18 y.o.) on the admin of overall</t>
  </si>
  <si>
    <t>Percentage of households by current shelter situation broken down by displacement status of head of household on the admin of overall</t>
  </si>
  <si>
    <t>Percentage of households by current shelter situation broken down by IDP household on the admin of overall</t>
  </si>
  <si>
    <t>Percentage of households by current shelter situation broken down by proximity to frontline/border with Russian Federation on the admin of overall</t>
  </si>
  <si>
    <t>Percentage of households by current shelter situation broken down by caregiving status  on the admin of overall</t>
  </si>
  <si>
    <t>Percentage of households by current shelter type  on the admin of overall</t>
  </si>
  <si>
    <t>Solid / finished apartment</t>
  </si>
  <si>
    <t>Solid / finished house</t>
  </si>
  <si>
    <t>Unfinished / non-enclosed building</t>
  </si>
  <si>
    <t>Tent</t>
  </si>
  <si>
    <t>Percentage of households by current shelter type  broken down by households with at least one member with a reported and/or registered disability on the admin of overall</t>
  </si>
  <si>
    <t>Percentage of households by current shelter type  broken down by urbanity on the admin of overall</t>
  </si>
  <si>
    <t>Percentage of households by current shelter type  broken down by household size on the admin of overall</t>
  </si>
  <si>
    <t>Percentage of households by current shelter type  broken down by income per capita (quartiles) on the admin of overall</t>
  </si>
  <si>
    <t>Percentage of households by current shelter type  broken down by gender of head of household on the admin of overall</t>
  </si>
  <si>
    <t>Percentage of households by current shelter type  broken down by age of adults in the households on the admin of overall</t>
  </si>
  <si>
    <t>Percentage of households by current shelter type  broken down by households with at least one child (&lt;18 y.o.) on the admin of overall</t>
  </si>
  <si>
    <t>Percentage of households by current shelter type  broken down by displacement status of head of household on the admin of overall</t>
  </si>
  <si>
    <t>Percentage of households by current shelter type  broken down by IDP household on the admin of overall</t>
  </si>
  <si>
    <t>Percentage of households by current shelter type  broken down by proximity to frontline/border with Russian Federation on the admin of overall</t>
  </si>
  <si>
    <t>Percentage of households by current shelter type  broken down by caregiving status  on the admin of overall</t>
  </si>
  <si>
    <t>Shelter size (squared meters) on the admin of overall</t>
  </si>
  <si>
    <t>Shelter size (squared meters) broken down by households with at least one member with a reported and/or registered disability on the admin of overall</t>
  </si>
  <si>
    <t>Shelter size (squared meters) broken down by urbanity on the admin of overall</t>
  </si>
  <si>
    <t>Shelter size (squared meters) broken down by household size on the admin of overall</t>
  </si>
  <si>
    <t>Shelter size (squared meters) broken down by income per capita (quartiles) on the admin of overall</t>
  </si>
  <si>
    <t>Shelter size (squared meters) broken down by gender of head of household on the admin of overall</t>
  </si>
  <si>
    <t>Shelter size (squared meters) broken down by age of adults in the households on the admin of overall</t>
  </si>
  <si>
    <t>Shelter size (squared meters) broken down by households with at least one child (&lt;18 y.o.) on the admin of overall</t>
  </si>
  <si>
    <t>Shelter size (squared meters) broken down by displacement status of head of household on the admin of overall</t>
  </si>
  <si>
    <t>Shelter size (squared meters) broken down by IDP household on the admin of overall</t>
  </si>
  <si>
    <t>Shelter size (squared meters) broken down by proximity to frontline/border with Russian Federation on the admin of overall</t>
  </si>
  <si>
    <t>Shelter size (squared meters) broken down by caregiving status  on the admin of overall</t>
  </si>
  <si>
    <t>Number of individuals sharing a shelter on the admin of overall</t>
  </si>
  <si>
    <t>Number of individuals sharing a shelter broken down by households with at least one member with a reported and/or registered disability on the admin of overall</t>
  </si>
  <si>
    <t>Number of individuals sharing a shelter broken down by urbanity on the admin of overall</t>
  </si>
  <si>
    <t>Number of individuals sharing a shelter broken down by household size on the admin of overall</t>
  </si>
  <si>
    <t>Number of individuals sharing a shelter broken down by income per capita (quartiles) on the admin of overall</t>
  </si>
  <si>
    <t>Number of individuals sharing a shelter broken down by gender of head of household on the admin of overall</t>
  </si>
  <si>
    <t>Number of individuals sharing a shelter broken down by age of adults in the households on the admin of overall</t>
  </si>
  <si>
    <t>Number of individuals sharing a shelter broken down by households with at least one child (&lt;18 y.o.) on the admin of overall</t>
  </si>
  <si>
    <t>Number of individuals sharing a shelter broken down by displacement status of head of household on the admin of overall</t>
  </si>
  <si>
    <t>Number of individuals sharing a shelter broken down by IDP household on the admin of overall</t>
  </si>
  <si>
    <t>Number of individuals sharing a shelter broken down by proximity to frontline/border with Russian Federation on the admin of overall</t>
  </si>
  <si>
    <t>Number of individuals sharing a shelter broken down by caregiving status  on the admin of overall</t>
  </si>
  <si>
    <t>Percentage of households by occupancy arrangement of current shelter on the admin of overall</t>
  </si>
  <si>
    <t xml:space="preserve">Owned property </t>
  </si>
  <si>
    <t>Rented</t>
  </si>
  <si>
    <t>Hosted for free</t>
  </si>
  <si>
    <t>No occupancy agreement, squatting</t>
  </si>
  <si>
    <t>Percentage of households by occupancy arrangement of current shelter broken down by households with at least one member with a reported and/or registered disability on the admin of overall</t>
  </si>
  <si>
    <t>Percentage of households by occupancy arrangement of current shelter broken down by urbanity on the admin of overall</t>
  </si>
  <si>
    <t>Percentage of households by occupancy arrangement of current shelter broken down by household size on the admin of overall</t>
  </si>
  <si>
    <t>Percentage of households by occupancy arrangement of current shelter broken down by income per capita (quartiles) on the admin of overall</t>
  </si>
  <si>
    <t>Percentage of households by occupancy arrangement of current shelter broken down by gender of head of household on the admin of overall</t>
  </si>
  <si>
    <t>Percentage of households by occupancy arrangement of current shelter broken down by age of adults in the households on the admin of overall</t>
  </si>
  <si>
    <t>Percentage of households by occupancy arrangement of current shelter broken down by households with at least one child (&lt;18 y.o.) on the admin of overall</t>
  </si>
  <si>
    <t>Percentage of households by occupancy arrangement of current shelter broken down by displacement status of head of household on the admin of overall</t>
  </si>
  <si>
    <t>Percentage of households by occupancy arrangement of current shelter broken down by IDP household on the admin of overall</t>
  </si>
  <si>
    <t>Percentage of households by occupancy arrangement of current shelter broken down by proximity to frontline/border with Russian Federation on the admin of overall</t>
  </si>
  <si>
    <t>Percentage of households by occupancy arrangement of current shelter broken down by caregiving status  on the admin of overall</t>
  </si>
  <si>
    <t>Percentage of households feeling at risk of eviction within the next 6 months on the admin of overall</t>
  </si>
  <si>
    <t>Percentage of households feeling at risk of eviction within the next 6 months broken down by households with at least one member with a reported and/or registered disability on the admin of overall</t>
  </si>
  <si>
    <t>Percentage of households feeling at risk of eviction within the next 6 months broken down by urbanity on the admin of overall</t>
  </si>
  <si>
    <t>Percentage of households feeling at risk of eviction within the next 6 months broken down by household size on the admin of overall</t>
  </si>
  <si>
    <t>Percentage of households feeling at risk of eviction within the next 6 months broken down by income per capita (quartiles) on the admin of overall</t>
  </si>
  <si>
    <t>Percentage of households feeling at risk of eviction within the next 6 months broken down by gender of head of household on the admin of overall</t>
  </si>
  <si>
    <t>Percentage of households feeling at risk of eviction within the next 6 months broken down by age of adults in the households on the admin of overall</t>
  </si>
  <si>
    <t>Percentage of households feeling at risk of eviction within the next 6 months broken down by households with at least one child (&lt;18 y.o.) on the admin of overall</t>
  </si>
  <si>
    <t>Percentage of households feeling at risk of eviction within the next 6 months broken down by displacement status of head of household on the admin of overall</t>
  </si>
  <si>
    <t>Percentage of households feeling at risk of eviction within the next 6 months broken down by IDP household on the admin of overall</t>
  </si>
  <si>
    <t>Percentage of households feeling at risk of eviction within the next 6 months broken down by proximity to frontline/border with Russian Federation on the admin of overall</t>
  </si>
  <si>
    <t>Percentage of households feeling at risk of eviction within the next 6 months broken down by caregiving status  on the admin of overall</t>
  </si>
  <si>
    <t>Percentage of households currently threatened with eviction on the admin of overall</t>
  </si>
  <si>
    <t>Did not receive direct threats but we are under conditions that put as at risk of being evicted, such being on a land without lease agreement</t>
  </si>
  <si>
    <t>Yes, we have received threats other than an official order</t>
  </si>
  <si>
    <t xml:space="preserve">Yes, we have been threatened with an official order </t>
  </si>
  <si>
    <t>Percentage of households currently threatened with eviction broken down by households with at least one member with a reported and/or registered disability on the admin of overall</t>
  </si>
  <si>
    <t>Percentage of households currently threatened with eviction broken down by urbanity on the admin of overall</t>
  </si>
  <si>
    <t>Percentage of households currently threatened with eviction broken down by household size on the admin of overall</t>
  </si>
  <si>
    <t>Percentage of households currently threatened with eviction broken down by income per capita (quartiles) on the admin of overall</t>
  </si>
  <si>
    <t>Percentage of households currently threatened with eviction broken down by gender of head of household on the admin of overall</t>
  </si>
  <si>
    <t>Percentage of households currently threatened with eviction broken down by age of adults in the households on the admin of overall</t>
  </si>
  <si>
    <t>Percentage of households currently threatened with eviction broken down by households with at least one child (&lt;18 y.o.) on the admin of overall</t>
  </si>
  <si>
    <t>Percentage of households currently threatened with eviction broken down by displacement status of head of household on the admin of overall</t>
  </si>
  <si>
    <t>Percentage of households currently threatened with eviction broken down by IDP household on the admin of overall</t>
  </si>
  <si>
    <t>Percentage of households currently threatened with eviction broken down by proximity to frontline/border with Russian Federation on the admin of overall</t>
  </si>
  <si>
    <t>Percentage of households currently threatened with eviction broken down by caregiving status  on the admin of overall</t>
  </si>
  <si>
    <t>Percentage of households by current shelter issues that were NOT caused by the war, by issue on the admin of overall</t>
  </si>
  <si>
    <t>No issues</t>
  </si>
  <si>
    <t xml:space="preserve">It is often too hot or too cold inside dwelling / shelter  </t>
  </si>
  <si>
    <t>Leaks when it rains or snows</t>
  </si>
  <si>
    <t>Presence of mosquitos, rodents, ticks, inside the shelter</t>
  </si>
  <si>
    <t xml:space="preserve">Lack of space inside dwelling / shelter  </t>
  </si>
  <si>
    <t>Limited ventilation (e.g. no or poor air circulation) inside dwelling / shelter</t>
  </si>
  <si>
    <t>Some members of the household have difficulties moving inside or outside the dwelling</t>
  </si>
  <si>
    <t>Lack of space inside / near the shelter to wash and dry clothes</t>
  </si>
  <si>
    <t>Lack of privacy (e.g. no doors)</t>
  </si>
  <si>
    <t>Lack of lighting outside the dwelling / shelter</t>
  </si>
  <si>
    <t>Lack of lighting inside the dwelling / shelter</t>
  </si>
  <si>
    <t xml:space="preserve">Unable to lock the dwelling / shelter  </t>
  </si>
  <si>
    <t>Percentage of households by current shelter issues that were NOT caused by the war, by issue broken down by households with at least one member with a reported and/or registered disability on the admin of overall</t>
  </si>
  <si>
    <t>Percentage of households by current shelter issues that were NOT caused by the war, by issue broken down by urbanity on the admin of overall</t>
  </si>
  <si>
    <t>Percentage of households by current shelter issues that were NOT caused by the war, by issue broken down by household size on the admin of overall</t>
  </si>
  <si>
    <t>Percentage of households by current shelter issues that were NOT caused by the war, by issue broken down by income per capita (quartiles) on the admin of overall</t>
  </si>
  <si>
    <t>Percentage of households by current shelter issues that were NOT caused by the war, by issue broken down by gender of head of household on the admin of overall</t>
  </si>
  <si>
    <t>Percentage of households by current shelter issues that were NOT caused by the war, by issue broken down by age of adults in the households on the admin of overall</t>
  </si>
  <si>
    <t>Percentage of households by current shelter issues that were NOT caused by the war, by issue broken down by households with at least one child (&lt;18 y.o.) on the admin of overall</t>
  </si>
  <si>
    <t>Percentage of households by current shelter issues that were NOT caused by the war, by issue broken down by displacement status of head of household on the admin of overall</t>
  </si>
  <si>
    <t>Percentage of households by current shelter issues that were NOT caused by the war, by issue broken down by IDP household on the admin of overall</t>
  </si>
  <si>
    <t>Percentage of households by current shelter issues that were NOT caused by the war, by issue broken down by proximity to frontline/border with Russian Federation on the admin of overall</t>
  </si>
  <si>
    <t>Percentage of households by current shelter issues that were NOT caused by the war, by issue broken down by caregiving status  on the admin of overall</t>
  </si>
  <si>
    <t>Percentage of households reporting damage to current shelter caused by the war since February 2022 on the admin of overall</t>
  </si>
  <si>
    <t>Percentage of households reporting damage to current shelter caused by the war since February 2022 broken down by households with at least one member with a reported and/or registered disability on the admin of overall</t>
  </si>
  <si>
    <t>Percentage of households reporting damage to current shelter caused by the war since February 2022 broken down by urbanity on the admin of overall</t>
  </si>
  <si>
    <t>Percentage of households reporting damage to current shelter caused by the war since February 2022 broken down by household size on the admin of overall</t>
  </si>
  <si>
    <t>Percentage of households reporting damage to current shelter caused by the war since February 2022 broken down by income per capita (quartiles) on the admin of overall</t>
  </si>
  <si>
    <t>Percentage of households reporting damage to current shelter caused by the war since February 2022 broken down by gender of head of household on the admin of overall</t>
  </si>
  <si>
    <t>Percentage of households reporting damage to current shelter caused by the war since February 2022 broken down by age of adults in the households on the admin of overall</t>
  </si>
  <si>
    <t>Percentage of households reporting damage to current shelter caused by the war since February 2022 broken down by households with at least one child (&lt;18 y.o.) on the admin of overall</t>
  </si>
  <si>
    <t>Percentage of households reporting damage to current shelter caused by the war since February 2022 broken down by displacement status of head of household on the admin of overall</t>
  </si>
  <si>
    <t>Percentage of households reporting damage to current shelter caused by the war since February 2022 broken down by IDP household on the admin of overall</t>
  </si>
  <si>
    <t>Percentage of households reporting damage to current shelter caused by the war since February 2022 broken down by proximity to frontline/border with Russian Federation on the admin of overall</t>
  </si>
  <si>
    <t>Percentage of households reporting damage to current shelter caused by the war since February 2022 broken down by caregiving status  on the admin of overall</t>
  </si>
  <si>
    <t>Percentage of households reporting that the damage to the current shelter caused by the war was REPAIRED on the admin of overall</t>
  </si>
  <si>
    <t>Percentage of households reporting that the damage to the current shelter caused by the war was REPAIRED broken down by households with at least one member with a reported and/or registered disability on the admin of overall</t>
  </si>
  <si>
    <t>Percentage of households reporting that the damage to the current shelter caused by the war was REPAIRED broken down by urbanity on the admin of overall</t>
  </si>
  <si>
    <t>Percentage of households reporting that the damage to the current shelter caused by the war was REPAIRED broken down by household size on the admin of overall</t>
  </si>
  <si>
    <t>Percentage of households reporting that the damage to the current shelter caused by the war was REPAIRED broken down by income per capita (quartiles) on the admin of overall</t>
  </si>
  <si>
    <t>Percentage of households reporting that the damage to the current shelter caused by the war was REPAIRED broken down by gender of head of household on the admin of overall</t>
  </si>
  <si>
    <t>Percentage of households reporting that the damage to the current shelter caused by the war was REPAIRED broken down by age of adults in the households on the admin of overall</t>
  </si>
  <si>
    <t>Percentage of households reporting that the damage to the current shelter caused by the war was REPAIRED broken down by households with at least one child (&lt;18 y.o.) on the admin of overall</t>
  </si>
  <si>
    <t>Percentage of households reporting that the damage to the current shelter caused by the war was REPAIRED broken down by displacement status of head of household on the admin of overall</t>
  </si>
  <si>
    <t>Percentage of households reporting that the damage to the current shelter caused by the war was REPAIRED broken down by IDP household on the admin of overall</t>
  </si>
  <si>
    <t>Percentage of households reporting that the damage to the current shelter caused by the war was REPAIRED broken down by proximity to frontline/border with Russian Federation on the admin of overall</t>
  </si>
  <si>
    <t>Percentage of households reporting that the damage to the current shelter caused by the war was REPAIRED broken down by caregiving status  on the admin of overall</t>
  </si>
  <si>
    <t>Percentage of households reporting that the damage to current shelter was not repaired, by reason  on the admin of overall</t>
  </si>
  <si>
    <t>I cannot afford to pay for labour or materials</t>
  </si>
  <si>
    <t>Security situation or ongoing hostilities prevent repairs in my area</t>
  </si>
  <si>
    <t>I could not access or was ineligible for assistance through the eRecovery programme</t>
  </si>
  <si>
    <t>I applied to the eRecovery programme but have not yet received funds or materials</t>
  </si>
  <si>
    <t>The shelter is not mine / I do not have the legal right to make repairs</t>
  </si>
  <si>
    <t xml:space="preserve">I do not know where to seek help/access information about shelter repair support </t>
  </si>
  <si>
    <t>The damage is too extensive — the shelter requires full reconstruction</t>
  </si>
  <si>
    <t>Percentage of households reporting that the damage to current shelter was not repaired, by reason  broken down by households with at least one member with a reported and/or registered disability on the admin of overall</t>
  </si>
  <si>
    <t>Percentage of households reporting that the damage to current shelter was not repaired, by reason  broken down by urbanity on the admin of overall</t>
  </si>
  <si>
    <t>Percentage of households reporting that the damage to current shelter was not repaired, by reason  broken down by household size on the admin of overall</t>
  </si>
  <si>
    <t>Percentage of households reporting that the damage to current shelter was not repaired, by reason  broken down by income per capita (quartiles) on the admin of overall</t>
  </si>
  <si>
    <t>Percentage of households reporting that the damage to current shelter was not repaired, by reason  broken down by gender of head of household on the admin of overall</t>
  </si>
  <si>
    <t>Percentage of households reporting that the damage to current shelter was not repaired, by reason  broken down by age of adults in the households on the admin of overall</t>
  </si>
  <si>
    <t>Percentage of households reporting that the damage to current shelter was not repaired, by reason  broken down by households with at least one child (&lt;18 y.o.) on the admin of overall</t>
  </si>
  <si>
    <t>Percentage of households reporting that the damage to current shelter was not repaired, by reason  broken down by displacement status of head of household on the admin of overall</t>
  </si>
  <si>
    <t>Percentage of households reporting that the damage to current shelter was not repaired, by reason  broken down by IDP household on the admin of overall</t>
  </si>
  <si>
    <t>Percentage of households reporting that the damage to current shelter was not repaired, by reason  broken down by proximity to frontline/border with Russian Federation on the admin of overall</t>
  </si>
  <si>
    <t>Percentage of households reporting that the damage to current shelter was not repaired, by reason  broken down by caregiving status  on the admin of overall</t>
  </si>
  <si>
    <t>Percentage of households reporting damage to current shelter caused by the war, by severity on the admin of overall</t>
  </si>
  <si>
    <t>Light damage: broken or missing windows and/or doors</t>
  </si>
  <si>
    <t>Minor damage: cracks or openings in the roof or external walls</t>
  </si>
  <si>
    <t>Moderate damage: partial collapse of a key shelter elements (roof, wall, or foundation</t>
  </si>
  <si>
    <t>Severe damage: partial collapse of multiple shelter elements (roof, wall, or foundation)</t>
  </si>
  <si>
    <t>Catastrophic damage: Total collapse of the shelter</t>
  </si>
  <si>
    <t>Percentage of households reporting damage to current shelter caused by the war, by severity broken down by households with at least one member with a reported and/or registered disability on the admin of overall</t>
  </si>
  <si>
    <t>Percentage of households reporting damage to current shelter caused by the war, by severity broken down by urbanity on the admin of overall</t>
  </si>
  <si>
    <t>Percentage of households reporting damage to current shelter caused by the war, by severity broken down by household size on the admin of overall</t>
  </si>
  <si>
    <t>Percentage of households reporting damage to current shelter caused by the war, by severity broken down by income per capita (quartiles) on the admin of overall</t>
  </si>
  <si>
    <t>Percentage of households reporting damage to current shelter caused by the war, by severity broken down by gender of head of household on the admin of overall</t>
  </si>
  <si>
    <t>Percentage of households reporting damage to current shelter caused by the war, by severity broken down by age of adults in the households on the admin of overall</t>
  </si>
  <si>
    <t>Percentage of households reporting damage to current shelter caused by the war, by severity broken down by households with at least one child (&lt;18 y.o.) on the admin of overall</t>
  </si>
  <si>
    <t>Percentage of households reporting damage to current shelter caused by the war, by severity broken down by displacement status of head of household on the admin of overall</t>
  </si>
  <si>
    <t>Percentage of households reporting damage to current shelter caused by the war, by severity broken down by IDP household on the admin of overall</t>
  </si>
  <si>
    <t>Percentage of households reporting damage to current shelter caused by the war, by severity broken down by proximity to frontline/border with Russian Federation on the admin of overall</t>
  </si>
  <si>
    <t>Percentage of households reporting damage to current shelter caused by the war, by severity broken down by caregiving status  on the admin of overall</t>
  </si>
  <si>
    <t>Percentage of households reporting enough space/essential items so that the members of the households can cook on the admin of overall</t>
  </si>
  <si>
    <t xml:space="preserve">No </t>
  </si>
  <si>
    <t>Do not need to cook in current shelter</t>
  </si>
  <si>
    <t>Percentage of households reporting enough space/essential items so that the members of the households can cook broken down by households with at least one member with a reported and/or registered disability on the admin of overall</t>
  </si>
  <si>
    <t>Percentage of households reporting enough space/essential items so that the members of the households can cook broken down by urbanity on the admin of overall</t>
  </si>
  <si>
    <t>Percentage of households reporting enough space/essential items so that the members of the households can cook broken down by household size on the admin of overall</t>
  </si>
  <si>
    <t>Percentage of households reporting enough space/essential items so that the members of the households can cook broken down by income per capita (quartiles) on the admin of overall</t>
  </si>
  <si>
    <t>Percentage of households reporting enough space/essential items so that the members of the households can cook broken down by gender of head of household on the admin of overall</t>
  </si>
  <si>
    <t>Percentage of households reporting enough space/essential items so that the members of the households can cook broken down by age of adults in the households on the admin of overall</t>
  </si>
  <si>
    <t>Percentage of households reporting enough space/essential items so that the members of the households can cook broken down by households with at least one child (&lt;18 y.o.) on the admin of overall</t>
  </si>
  <si>
    <t>Percentage of households reporting enough space/essential items so that the members of the households can cook broken down by displacement status of head of household on the admin of overall</t>
  </si>
  <si>
    <t>Percentage of households reporting enough space/essential items so that the members of the households can cook broken down by IDP household on the admin of overall</t>
  </si>
  <si>
    <t>Percentage of households reporting enough space/essential items so that the members of the households can cook broken down by proximity to frontline/border with Russian Federation on the admin of overall</t>
  </si>
  <si>
    <t>Percentage of households reporting enough space/essential items so that the members of the households can cook broken down by caregiving status  on the admin of overall</t>
  </si>
  <si>
    <t>Percentage of households reporting enough space/essential items so that the members of the households can sleep on the admin of overall</t>
  </si>
  <si>
    <t>Percentage of households reporting enough space/essential items so that the members of the households can sleep broken down by households with at least one member with a reported and/or registered disability on the admin of overall</t>
  </si>
  <si>
    <t>Percentage of households reporting enough space/essential items so that the members of the households can sleep broken down by urbanity on the admin of overall</t>
  </si>
  <si>
    <t>Percentage of households reporting enough space/essential items so that the members of the households can sleep broken down by household size on the admin of overall</t>
  </si>
  <si>
    <t>Percentage of households reporting enough space/essential items so that the members of the households can sleep broken down by income per capita (quartiles) on the admin of overall</t>
  </si>
  <si>
    <t>Percentage of households reporting enough space/essential items so that the members of the households can sleep broken down by gender of head of household on the admin of overall</t>
  </si>
  <si>
    <t>Percentage of households reporting enough space/essential items so that the members of the households can sleep broken down by age of adults in the households on the admin of overall</t>
  </si>
  <si>
    <t>Percentage of households reporting enough space/essential items so that the members of the households can sleep broken down by households with at least one child (&lt;18 y.o.) on the admin of overall</t>
  </si>
  <si>
    <t>Percentage of households reporting enough space/essential items so that the members of the households can sleep broken down by displacement status of head of household on the admin of overall</t>
  </si>
  <si>
    <t>Percentage of households reporting enough space/essential items so that the members of the households can sleep broken down by IDP household on the admin of overall</t>
  </si>
  <si>
    <t>Percentage of households reporting enough space/essential items so that the members of the households can sleep broken down by proximity to frontline/border with Russian Federation on the admin of overall</t>
  </si>
  <si>
    <t>Percentage of households reporting enough space/essential items so that the members of the households can sleep broken down by caregiving status  on the admin of overall</t>
  </si>
  <si>
    <t>Percentage of households reporting enough space/essential items so that the members of the households can store food on the admin of overall</t>
  </si>
  <si>
    <t>Percentage of households reporting enough space/essential items so that the members of the households can store food broken down by households with at least one member with a reported and/or registered disability on the admin of overall</t>
  </si>
  <si>
    <t>Percentage of households reporting enough space/essential items so that the members of the households can store food broken down by urbanity on the admin of overall</t>
  </si>
  <si>
    <t>Percentage of households reporting enough space/essential items so that the members of the households can store food broken down by household size on the admin of overall</t>
  </si>
  <si>
    <t>Percentage of households reporting enough space/essential items so that the members of the households can store food broken down by income per capita (quartiles) on the admin of overall</t>
  </si>
  <si>
    <t>Percentage of households reporting enough space/essential items so that the members of the households can store food broken down by gender of head of household on the admin of overall</t>
  </si>
  <si>
    <t>Percentage of households reporting enough space/essential items so that the members of the households can store food broken down by age of adults in the households on the admin of overall</t>
  </si>
  <si>
    <t>Percentage of households reporting enough space/essential items so that the members of the households can store food broken down by households with at least one child (&lt;18 y.o.) on the admin of overall</t>
  </si>
  <si>
    <t>Percentage of households reporting enough space/essential items so that the members of the households can store food broken down by displacement status of head of household on the admin of overall</t>
  </si>
  <si>
    <t>Percentage of households reporting enough space/essential items so that the members of the households can store food broken down by IDP household on the admin of overall</t>
  </si>
  <si>
    <t>Percentage of households reporting enough space/essential items so that the members of the households can store food broken down by proximity to frontline/border with Russian Federation on the admin of overall</t>
  </si>
  <si>
    <t>Percentage of households reporting enough space/essential items so that the members of the households can store food broken down by caregiving status  on the admin of overall</t>
  </si>
  <si>
    <t>Households by main heating source in 2024-2025 winter season on the admin of overall</t>
  </si>
  <si>
    <t>District heating (Not sure source)</t>
  </si>
  <si>
    <t>Gas (decentralized)</t>
  </si>
  <si>
    <t>Wood or coal</t>
  </si>
  <si>
    <t>Electricity (decentralized)</t>
  </si>
  <si>
    <t>Briquettes</t>
  </si>
  <si>
    <t>No heating</t>
  </si>
  <si>
    <t>Households by main heating source in 2024-2025 winter season broken down by households with at least one member with a reported and/or registered disability on the admin of overall</t>
  </si>
  <si>
    <t>Households by main heating source in 2024-2025 winter season broken down by urbanity on the admin of overall</t>
  </si>
  <si>
    <t>Households by main heating source in 2024-2025 winter season broken down by household size on the admin of overall</t>
  </si>
  <si>
    <t>Households by main heating source in 2024-2025 winter season broken down by income per capita (quartiles) on the admin of overall</t>
  </si>
  <si>
    <t>Households by main heating source in 2024-2025 winter season broken down by gender of head of household on the admin of overall</t>
  </si>
  <si>
    <t>Households by main heating source in 2024-2025 winter season broken down by age of adults in the households on the admin of overall</t>
  </si>
  <si>
    <t>Households by main heating source in 2024-2025 winter season broken down by households with at least one child (&lt;18 y.o.) on the admin of overall</t>
  </si>
  <si>
    <t>Households by main heating source in 2024-2025 winter season broken down by displacement status of head of household on the admin of overall</t>
  </si>
  <si>
    <t>Households by main heating source in 2024-2025 winter season broken down by IDP household on the admin of overall</t>
  </si>
  <si>
    <t>Households by main heating source in 2024-2025 winter season broken down by proximity to frontline/border with Russian Federation on the admin of overall</t>
  </si>
  <si>
    <t>Households by main heating source in 2024-2025 winter season broken down by caregiving status  on the admin of overall</t>
  </si>
  <si>
    <t>Households by main source of lighting on the admin of overall</t>
  </si>
  <si>
    <t>Electricity (including solar panels)</t>
  </si>
  <si>
    <t>Solar-powered lantern or flashlight</t>
  </si>
  <si>
    <t>Candle</t>
  </si>
  <si>
    <t>Biogas/LPG lamp</t>
  </si>
  <si>
    <t>Rechargeable flashlight, mobile, torch or lantern</t>
  </si>
  <si>
    <t>Do not want to answer</t>
  </si>
  <si>
    <t>No light source at all</t>
  </si>
  <si>
    <t>Battery (dry-cells) powered flashlight, torch or lantern</t>
  </si>
  <si>
    <t>Households by main source of lighting broken down by households with at least one member with a reported and/or registered disability on the admin of overall</t>
  </si>
  <si>
    <t>Households by main source of lighting broken down by urbanity on the admin of overall</t>
  </si>
  <si>
    <t>Households by main source of lighting broken down by household size on the admin of overall</t>
  </si>
  <si>
    <t>Households by main source of lighting broken down by income per capita (quartiles) on the admin of overall</t>
  </si>
  <si>
    <t>Households by main source of lighting broken down by gender of head of household on the admin of overall</t>
  </si>
  <si>
    <t>Households by main source of lighting broken down by age of adults in the households on the admin of overall</t>
  </si>
  <si>
    <t>Households by main source of lighting broken down by households with at least one child (&lt;18 y.o.) on the admin of overall</t>
  </si>
  <si>
    <t>Households by main source of lighting broken down by displacement status of head of household on the admin of overall</t>
  </si>
  <si>
    <t>Households by main source of lighting broken down by IDP household on the admin of overall</t>
  </si>
  <si>
    <t>Households by main source of lighting broken down by proximity to frontline/border with Russian Federation on the admin of overall</t>
  </si>
  <si>
    <t>Households by main source of lighting broken down by caregiving status  on the admin of overall</t>
  </si>
  <si>
    <t>Households by issue faced with electricity on the admin of overall</t>
  </si>
  <si>
    <t xml:space="preserve">No issues </t>
  </si>
  <si>
    <t>Issues with the supply and/or strength of electricity (this includes scheduled power cuts)</t>
  </si>
  <si>
    <t>No electricity (no generator, not on electrical grid))</t>
  </si>
  <si>
    <t>Households by issue faced with electricity broken down by households with at least one member with a reported and/or registered disability on the admin of overall</t>
  </si>
  <si>
    <t>Households by issue faced with electricity broken down by urbanity on the admin of overall</t>
  </si>
  <si>
    <t>Households by issue faced with electricity broken down by household size on the admin of overall</t>
  </si>
  <si>
    <t>Households by issue faced with electricity broken down by income per capita (quartiles) on the admin of overall</t>
  </si>
  <si>
    <t>Households by issue faced with electricity broken down by gender of head of household on the admin of overall</t>
  </si>
  <si>
    <t>Households by issue faced with electricity broken down by age of adults in the households on the admin of overall</t>
  </si>
  <si>
    <t>Households by issue faced with electricity broken down by households with at least one child (&lt;18 y.o.) on the admin of overall</t>
  </si>
  <si>
    <t>Households by issue faced with electricity broken down by displacement status of head of household on the admin of overall</t>
  </si>
  <si>
    <t>Households by issue faced with electricity broken down by IDP household on the admin of overall</t>
  </si>
  <si>
    <t>Households by issue faced with electricity broken down by proximity to frontline/border with Russian Federation on the admin of overall</t>
  </si>
  <si>
    <t>Households by issue faced with electricity broken down by caregiving status  on the admin of overall</t>
  </si>
  <si>
    <t>Households experiencing utility interruptions in the past three months, by utility type on the admin of overall</t>
  </si>
  <si>
    <t xml:space="preserve">No OTHER interruptions experienced </t>
  </si>
  <si>
    <t xml:space="preserve">Cold water supply </t>
  </si>
  <si>
    <t xml:space="preserve">Hot water supply </t>
  </si>
  <si>
    <t xml:space="preserve">Internet </t>
  </si>
  <si>
    <t xml:space="preserve">Sewage </t>
  </si>
  <si>
    <t>Heating (gas, electricity, others)</t>
  </si>
  <si>
    <t>Households experiencing utility interruptions in the past three months, by utility type broken down by households with at least one member with a reported and/or registered disability on the admin of overall</t>
  </si>
  <si>
    <t>Households experiencing utility interruptions in the past three months, by utility type broken down by urbanity on the admin of overall</t>
  </si>
  <si>
    <t>Households experiencing utility interruptions in the past three months, by utility type broken down by household size on the admin of overall</t>
  </si>
  <si>
    <t>Households experiencing utility interruptions in the past three months, by utility type broken down by income per capita (quartiles) on the admin of overall</t>
  </si>
  <si>
    <t>Households experiencing utility interruptions in the past three months, by utility type broken down by gender of head of household on the admin of overall</t>
  </si>
  <si>
    <t>Households experiencing utility interruptions in the past three months, by utility type broken down by age of adults in the households on the admin of overall</t>
  </si>
  <si>
    <t>Households experiencing utility interruptions in the past three months, by utility type broken down by households with at least one child (&lt;18 y.o.) on the admin of overall</t>
  </si>
  <si>
    <t>Households experiencing utility interruptions in the past three months, by utility type broken down by displacement status of head of household on the admin of overall</t>
  </si>
  <si>
    <t>Households experiencing utility interruptions in the past three months, by utility type broken down by IDP household on the admin of overall</t>
  </si>
  <si>
    <t>Households experiencing utility interruptions in the past three months, by utility type broken down by proximity to frontline/border with Russian Federation on the admin of overall</t>
  </si>
  <si>
    <t>Households experiencing utility interruptions in the past three months, by utility type broken down by caregiving status  on the admin of overall</t>
  </si>
  <si>
    <t>Households by access to alternative source of power on the admin of overall</t>
  </si>
  <si>
    <t>Households by access to alternative source of power broken down by households with at least one member with a reported and/or registered disability on the admin of overall</t>
  </si>
  <si>
    <t>Households by access to alternative source of power broken down by urbanity on the admin of overall</t>
  </si>
  <si>
    <t>Households by access to alternative source of power broken down by household size on the admin of overall</t>
  </si>
  <si>
    <t>Households by access to alternative source of power broken down by income per capita (quartiles) on the admin of overall</t>
  </si>
  <si>
    <t>Households by access to alternative source of power broken down by gender of head of household on the admin of overall</t>
  </si>
  <si>
    <t>Households by access to alternative source of power broken down by age of adults in the households on the admin of overall</t>
  </si>
  <si>
    <t>Households by access to alternative source of power broken down by households with at least one child (&lt;18 y.o.) on the admin of overall</t>
  </si>
  <si>
    <t>Households by access to alternative source of power broken down by displacement status of head of household on the admin of overall</t>
  </si>
  <si>
    <t>Households by access to alternative source of power broken down by IDP household on the admin of overall</t>
  </si>
  <si>
    <t>Households by access to alternative source of power broken down by proximity to frontline/border with Russian Federation on the admin of overall</t>
  </si>
  <si>
    <t>Households by access to alternative source of power broken down by caregiving status  on the admin of overall</t>
  </si>
  <si>
    <t>Households with access to the internet in the past 4 weeks, by frequency on the admin of overall</t>
  </si>
  <si>
    <t xml:space="preserve">Always: 24hrs </t>
  </si>
  <si>
    <t>Often: 12-23hrs</t>
  </si>
  <si>
    <t>Never: 0hrs</t>
  </si>
  <si>
    <t>Sometimes: 1-11hrs</t>
  </si>
  <si>
    <t>Households with access to the internet in the past 4 weeks, by frequency broken down by households with at least one member with a reported and/or registered disability on the admin of overall</t>
  </si>
  <si>
    <t>Households with access to the internet in the past 4 weeks, by frequency broken down by urbanity on the admin of overall</t>
  </si>
  <si>
    <t>Households with access to the internet in the past 4 weeks, by frequency broken down by household size on the admin of overall</t>
  </si>
  <si>
    <t>Households with access to the internet in the past 4 weeks, by frequency broken down by income per capita (quartiles) on the admin of overall</t>
  </si>
  <si>
    <t>Households with access to the internet in the past 4 weeks, by frequency broken down by gender of head of household on the admin of overall</t>
  </si>
  <si>
    <t>Households with access to the internet in the past 4 weeks, by frequency broken down by age of adults in the households on the admin of overall</t>
  </si>
  <si>
    <t>Households with access to the internet in the past 4 weeks, by frequency broken down by households with at least one child (&lt;18 y.o.) on the admin of overall</t>
  </si>
  <si>
    <t>Households with access to the internet in the past 4 weeks, by frequency broken down by displacement status of head of household on the admin of overall</t>
  </si>
  <si>
    <t>Households with access to the internet in the past 4 weeks, by frequency broken down by IDP household on the admin of overall</t>
  </si>
  <si>
    <t>Households with access to the internet in the past 4 weeks, by frequency broken down by proximity to frontline/border with Russian Federation on the admin of overall</t>
  </si>
  <si>
    <t>Households with access to the internet in the past 4 weeks, by frequency broken down by caregiving status  on the admin of overall</t>
  </si>
  <si>
    <t>Households by main source of drinking water, by source on the admin of overall</t>
  </si>
  <si>
    <t>Tap drinking water / Piped into dwelling</t>
  </si>
  <si>
    <t xml:space="preserve">Bottled water (water purchased in bottles) </t>
  </si>
  <si>
    <t>Water kiosk (booth with water for bottling)</t>
  </si>
  <si>
    <t xml:space="preserve">Protected well </t>
  </si>
  <si>
    <t>Protected spring</t>
  </si>
  <si>
    <t xml:space="preserve">Trucked in water (truck with a tank etc) </t>
  </si>
  <si>
    <t xml:space="preserve">Public well or boreholes (protected, shared access) </t>
  </si>
  <si>
    <t>Unprotected well</t>
  </si>
  <si>
    <t>Public tap/standpipe</t>
  </si>
  <si>
    <t>Piped into compound, yard or plot</t>
  </si>
  <si>
    <t xml:space="preserve">Unprotected spring </t>
  </si>
  <si>
    <t>Piped to neighbour</t>
  </si>
  <si>
    <t xml:space="preserve">Directly from surface water body (river, dam, lake, pond, stream, canal, irrigation channel) </t>
  </si>
  <si>
    <t>Rainwater collection</t>
  </si>
  <si>
    <t>Households by main source of drinking water, by source broken down by households with at least one member with a reported and/or registered disability on the admin of overall</t>
  </si>
  <si>
    <t>Households by main source of drinking water, by source broken down by urbanity on the admin of overall</t>
  </si>
  <si>
    <t>Households by main source of drinking water, by source broken down by household size on the admin of overall</t>
  </si>
  <si>
    <t>Households by main source of drinking water, by source broken down by income per capita (quartiles) on the admin of overall</t>
  </si>
  <si>
    <t>Households by main source of drinking water, by source broken down by gender of head of household on the admin of overall</t>
  </si>
  <si>
    <t>Households by main source of drinking water, by source broken down by age of adults in the households on the admin of overall</t>
  </si>
  <si>
    <t>Households by main source of drinking water, by source broken down by households with at least one child (&lt;18 y.o.) on the admin of overall</t>
  </si>
  <si>
    <t>Households by main source of drinking water, by source broken down by displacement status of head of household on the admin of overall</t>
  </si>
  <si>
    <t>Households by main source of drinking water, by source broken down by IDP household on the admin of overall</t>
  </si>
  <si>
    <t>Households by main source of drinking water, by source broken down by proximity to frontline/border with Russian Federation on the admin of overall</t>
  </si>
  <si>
    <t>Households by main source of drinking water, by source broken down by caregiving status  on the admin of overall</t>
  </si>
  <si>
    <t>Households where main source of drinking water is off premises, by  time taken to fetch water from main source of drinking water in minutes on the admin of overall</t>
  </si>
  <si>
    <t>Households where main source of drinking water is off premises, by  time taken to fetch water from main source of drinking water in minutes broken down by households with at least one member with a reported and/or registered disability on the admin of overall</t>
  </si>
  <si>
    <t>Households where main source of drinking water is off premises, by  time taken to fetch water from main source of drinking water in minutes broken down by urbanity on the admin of overall</t>
  </si>
  <si>
    <t>Households where main source of drinking water is off premises, by  time taken to fetch water from main source of drinking water in minutes broken down by household size on the admin of overall</t>
  </si>
  <si>
    <t>Households where main source of drinking water is off premises, by  time taken to fetch water from main source of drinking water in minutes broken down by income per capita (quartiles) on the admin of overall</t>
  </si>
  <si>
    <t>Households where main source of drinking water is off premises, by  time taken to fetch water from main source of drinking water in minutes broken down by gender of head of household on the admin of overall</t>
  </si>
  <si>
    <t>Households where main source of drinking water is off premises, by  time taken to fetch water from main source of drinking water in minutes broken down by age of adults in the households on the admin of overall</t>
  </si>
  <si>
    <t>Households where main source of drinking water is off premises, by  time taken to fetch water from main source of drinking water in minutes broken down by households with at least one child (&lt;18 y.o.) on the admin of overall</t>
  </si>
  <si>
    <t>Households where main source of drinking water is off premises, by  time taken to fetch water from main source of drinking water in minutes broken down by displacement status of head of household on the admin of overall</t>
  </si>
  <si>
    <t>Households where main source of drinking water is off premises, by  time taken to fetch water from main source of drinking water in minutes broken down by IDP household on the admin of overall</t>
  </si>
  <si>
    <t>Households where main source of drinking water is off premises, by  time taken to fetch water from main source of drinking water in minutes broken down by proximity to frontline/border with Russian Federation on the admin of overall</t>
  </si>
  <si>
    <t>Households where main source of drinking water is off premises, by  time taken to fetch water from main source of drinking water in minutes broken down by caregiving status  on the admin of overall</t>
  </si>
  <si>
    <t>Households by acceptability of water in the past 4 weeks (prior to treatment) on the admin of overall</t>
  </si>
  <si>
    <t xml:space="preserve">Prefer not to answer </t>
  </si>
  <si>
    <t>Households by acceptability of water in the past 4 weeks (prior to treatment) broken down by households with at least one member with a reported and/or registered disability on the admin of overall</t>
  </si>
  <si>
    <t>Households by acceptability of water in the past 4 weeks (prior to treatment) broken down by urbanity on the admin of overall</t>
  </si>
  <si>
    <t>Households by acceptability of water in the past 4 weeks (prior to treatment) broken down by household size on the admin of overall</t>
  </si>
  <si>
    <t>Households by acceptability of water in the past 4 weeks (prior to treatment) broken down by income per capita (quartiles) on the admin of overall</t>
  </si>
  <si>
    <t>Households by acceptability of water in the past 4 weeks (prior to treatment) broken down by gender of head of household on the admin of overall</t>
  </si>
  <si>
    <t>Households by acceptability of water in the past 4 weeks (prior to treatment) broken down by age of adults in the households on the admin of overall</t>
  </si>
  <si>
    <t>Households by acceptability of water in the past 4 weeks (prior to treatment) broken down by households with at least one child (&lt;18 y.o.) on the admin of overall</t>
  </si>
  <si>
    <t>Households by acceptability of water in the past 4 weeks (prior to treatment) broken down by displacement status of head of household on the admin of overall</t>
  </si>
  <si>
    <t>Households by acceptability of water in the past 4 weeks (prior to treatment) broken down by IDP household on the admin of overall</t>
  </si>
  <si>
    <t>Households by acceptability of water in the past 4 weeks (prior to treatment) broken down by proximity to frontline/border with Russian Federation on the admin of overall</t>
  </si>
  <si>
    <t>Households by acceptability of water in the past 4 weeks (prior to treatment) broken down by caregiving status  on the admin of overall</t>
  </si>
  <si>
    <t>Households who treat drinking water from the main source on the admin of overall</t>
  </si>
  <si>
    <t>Households who treat drinking water from the main source broken down by households with at least one member with a reported and/or registered disability on the admin of overall</t>
  </si>
  <si>
    <t>Households who treat drinking water from the main source broken down by urbanity on the admin of overall</t>
  </si>
  <si>
    <t>Households who treat drinking water from the main source broken down by household size on the admin of overall</t>
  </si>
  <si>
    <t>Households who treat drinking water from the main source broken down by income per capita (quartiles) on the admin of overall</t>
  </si>
  <si>
    <t>Households who treat drinking water from the main source broken down by gender of head of household on the admin of overall</t>
  </si>
  <si>
    <t>Households who treat drinking water from the main source broken down by age of adults in the households on the admin of overall</t>
  </si>
  <si>
    <t>Households who treat drinking water from the main source broken down by households with at least one child (&lt;18 y.o.) on the admin of overall</t>
  </si>
  <si>
    <t>Households who treat drinking water from the main source broken down by displacement status of head of household on the admin of overall</t>
  </si>
  <si>
    <t>Households who treat drinking water from the main source broken down by IDP household on the admin of overall</t>
  </si>
  <si>
    <t>Households who treat drinking water from the main source broken down by proximity to frontline/border with Russian Federation on the admin of overall</t>
  </si>
  <si>
    <t>Households who treat drinking water from the main source broken down by caregiving status  on the admin of overall</t>
  </si>
  <si>
    <t>Households by days without sufficient drinking water quantity in the past 4 weeks on the admin of overall</t>
  </si>
  <si>
    <t>Never (0 days)</t>
  </si>
  <si>
    <t>Rarely (1–2 days)</t>
  </si>
  <si>
    <t>Somedays (3–10 days)</t>
  </si>
  <si>
    <t>Often (11-20 days)</t>
  </si>
  <si>
    <t>Always (more than 20 days)</t>
  </si>
  <si>
    <t>Households by days without sufficient drinking water quantity in the past 4 weeks broken down by households with at least one member with a reported and/or registered disability on the admin of overall</t>
  </si>
  <si>
    <t>Households by days without sufficient drinking water quantity in the past 4 weeks broken down by urbanity on the admin of overall</t>
  </si>
  <si>
    <t>Households by days without sufficient drinking water quantity in the past 4 weeks broken down by household size on the admin of overall</t>
  </si>
  <si>
    <t>Households by days without sufficient drinking water quantity in the past 4 weeks broken down by income per capita (quartiles) on the admin of overall</t>
  </si>
  <si>
    <t>Households by days without sufficient drinking water quantity in the past 4 weeks broken down by gender of head of household on the admin of overall</t>
  </si>
  <si>
    <t>Households by days without sufficient drinking water quantity in the past 4 weeks broken down by age of adults in the households on the admin of overall</t>
  </si>
  <si>
    <t>Households by days without sufficient drinking water quantity in the past 4 weeks broken down by households with at least one child (&lt;18 y.o.) on the admin of overall</t>
  </si>
  <si>
    <t>Households by days without sufficient drinking water quantity in the past 4 weeks broken down by displacement status of head of household on the admin of overall</t>
  </si>
  <si>
    <t>Households by days without sufficient drinking water quantity in the past 4 weeks broken down by IDP household on the admin of overall</t>
  </si>
  <si>
    <t>Households by days without sufficient drinking water quantity in the past 4 weeks broken down by proximity to frontline/border with Russian Federation on the admin of overall</t>
  </si>
  <si>
    <t>Households by days without sufficient drinking water quantity in the past 4 weeks broken down by caregiving status  on the admin of overall</t>
  </si>
  <si>
    <t>Households by main source of water for domestic purposes on the admin of overall</t>
  </si>
  <si>
    <t>Tap water / Piped into dwelling</t>
  </si>
  <si>
    <t>Cart with small tank / drum</t>
  </si>
  <si>
    <t>Households by main source of water for domestic purposes broken down by households with at least one member with a reported and/or registered disability on the admin of overall</t>
  </si>
  <si>
    <t>Households by main source of water for domestic purposes broken down by urbanity on the admin of overall</t>
  </si>
  <si>
    <t>Households by main source of water for domestic purposes broken down by household size on the admin of overall</t>
  </si>
  <si>
    <t>Households by main source of water for domestic purposes broken down by income per capita (quartiles) on the admin of overall</t>
  </si>
  <si>
    <t>Households by main source of water for domestic purposes broken down by gender of head of household on the admin of overall</t>
  </si>
  <si>
    <t>Households by main source of water for domestic purposes broken down by age of adults in the households on the admin of overall</t>
  </si>
  <si>
    <t>Households by main source of water for domestic purposes broken down by households with at least one child (&lt;18 y.o.) on the admin of overall</t>
  </si>
  <si>
    <t>Households by main source of water for domestic purposes broken down by displacement status of head of household on the admin of overall</t>
  </si>
  <si>
    <t>Households by main source of water for domestic purposes broken down by IDP household on the admin of overall</t>
  </si>
  <si>
    <t>Households by main source of water for domestic purposes broken down by proximity to frontline/border with Russian Federation on the admin of overall</t>
  </si>
  <si>
    <t>Households by main source of water for domestic purposes broken down by caregiving status  on the admin of overall</t>
  </si>
  <si>
    <t>Households by days without sufficient water for domestic purposes quantity in the past 4 weeks on the admin of overall</t>
  </si>
  <si>
    <t>Households by days without sufficient water for domestic purposes quantity in the past 4 weeks broken down by households with at least one member with a reported and/or registered disability on the admin of overall</t>
  </si>
  <si>
    <t>Households by days without sufficient water for domestic purposes quantity in the past 4 weeks broken down by urbanity on the admin of overall</t>
  </si>
  <si>
    <t>Households by days without sufficient water for domestic purposes quantity in the past 4 weeks broken down by household size on the admin of overall</t>
  </si>
  <si>
    <t>Households by days without sufficient water for domestic purposes quantity in the past 4 weeks broken down by income per capita (quartiles) on the admin of overall</t>
  </si>
  <si>
    <t>Households by days without sufficient water for domestic purposes quantity in the past 4 weeks broken down by gender of head of household on the admin of overall</t>
  </si>
  <si>
    <t>Households by days without sufficient water for domestic purposes quantity in the past 4 weeks broken down by age of adults in the households on the admin of overall</t>
  </si>
  <si>
    <t>Households by days without sufficient water for domestic purposes quantity in the past 4 weeks broken down by households with at least one child (&lt;18 y.o.) on the admin of overall</t>
  </si>
  <si>
    <t>Households by days without sufficient water for domestic purposes quantity in the past 4 weeks broken down by displacement status of head of household on the admin of overall</t>
  </si>
  <si>
    <t>Households by days without sufficient water for domestic purposes quantity in the past 4 weeks broken down by IDP household on the admin of overall</t>
  </si>
  <si>
    <t>Households by days without sufficient water for domestic purposes quantity in the past 4 weeks broken down by proximity to frontline/border with Russian Federation on the admin of overall</t>
  </si>
  <si>
    <t>Households by days without sufficient water for domestic purposes quantity in the past 4 weeks broken down by caregiving status  on the admin of overall</t>
  </si>
  <si>
    <t>Percentage of households reporting enough space/essential items so that the members of the households can perform personal hygiene on the admin of overall</t>
  </si>
  <si>
    <t>Percentage of households reporting enough space/essential items so that the members of the households can perform personal hygiene broken down by households with at least one member with a reported and/or registered disability on the admin of overall</t>
  </si>
  <si>
    <t>Percentage of households reporting enough space/essential items so that the members of the households can perform personal hygiene broken down by urbanity on the admin of overall</t>
  </si>
  <si>
    <t>Percentage of households reporting enough space/essential items so that the members of the households can perform personal hygiene broken down by household size on the admin of overall</t>
  </si>
  <si>
    <t>Percentage of households reporting enough space/essential items so that the members of the households can perform personal hygiene broken down by income per capita (quartiles) on the admin of overall</t>
  </si>
  <si>
    <t>Percentage of households reporting enough space/essential items so that the members of the households can perform personal hygiene broken down by gender of head of household on the admin of overall</t>
  </si>
  <si>
    <t>Percentage of households reporting enough space/essential items so that the members of the households can perform personal hygiene broken down by age of adults in the households on the admin of overall</t>
  </si>
  <si>
    <t>Percentage of households reporting enough space/essential items so that the members of the households can perform personal hygiene broken down by households with at least one child (&lt;18 y.o.) on the admin of overall</t>
  </si>
  <si>
    <t>Percentage of households reporting enough space/essential items so that the members of the households can perform personal hygiene broken down by displacement status of head of household on the admin of overall</t>
  </si>
  <si>
    <t>Percentage of households reporting enough space/essential items so that the members of the households can perform personal hygiene broken down by IDP household on the admin of overall</t>
  </si>
  <si>
    <t>Percentage of households reporting enough space/essential items so that the members of the households can perform personal hygiene broken down by proximity to frontline/border with Russian Federation on the admin of overall</t>
  </si>
  <si>
    <t>Percentage of households reporting enough space/essential items so that the members of the households can perform personal hygiene broken down by caregiving status  on the admin of overall</t>
  </si>
  <si>
    <t>Households by main handwashing facility on the admin of overall</t>
  </si>
  <si>
    <t>Fixed place (sink/tap) in dwelling</t>
  </si>
  <si>
    <t xml:space="preserve">Fixed place (sink/tap) in yard/plot </t>
  </si>
  <si>
    <t xml:space="preserve">Mobile handwashing place (bucket, jug, kettle) in dwelling/yard/plot </t>
  </si>
  <si>
    <t xml:space="preserve">No handwashing place in dwelling/yard/plot </t>
  </si>
  <si>
    <t>Households by main handwashing facility broken down by households with at least one member with a reported and/or registered disability on the admin of overall</t>
  </si>
  <si>
    <t>Households by main handwashing facility broken down by urbanity on the admin of overall</t>
  </si>
  <si>
    <t>Households by main handwashing facility broken down by household size on the admin of overall</t>
  </si>
  <si>
    <t>Households by main handwashing facility broken down by income per capita (quartiles) on the admin of overall</t>
  </si>
  <si>
    <t>Households by main handwashing facility broken down by gender of head of household on the admin of overall</t>
  </si>
  <si>
    <t>Households by main handwashing facility broken down by age of adults in the households on the admin of overall</t>
  </si>
  <si>
    <t>Households by main handwashing facility broken down by households with at least one child (&lt;18 y.o.) on the admin of overall</t>
  </si>
  <si>
    <t>Households by main handwashing facility broken down by displacement status of head of household on the admin of overall</t>
  </si>
  <si>
    <t>Households by main handwashing facility broken down by IDP household on the admin of overall</t>
  </si>
  <si>
    <t>Households by main handwashing facility broken down by proximity to frontline/border with Russian Federation on the admin of overall</t>
  </si>
  <si>
    <t>Households by main handwashing facility broken down by caregiving status  on the admin of overall</t>
  </si>
  <si>
    <t>Households having access to soap for washing hands on the admin of overall</t>
  </si>
  <si>
    <t>Households having access to soap for washing hands broken down by households with at least one member with a reported and/or registered disability on the admin of overall</t>
  </si>
  <si>
    <t>Households having access to soap for washing hands broken down by urbanity on the admin of overall</t>
  </si>
  <si>
    <t>Households having access to soap for washing hands broken down by household size on the admin of overall</t>
  </si>
  <si>
    <t>Households having access to soap for washing hands broken down by income per capita (quartiles) on the admin of overall</t>
  </si>
  <si>
    <t>Households having access to soap for washing hands broken down by gender of head of household on the admin of overall</t>
  </si>
  <si>
    <t>Households having access to soap for washing hands broken down by age of adults in the households on the admin of overall</t>
  </si>
  <si>
    <t>Households having access to soap for washing hands broken down by households with at least one child (&lt;18 y.o.) on the admin of overall</t>
  </si>
  <si>
    <t>Households having access to soap for washing hands broken down by displacement status of head of household on the admin of overall</t>
  </si>
  <si>
    <t>Households having access to soap for washing hands broken down by IDP household on the admin of overall</t>
  </si>
  <si>
    <t>Households having access to soap for washing hands broken down by proximity to frontline/border with Russian Federation on the admin of overall</t>
  </si>
  <si>
    <t>Households having access to soap for washing hands broken down by caregiving status  on the admin of overall</t>
  </si>
  <si>
    <t>Households by main toilet facility on the admin of overall</t>
  </si>
  <si>
    <t xml:space="preserve">Flush to piped sewer system </t>
  </si>
  <si>
    <t xml:space="preserve">Flush to pit latrine </t>
  </si>
  <si>
    <t xml:space="preserve">Pit latrine with slab </t>
  </si>
  <si>
    <t xml:space="preserve">Flush to septic tank </t>
  </si>
  <si>
    <t xml:space="preserve">Bucket </t>
  </si>
  <si>
    <t xml:space="preserve">Pit latrine without slab / open pit </t>
  </si>
  <si>
    <t>Composting toilet (dry toilets treating human waste with natural materials)</t>
  </si>
  <si>
    <t xml:space="preserve">Flush to open drain </t>
  </si>
  <si>
    <t>No facility/bush/field/open defecation</t>
  </si>
  <si>
    <t>Households by main toilet facility broken down by households with at least one member with a reported and/or registered disability on the admin of overall</t>
  </si>
  <si>
    <t>Households by main toilet facility broken down by urbanity on the admin of overall</t>
  </si>
  <si>
    <t>Households by main toilet facility broken down by household size on the admin of overall</t>
  </si>
  <si>
    <t>Households by main toilet facility broken down by income per capita (quartiles) on the admin of overall</t>
  </si>
  <si>
    <t>Households by main toilet facility broken down by gender of head of household on the admin of overall</t>
  </si>
  <si>
    <t>Households by main toilet facility broken down by age of adults in the households on the admin of overall</t>
  </si>
  <si>
    <t>Households by main toilet facility broken down by households with at least one child (&lt;18 y.o.) on the admin of overall</t>
  </si>
  <si>
    <t>Households by main toilet facility broken down by displacement status of head of household on the admin of overall</t>
  </si>
  <si>
    <t>Households by main toilet facility broken down by IDP household on the admin of overall</t>
  </si>
  <si>
    <t>Households by main toilet facility broken down by proximity to frontline/border with Russian Federation on the admin of overall</t>
  </si>
  <si>
    <t>Households by main toilet facility broken down by caregiving status  on the admin of overall</t>
  </si>
  <si>
    <t>Households sharing main toilet facility on the admin of overall</t>
  </si>
  <si>
    <t>Households sharing main toilet facility broken down by households with at least one member with a reported and/or registered disability on the admin of overall</t>
  </si>
  <si>
    <t>Households sharing main toilet facility broken down by urbanity on the admin of overall</t>
  </si>
  <si>
    <t>Households sharing main toilet facility broken down by household size on the admin of overall</t>
  </si>
  <si>
    <t>Households sharing main toilet facility broken down by income per capita (quartiles) on the admin of overall</t>
  </si>
  <si>
    <t>Households sharing main toilet facility broken down by gender of head of household on the admin of overall</t>
  </si>
  <si>
    <t>Households sharing main toilet facility broken down by age of adults in the households on the admin of overall</t>
  </si>
  <si>
    <t>Households sharing main toilet facility broken down by households with at least one child (&lt;18 y.o.) on the admin of overall</t>
  </si>
  <si>
    <t>Households sharing main toilet facility broken down by displacement status of head of household on the admin of overall</t>
  </si>
  <si>
    <t>Households sharing main toilet facility broken down by IDP household on the admin of overall</t>
  </si>
  <si>
    <t>Households sharing main toilet facility broken down by proximity to frontline/border with Russian Federation on the admin of overall</t>
  </si>
  <si>
    <t>Households sharing main toilet facility broken down by caregiving status  on the admin of overall</t>
  </si>
  <si>
    <t>Households sharing main toilet facility by number of households sharing that facility on the admin of overall</t>
  </si>
  <si>
    <t>Households sharing main toilet facility by number of households sharing that facility broken down by households with at least one member with a reported and/or registered disability on the admin of overall</t>
  </si>
  <si>
    <t>Households sharing main toilet facility by number of households sharing that facility broken down by urbanity on the admin of overall</t>
  </si>
  <si>
    <t>Households sharing main toilet facility by number of households sharing that facility broken down by household size on the admin of overall</t>
  </si>
  <si>
    <t>Households sharing main toilet facility by number of households sharing that facility broken down by income per capita (quartiles) on the admin of overall</t>
  </si>
  <si>
    <t>Households sharing main toilet facility by number of households sharing that facility broken down by gender of head of household on the admin of overall</t>
  </si>
  <si>
    <t>Households sharing main toilet facility by number of households sharing that facility broken down by age of adults in the households on the admin of overall</t>
  </si>
  <si>
    <t>Households sharing main toilet facility by number of households sharing that facility broken down by households with at least one child (&lt;18 y.o.) on the admin of overall</t>
  </si>
  <si>
    <t>Households sharing main toilet facility by number of households sharing that facility broken down by displacement status of head of household on the admin of overall</t>
  </si>
  <si>
    <t>Households sharing main toilet facility by number of households sharing that facility broken down by IDP household on the admin of overall</t>
  </si>
  <si>
    <t>Households sharing main toilet facility by number of households sharing that facility broken down by proximity to frontline/border with Russian Federation on the admin of overall</t>
  </si>
  <si>
    <t>Households sharing main toilet facility by number of households sharing that facility broken down by caregiving status  on the admin of overall</t>
  </si>
  <si>
    <t>Households facing issues with pumping off sewage/septic tank in the past 12 months, by issue on the admin of overall</t>
  </si>
  <si>
    <t>No, there are no problems</t>
  </si>
  <si>
    <t>No, my household does not handle this service</t>
  </si>
  <si>
    <t xml:space="preserve">Yes, it is expensive/ high price of the service </t>
  </si>
  <si>
    <t>Yes, I have to do it on my own and don't want to</t>
  </si>
  <si>
    <t xml:space="preserve">Yes, pumping services are not available in the area </t>
  </si>
  <si>
    <t xml:space="preserve">Yes, emptying the sewage is not possible due to technical reasons (peculiarities of construction, it is impossible to reach it by car, etc.) </t>
  </si>
  <si>
    <t xml:space="preserve">Yes, special car/service refuses to come </t>
  </si>
  <si>
    <t>Yes, other (specify)</t>
  </si>
  <si>
    <t>Households facing issues with pumping off sewage/septic tank in the past 12 months, by issue broken down by households with at least one member with a reported and/or registered disability on the admin of overall</t>
  </si>
  <si>
    <t>Households facing issues with pumping off sewage/septic tank in the past 12 months, by issue broken down by urbanity on the admin of overall</t>
  </si>
  <si>
    <t>Households facing issues with pumping off sewage/septic tank in the past 12 months, by issue broken down by household size on the admin of overall</t>
  </si>
  <si>
    <t>Households facing issues with pumping off sewage/septic tank in the past 12 months, by issue broken down by income per capita (quartiles) on the admin of overall</t>
  </si>
  <si>
    <t>Households facing issues with pumping off sewage/septic tank in the past 12 months, by issue broken down by gender of head of household on the admin of overall</t>
  </si>
  <si>
    <t>Households facing issues with pumping off sewage/septic tank in the past 12 months, by issue broken down by age of adults in the households on the admin of overall</t>
  </si>
  <si>
    <t>Households facing issues with pumping off sewage/septic tank in the past 12 months, by issue broken down by households with at least one child (&lt;18 y.o.) on the admin of overall</t>
  </si>
  <si>
    <t>Households facing issues with pumping off sewage/septic tank in the past 12 months, by issue broken down by displacement status of head of household on the admin of overall</t>
  </si>
  <si>
    <t>Households facing issues with pumping off sewage/septic tank in the past 12 months, by issue broken down by IDP household on the admin of overall</t>
  </si>
  <si>
    <t>Households facing issues with pumping off sewage/septic tank in the past 12 months, by issue broken down by proximity to frontline/border with Russian Federation on the admin of overall</t>
  </si>
  <si>
    <t>Households facing issues with pumping off sewage/septic tank in the past 12 months, by issue broken down by caregiving status  on the admin of overall</t>
  </si>
  <si>
    <t>Percentage of households who had to go without washing hands after dirty activities in the past 4 weeks, by frequency on the admin of overall</t>
  </si>
  <si>
    <t>Percentage of households who had to go without washing hands after dirty activities in the past 4 weeks, by frequency broken down by households with at least one member with a reported and/or registered disability on the admin of overall</t>
  </si>
  <si>
    <t>Percentage of households who had to go without washing hands after dirty activities in the past 4 weeks, by frequency broken down by urbanity on the admin of overall</t>
  </si>
  <si>
    <t>Percentage of households who had to go without washing hands after dirty activities in the past 4 weeks, by frequency broken down by household size on the admin of overall</t>
  </si>
  <si>
    <t>Percentage of households who had to go without washing hands after dirty activities in the past 4 weeks, by frequency broken down by income per capita (quartiles) on the admin of overall</t>
  </si>
  <si>
    <t>Percentage of households who had to go without washing hands after dirty activities in the past 4 weeks, by frequency broken down by gender of head of household on the admin of overall</t>
  </si>
  <si>
    <t>Percentage of households who had to go without washing hands after dirty activities in the past 4 weeks, by frequency broken down by age of adults in the households on the admin of overall</t>
  </si>
  <si>
    <t>Percentage of households who had to go without washing hands after dirty activities in the past 4 weeks, by frequency broken down by households with at least one child (&lt;18 y.o.) on the admin of overall</t>
  </si>
  <si>
    <t>Percentage of households who had to go without washing hands after dirty activities in the past 4 weeks, by frequency broken down by displacement status of head of household on the admin of overall</t>
  </si>
  <si>
    <t>Percentage of households who had to go without washing hands after dirty activities in the past 4 weeks, by frequency broken down by IDP household on the admin of overall</t>
  </si>
  <si>
    <t>Percentage of households who had to go without washing hands after dirty activities in the past 4 weeks, by frequency broken down by proximity to frontline/border with Russian Federation on the admin of overall</t>
  </si>
  <si>
    <t>Percentage of households who had to go without washing hands after dirty activities in the past 4 weeks, by frequency broken down by caregiving status  on the admin of overall</t>
  </si>
  <si>
    <t>Percentage of households who worried about not having enough water to cover all needs in the past 4 weeks, by frequency on the admin of overall</t>
  </si>
  <si>
    <t>Percentage of households who worried about not having enough water to cover all needs in the past 4 weeks, by frequency broken down by households with at least one member with a reported and/or registered disability on the admin of overall</t>
  </si>
  <si>
    <t>Percentage of households who worried about not having enough water to cover all needs in the past 4 weeks, by frequency broken down by urbanity on the admin of overall</t>
  </si>
  <si>
    <t>Percentage of households who worried about not having enough water to cover all needs in the past 4 weeks, by frequency broken down by household size on the admin of overall</t>
  </si>
  <si>
    <t>Percentage of households who worried about not having enough water to cover all needs in the past 4 weeks, by frequency broken down by income per capita (quartiles) on the admin of overall</t>
  </si>
  <si>
    <t>Percentage of households who worried about not having enough water to cover all needs in the past 4 weeks, by frequency broken down by gender of head of household on the admin of overall</t>
  </si>
  <si>
    <t>Percentage of households who worried about not having enough water to cover all needs in the past 4 weeks, by frequency broken down by age of adults in the households on the admin of overall</t>
  </si>
  <si>
    <t>Percentage of households who worried about not having enough water to cover all needs in the past 4 weeks, by frequency broken down by households with at least one child (&lt;18 y.o.) on the admin of overall</t>
  </si>
  <si>
    <t>Percentage of households who worried about not having enough water to cover all needs in the past 4 weeks, by frequency broken down by displacement status of head of household on the admin of overall</t>
  </si>
  <si>
    <t>Percentage of households who worried about not having enough water to cover all needs in the past 4 weeks, by frequency broken down by IDP household on the admin of overall</t>
  </si>
  <si>
    <t>Percentage of households who worried about not having enough water to cover all needs in the past 4 weeks, by frequency broken down by proximity to frontline/border with Russian Federation on the admin of overall</t>
  </si>
  <si>
    <t>Percentage of households who worried about not having enough water to cover all needs in the past 4 weeks, by frequency broken down by caregiving status  on the admin of overall</t>
  </si>
  <si>
    <t>Percentage of households who had to change plans due to problems with water in the past 4 weeks, by frequency on the admin of overall</t>
  </si>
  <si>
    <t>Percentage of households who had to change plans due to problems with water in the past 4 weeks, by frequency broken down by households with at least one member with a reported and/or registered disability on the admin of overall</t>
  </si>
  <si>
    <t>Percentage of households who had to change plans due to problems with water in the past 4 weeks, by frequency broken down by urbanity on the admin of overall</t>
  </si>
  <si>
    <t>Percentage of households who had to change plans due to problems with water in the past 4 weeks, by frequency broken down by household size on the admin of overall</t>
  </si>
  <si>
    <t>Percentage of households who had to change plans due to problems with water in the past 4 weeks, by frequency broken down by income per capita (quartiles) on the admin of overall</t>
  </si>
  <si>
    <t>Percentage of households who had to change plans due to problems with water in the past 4 weeks, by frequency broken down by gender of head of household on the admin of overall</t>
  </si>
  <si>
    <t>Percentage of households who had to change plans due to problems with water in the past 4 weeks, by frequency broken down by age of adults in the households on the admin of overall</t>
  </si>
  <si>
    <t>Percentage of households who had to change plans due to problems with water in the past 4 weeks, by frequency broken down by households with at least one child (&lt;18 y.o.) on the admin of overall</t>
  </si>
  <si>
    <t>Percentage of households who had to change plans due to problems with water in the past 4 weeks, by frequency broken down by displacement status of head of household on the admin of overall</t>
  </si>
  <si>
    <t>Percentage of households who had to change plans due to problems with water in the past 4 weeks, by frequency broken down by IDP household on the admin of overall</t>
  </si>
  <si>
    <t>Percentage of households who had to change plans due to problems with water in the past 4 weeks, by frequency broken down by proximity to frontline/border with Russian Federation on the admin of overall</t>
  </si>
  <si>
    <t>Percentage of households who had to change plans due to problems with water in the past 4 weeks, by frequency broken down by caregiving status  on the admin of overall</t>
  </si>
  <si>
    <t>Reduced Coping Strategies Index (rCSI) on the admin of overall</t>
  </si>
  <si>
    <t>Low</t>
  </si>
  <si>
    <t>Medium</t>
  </si>
  <si>
    <t>High</t>
  </si>
  <si>
    <t>Reduced Coping Strategies Index (rCSI) broken down by households with at least one member with a reported and/or registered disability on the admin of overall</t>
  </si>
  <si>
    <t>Reduced Coping Strategies Index (rCSI) broken down by urbanity on the admin of overall</t>
  </si>
  <si>
    <t>Reduced Coping Strategies Index (rCSI) broken down by household size on the admin of overall</t>
  </si>
  <si>
    <t>Reduced Coping Strategies Index (rCSI) broken down by income per capita (quartiles) on the admin of overall</t>
  </si>
  <si>
    <t>Reduced Coping Strategies Index (rCSI) broken down by gender of head of household on the admin of overall</t>
  </si>
  <si>
    <t>Reduced Coping Strategies Index (rCSI) broken down by age of adults in the households on the admin of overall</t>
  </si>
  <si>
    <t>Reduced Coping Strategies Index (rCSI) broken down by households with at least one child (&lt;18 y.o.) on the admin of overall</t>
  </si>
  <si>
    <t>Reduced Coping Strategies Index (rCSI) broken down by displacement status of head of household on the admin of overall</t>
  </si>
  <si>
    <t>Reduced Coping Strategies Index (rCSI) broken down by IDP household on the admin of overall</t>
  </si>
  <si>
    <t>Reduced Coping Strategies Index (rCSI) broken down by proximity to frontline/border with Russian Federation on the admin of overall</t>
  </si>
  <si>
    <t>Reduced Coping Strategies Index (rCSI) broken down by caregiving status  on the admin of overall</t>
  </si>
  <si>
    <t>Food Consumption Score on the admin of overall</t>
  </si>
  <si>
    <t>Acceptable</t>
  </si>
  <si>
    <t>Borderline</t>
  </si>
  <si>
    <t>Poor</t>
  </si>
  <si>
    <t>Food Consumption Score broken down by households with at least one member with a reported and/or registered disability on the admin of overall</t>
  </si>
  <si>
    <t>Food Consumption Score broken down by urbanity on the admin of overall</t>
  </si>
  <si>
    <t>Food Consumption Score broken down by household size on the admin of overall</t>
  </si>
  <si>
    <t>Food Consumption Score broken down by income per capita (quartiles) on the admin of overall</t>
  </si>
  <si>
    <t>Food Consumption Score broken down by gender of head of household on the admin of overall</t>
  </si>
  <si>
    <t>Food Consumption Score broken down by age of adults in the households on the admin of overall</t>
  </si>
  <si>
    <t>Food Consumption Score broken down by households with at least one child (&lt;18 y.o.) on the admin of overall</t>
  </si>
  <si>
    <t>Food Consumption Score broken down by displacement status of head of household on the admin of overall</t>
  </si>
  <si>
    <t>Food Consumption Score broken down by IDP household on the admin of overall</t>
  </si>
  <si>
    <t>Food Consumption Score broken down by proximity to frontline/border with Russian Federation on the admin of overall</t>
  </si>
  <si>
    <t>Food Consumption Score broken down by caregiving status  on the admin of overall</t>
  </si>
  <si>
    <t>perc_Households relying on less preferred and less expensive food to cope with lack if money over the last 7 days</t>
  </si>
  <si>
    <t>perc_Households that had to borrow food or rely on help from a relative or friend to cope with lack if money over the last 7 days</t>
  </si>
  <si>
    <t>perc_Households that had to limit portion size of meals at meal times to cope with lack if money over the last 7 days</t>
  </si>
  <si>
    <t>perc_Households that had to restrict consumption by adults in order for small children to eat to cope with lack if money over the last 7 days Prior</t>
  </si>
  <si>
    <t xml:space="preserve">perc_Households that had to reduce number of meals eaten in a day to cope with lack if money over the last 7 days </t>
  </si>
  <si>
    <t>Households adopting Consumption-based Coping Strategies, by strategy by households with at least one member with a reported and/or registered disability</t>
  </si>
  <si>
    <t>Households adopting Consumption-based Coping Strategies, by strategy by urbanity</t>
  </si>
  <si>
    <t>Households adopting Consumption-based Coping Strategies, by strategy by household size</t>
  </si>
  <si>
    <t>Households adopting Consumption-based Coping Strategies, by strategy by income per capita (quartiles)</t>
  </si>
  <si>
    <t>Households adopting Consumption-based Coping Strategies, by strategy by gender of head of household</t>
  </si>
  <si>
    <t>Households adopting Consumption-based Coping Strategies, by strategy by age of adults in the households</t>
  </si>
  <si>
    <t>Households adopting Consumption-based Coping Strategies, by strategy by households with at least one child (&lt;18 y.o.)</t>
  </si>
  <si>
    <t>Households adopting Consumption-based Coping Strategies, by strategy by displacement status of head of household</t>
  </si>
  <si>
    <t>Households adopting Consumption-based Coping Strategies, by strategy by IDP household</t>
  </si>
  <si>
    <t>Households adopting Consumption-based Coping Strategies, by strategy by proximity to frontline/border with Russian Federation</t>
  </si>
  <si>
    <t xml:space="preserve">Households adopting Consumption-based Coping Strategies, by strategy by caregiving status </t>
  </si>
  <si>
    <t>Households reporting most significant challenges their household currently faces on the admin of overall</t>
  </si>
  <si>
    <t xml:space="preserve">Lack of /insufficient income or money </t>
  </si>
  <si>
    <t>Lack of /insufficient access to adequate healthcare</t>
  </si>
  <si>
    <t>Lack of /insufficient access to sufficient quantity or quality of food</t>
  </si>
  <si>
    <t>Household members feeling very distressed, upset, sad, worried, scared, or angry</t>
  </si>
  <si>
    <t>Lack of safety or protection due to conflict, violence, or crime</t>
  </si>
  <si>
    <t>Lack of /insufficient access to humanitarian aid</t>
  </si>
  <si>
    <t>Lack of / insufficient heating during the winter</t>
  </si>
  <si>
    <t>Lack of /insufficient access a suitable living space (e.g. housing is damaged, housing is sub-standard, etc.)</t>
  </si>
  <si>
    <t>Lack of /insufficient access to necessary non-food items (e.g.  clothing, light bulbs, etc.)</t>
  </si>
  <si>
    <t>Lack of /insufficient access to energy (e.g. heating, lighting, electricity, cooking fuels, etc.)</t>
  </si>
  <si>
    <t>Lack of /insufficient access to enough water for drinking</t>
  </si>
  <si>
    <t>Lack of /insufficient access to job / livelihoods</t>
  </si>
  <si>
    <t xml:space="preserve">Lack of /insufficient access to enough water for non-drinking purposes </t>
  </si>
  <si>
    <t>Lack of /insufficient access to hygiene materials (e.g. cleaning products, soap, etc.)</t>
  </si>
  <si>
    <t>Lack of /insufficient access to a clean toilet and washing place</t>
  </si>
  <si>
    <t>Children in household not attending school or receiving insufficient education</t>
  </si>
  <si>
    <t>Lack of /insufficient access to government social services</t>
  </si>
  <si>
    <t>Women do not feel safe enough in the community</t>
  </si>
  <si>
    <t>Lack of /insufficient access to legal system</t>
  </si>
  <si>
    <t>Households reporting most significant challenges their household currently faces broken down by households with at least one member with a reported and/or registered disability on the admin of overall</t>
  </si>
  <si>
    <t>Households reporting most significant challenges their household currently faces broken down by urbanity on the admin of overall</t>
  </si>
  <si>
    <t>Households reporting most significant challenges their household currently faces broken down by household size on the admin of overall</t>
  </si>
  <si>
    <t>Households reporting most significant challenges their household currently faces broken down by income per capita (quartiles) on the admin of overall</t>
  </si>
  <si>
    <t>Households reporting most significant challenges their household currently faces broken down by gender of head of household on the admin of overall</t>
  </si>
  <si>
    <t>Households reporting most significant challenges their household currently faces broken down by age of adults in the households on the admin of overall</t>
  </si>
  <si>
    <t>Households reporting most significant challenges their household currently faces broken down by households with at least one child (&lt;18 y.o.) on the admin of overall</t>
  </si>
  <si>
    <t>Households reporting most significant challenges their household currently faces broken down by displacement status of head of household on the admin of overall</t>
  </si>
  <si>
    <t>Households reporting most significant challenges their household currently faces broken down by IDP household on the admin of overall</t>
  </si>
  <si>
    <t>Households reporting most significant challenges their household currently faces broken down by proximity to frontline/border with Russian Federation on the admin of overall</t>
  </si>
  <si>
    <t>Households reporting most significant challenges their household currently faces broken down by caregiving status  on the admin of overall</t>
  </si>
  <si>
    <t>Households reporting most significant challenges their household currently faces broken down by gender of respondent on the admin of overall</t>
  </si>
  <si>
    <t>Households reporting most significant challenges their household currently faces broken down by age of respondents on the admin of overall</t>
  </si>
  <si>
    <t>Households reporting most significant challenges their household currently faces broken down by gender and age of respondents on the admin of overall</t>
  </si>
  <si>
    <t>Households reporting challenges, by type of support they would like to receive on the admin of overall</t>
  </si>
  <si>
    <t xml:space="preserve">Cash </t>
  </si>
  <si>
    <t xml:space="preserve">Food </t>
  </si>
  <si>
    <t>Healthcare</t>
  </si>
  <si>
    <t>Do not want to /need to receive any support</t>
  </si>
  <si>
    <t xml:space="preserve">Livelihoods support / employment </t>
  </si>
  <si>
    <t xml:space="preserve">Access to fuel sources for winter heating </t>
  </si>
  <si>
    <t xml:space="preserve">Essential household and personal items (clothes, blanket, cooking items, sleeping items, storing food) </t>
  </si>
  <si>
    <t>Essential Hygiene items (e.g. soap, sanitary pads)</t>
  </si>
  <si>
    <t xml:space="preserve">Shelter / housing (excluding E-recovery programme) </t>
  </si>
  <si>
    <t xml:space="preserve">Psychosocial support </t>
  </si>
  <si>
    <t>Support debt repayment</t>
  </si>
  <si>
    <t xml:space="preserve">Legal services (e.g. access to civil documentation) </t>
  </si>
  <si>
    <t xml:space="preserve">E-recovery programme (benefits for damaged housing) </t>
  </si>
  <si>
    <t xml:space="preserve">Education for children under 18 </t>
  </si>
  <si>
    <t xml:space="preserve">Access to energy (lighting, electricity, cooking fuels) </t>
  </si>
  <si>
    <t xml:space="preserve">Assistance to IDPs </t>
  </si>
  <si>
    <t xml:space="preserve">Support for protection / safety (e.g. training on mines and UXOs) </t>
  </si>
  <si>
    <t>Water for drinking</t>
  </si>
  <si>
    <t xml:space="preserve">Communication means </t>
  </si>
  <si>
    <t xml:space="preserve">Sanitation services (e.g. toilets, waste collection) </t>
  </si>
  <si>
    <t>Water for non-drinking purposes</t>
  </si>
  <si>
    <t>Households reporting challenges, by type of support they would like to receive broken down by households with at least one member with a reported and/or registered disability on the admin of overall</t>
  </si>
  <si>
    <t>Households reporting challenges, by type of support they would like to receive broken down by urbanity on the admin of overall</t>
  </si>
  <si>
    <t>Households reporting challenges, by type of support they would like to receive broken down by household size on the admin of overall</t>
  </si>
  <si>
    <t>Households reporting challenges, by type of support they would like to receive broken down by income per capita (quartiles) on the admin of overall</t>
  </si>
  <si>
    <t>Households reporting challenges, by type of support they would like to receive broken down by gender of head of household on the admin of overall</t>
  </si>
  <si>
    <t>Households reporting challenges, by type of support they would like to receive broken down by age of adults in the households on the admin of overall</t>
  </si>
  <si>
    <t>Households reporting challenges, by type of support they would like to receive broken down by households with at least one child (&lt;18 y.o.) on the admin of overall</t>
  </si>
  <si>
    <t>Households reporting challenges, by type of support they would like to receive broken down by displacement status of head of household on the admin of overall</t>
  </si>
  <si>
    <t>Households reporting challenges, by type of support they would like to receive broken down by IDP household on the admin of overall</t>
  </si>
  <si>
    <t>Households reporting challenges, by type of support they would like to receive broken down by proximity to frontline/border with Russian Federation on the admin of overall</t>
  </si>
  <si>
    <t>Households reporting challenges, by type of support they would like to receive broken down by caregiving status  on the admin of overall</t>
  </si>
  <si>
    <t>Households reporting challenges, by type of support they would like to receive broken down by gender of respondent on the admin of overall</t>
  </si>
  <si>
    <t>Households reporting challenges, by type of support they would like to receive broken down by age of respondents on the admin of overall</t>
  </si>
  <si>
    <t>Households reporting challenges, by type of support they would like to receive broken down by gender and age of respondents on the admin of overall</t>
  </si>
  <si>
    <t>Households reporting challenges, by modality of assistance they would like to receive on the admin of overall</t>
  </si>
  <si>
    <t>Cash</t>
  </si>
  <si>
    <t>In-kind</t>
  </si>
  <si>
    <t>Services</t>
  </si>
  <si>
    <t>Vouchers</t>
  </si>
  <si>
    <t>Do not want to receive humanitarian assistance</t>
  </si>
  <si>
    <t>Households reporting challenges, by modality of assistance they would like to receive broken down by households with at least one member with a reported and/or registered disability on the admin of overall</t>
  </si>
  <si>
    <t>Households reporting challenges, by modality of assistance they would like to receive broken down by urbanity on the admin of overall</t>
  </si>
  <si>
    <t>Households reporting challenges, by modality of assistance they would like to receive broken down by household size on the admin of overall</t>
  </si>
  <si>
    <t>Households reporting challenges, by modality of assistance they would like to receive broken down by income per capita (quartiles) on the admin of overall</t>
  </si>
  <si>
    <t>Households reporting challenges, by modality of assistance they would like to receive broken down by gender of head of household on the admin of overall</t>
  </si>
  <si>
    <t>Households reporting challenges, by modality of assistance they would like to receive broken down by age of adults in the households on the admin of overall</t>
  </si>
  <si>
    <t>Households reporting challenges, by modality of assistance they would like to receive broken down by households with at least one child (&lt;18 y.o.) on the admin of overall</t>
  </si>
  <si>
    <t>Households reporting challenges, by modality of assistance they would like to receive broken down by displacement status of head of household on the admin of overall</t>
  </si>
  <si>
    <t>Households reporting challenges, by modality of assistance they would like to receive broken down by IDP household on the admin of overall</t>
  </si>
  <si>
    <t>Households reporting challenges, by modality of assistance they would like to receive broken down by proximity to frontline/border with Russian Federation on the admin of overall</t>
  </si>
  <si>
    <t>Households reporting challenges, by modality of assistance they would like to receive broken down by caregiving status  on the admin of overall</t>
  </si>
  <si>
    <t>Households reporting challenges, by modality of assistance they would like to receive broken down by gender of respondent on the admin of overall</t>
  </si>
  <si>
    <t>Households reporting challenges, by modality of assistance they would like to receive broken down by age of respondents on the admin of overall</t>
  </si>
  <si>
    <t>Households reporting challenges, by modality of assistance they would like to receive broken down by gender and age of respondents on the admin of overall</t>
  </si>
  <si>
    <t>Households by last time aid was received on the admin of overall</t>
  </si>
  <si>
    <t>Never receieved aid</t>
  </si>
  <si>
    <t>More than 12 months ago</t>
  </si>
  <si>
    <t>Less than 1 month ago</t>
  </si>
  <si>
    <t>More than 6 months, but less than 12 months ago</t>
  </si>
  <si>
    <t>More than one, but less than 3 months ago</t>
  </si>
  <si>
    <t>More than 3 months, but less than 6 months ago</t>
  </si>
  <si>
    <t>Households by last time aid was received broken down by households with at least one member with a reported and/or registered disability on the admin of overall</t>
  </si>
  <si>
    <t>Households by last time aid was received broken down by urbanity on the admin of overall</t>
  </si>
  <si>
    <t>Households by last time aid was received broken down by household size on the admin of overall</t>
  </si>
  <si>
    <t>Households by last time aid was received broken down by income per capita (quartiles) on the admin of overall</t>
  </si>
  <si>
    <t>Households by last time aid was received broken down by gender of head of household on the admin of overall</t>
  </si>
  <si>
    <t>Households by last time aid was received broken down by age of adults in the households on the admin of overall</t>
  </si>
  <si>
    <t>Households by last time aid was received broken down by households with at least one child (&lt;18 y.o.) on the admin of overall</t>
  </si>
  <si>
    <t>Households by last time aid was received broken down by displacement status of head of household on the admin of overall</t>
  </si>
  <si>
    <t>Households by last time aid was received broken down by IDP household on the admin of overall</t>
  </si>
  <si>
    <t>Households by last time aid was received broken down by proximity to frontline/border with Russian Federation on the admin of overall</t>
  </si>
  <si>
    <t>Households by last time aid was received broken down by caregiving status  on the admin of overall</t>
  </si>
  <si>
    <t>Households by last time aid was received broken down by gender of respondent on the admin of overall</t>
  </si>
  <si>
    <t>Households by last time aid was received broken down by age of respondents on the admin of overall</t>
  </si>
  <si>
    <t>Households by last time aid was received broken down by gender and age of respondents on the admin of overall</t>
  </si>
  <si>
    <t>Households reporting barriers in accessing to aid in the past 12 months, by barrier on the admin of overall</t>
  </si>
  <si>
    <t>No, no barriers</t>
  </si>
  <si>
    <t>Did not attempt to receive any assistance in the past 12 months</t>
  </si>
  <si>
    <t xml:space="preserve">Yes, do not have enough information on how assistance works and/or is provided </t>
  </si>
  <si>
    <t xml:space="preserve">Yes, do not have enough information on how to register for assistance </t>
  </si>
  <si>
    <t>Yes, assistance not (regularly) available or functioning in area</t>
  </si>
  <si>
    <t>Yes, not considered as eligible</t>
  </si>
  <si>
    <t xml:space="preserve">Yes, difficulty to physically access assistance (e.g. long distances) </t>
  </si>
  <si>
    <t>Yes, registration process is too long/complicated</t>
  </si>
  <si>
    <t>Yes, limited access to transport to access assistance</t>
  </si>
  <si>
    <t>Yes, do not have necessary documents</t>
  </si>
  <si>
    <t>Yes, quality of assistance is poor</t>
  </si>
  <si>
    <t>Yes, assistance not meeting household's needs</t>
  </si>
  <si>
    <t>Yes, discrimination</t>
  </si>
  <si>
    <t xml:space="preserve">Yes, request for bribe or other corruption challenges </t>
  </si>
  <si>
    <t>Yes, fear of conscription</t>
  </si>
  <si>
    <t>Yes, language barriers</t>
  </si>
  <si>
    <t>Yes, feeling unsafe accessing assistance</t>
  </si>
  <si>
    <t>Households reporting barriers in accessing to aid in the past 12 months, by barrier broken down by households with at least one member with a reported and/or registered disability on the admin of overall</t>
  </si>
  <si>
    <t>Households reporting barriers in accessing to aid in the past 12 months, by barrier broken down by urbanity on the admin of overall</t>
  </si>
  <si>
    <t>Households reporting barriers in accessing to aid in the past 12 months, by barrier broken down by household size on the admin of overall</t>
  </si>
  <si>
    <t>Households reporting barriers in accessing to aid in the past 12 months, by barrier broken down by income per capita (quartiles) on the admin of overall</t>
  </si>
  <si>
    <t>Households reporting barriers in accessing to aid in the past 12 months, by barrier broken down by gender of head of household on the admin of overall</t>
  </si>
  <si>
    <t>Households reporting barriers in accessing to aid in the past 12 months, by barrier broken down by age of adults in the households on the admin of overall</t>
  </si>
  <si>
    <t>Households reporting barriers in accessing to aid in the past 12 months, by barrier broken down by households with at least one child (&lt;18 y.o.) on the admin of overall</t>
  </si>
  <si>
    <t>Households reporting barriers in accessing to aid in the past 12 months, by barrier broken down by displacement status of head of household on the admin of overall</t>
  </si>
  <si>
    <t>Households reporting barriers in accessing to aid in the past 12 months, by barrier broken down by IDP household on the admin of overall</t>
  </si>
  <si>
    <t>Households reporting barriers in accessing to aid in the past 12 months, by barrier broken down by proximity to frontline/border with Russian Federation on the admin of overall</t>
  </si>
  <si>
    <t>Households reporting barriers in accessing to aid in the past 12 months, by barrier broken down by caregiving status  on the admin of overall</t>
  </si>
  <si>
    <t>Households reporting barriers in accessing to aid in the past 12 months, by barrier broken down by gender of respondent on the admin of overall</t>
  </si>
  <si>
    <t>Households reporting barriers in accessing to aid in the past 12 months, by barrier broken down by age of respondents on the admin of overall</t>
  </si>
  <si>
    <t>Households reporting barriers in accessing to aid in the past 12 months, by barrier broken down by gender and age of respondents on the admin of overall</t>
  </si>
  <si>
    <t>Households who received aid, by aid satisfaction in the past 12 months on the admin of overall</t>
  </si>
  <si>
    <t>Satisfied</t>
  </si>
  <si>
    <t>Very satisfied</t>
  </si>
  <si>
    <t xml:space="preserve">Neither satisfied nor dissatisfied </t>
  </si>
  <si>
    <t>Dissatisfied</t>
  </si>
  <si>
    <t xml:space="preserve">Very Dissatisfied </t>
  </si>
  <si>
    <t>Households who received aid, by aid satisfaction in the past 12 months broken down by households with at least one member with a reported and/or registered disability on the admin of overall</t>
  </si>
  <si>
    <t>Households who received aid, by aid satisfaction in the past 12 months broken down by urbanity on the admin of overall</t>
  </si>
  <si>
    <t>Households who received aid, by aid satisfaction in the past 12 months broken down by household size on the admin of overall</t>
  </si>
  <si>
    <t>Households who received aid, by aid satisfaction in the past 12 months broken down by income per capita (quartiles) on the admin of overall</t>
  </si>
  <si>
    <t>Households who received aid, by aid satisfaction in the past 12 months broken down by gender of head of household on the admin of overall</t>
  </si>
  <si>
    <t>Households who received aid, by aid satisfaction in the past 12 months broken down by age of adults in the households on the admin of overall</t>
  </si>
  <si>
    <t>Households who received aid, by aid satisfaction in the past 12 months broken down by households with at least one child (&lt;18 y.o.) on the admin of overall</t>
  </si>
  <si>
    <t>Households who received aid, by aid satisfaction in the past 12 months broken down by displacement status of head of household on the admin of overall</t>
  </si>
  <si>
    <t>Households who received aid, by aid satisfaction in the past 12 months broken down by IDP household on the admin of overall</t>
  </si>
  <si>
    <t>Households who received aid, by aid satisfaction in the past 12 months broken down by proximity to frontline/border with Russian Federation on the admin of overall</t>
  </si>
  <si>
    <t>Households who received aid, by aid satisfaction in the past 12 months broken down by caregiving status  on the admin of overall</t>
  </si>
  <si>
    <t>Households who received aid, by aid satisfaction in the past 12 months broken down by gender of respondent on the admin of overall</t>
  </si>
  <si>
    <t>Households who received aid, by aid satisfaction in the past 12 months broken down by age of respondents on the admin of overall</t>
  </si>
  <si>
    <t>Households who received aid, by aid satisfaction in the past 12 months broken down by gender and age of respondents on the admin of overall</t>
  </si>
  <si>
    <t>Households dissatisfied with aid received, by reason on the admin of overall</t>
  </si>
  <si>
    <t>Assistance received was insufficient</t>
  </si>
  <si>
    <t>The assistance delivered was not what the household needed the most</t>
  </si>
  <si>
    <t>Did not receive the aid on time / delays in delivery of aid</t>
  </si>
  <si>
    <t>Assistance received was of poor quality</t>
  </si>
  <si>
    <t>Unsatisfactory interaction with aid providers</t>
  </si>
  <si>
    <t>The assistance was not easily accessible (e.g. the distribution or the service point was too far away, in a hard-to-reach area, etc.)</t>
  </si>
  <si>
    <t>Households dissatisfied with aid received, by reason broken down by households with at least one member with a reported and/or registered disability on the admin of overall</t>
  </si>
  <si>
    <t>Households dissatisfied with aid received, by reason broken down by urbanity on the admin of overall</t>
  </si>
  <si>
    <t>Households dissatisfied with aid received, by reason broken down by household size on the admin of overall</t>
  </si>
  <si>
    <t>Households dissatisfied with aid received, by reason broken down by income per capita (quartiles) on the admin of overall</t>
  </si>
  <si>
    <t>Households dissatisfied with aid received, by reason broken down by gender of head of household on the admin of overall</t>
  </si>
  <si>
    <t>Households dissatisfied with aid received, by reason broken down by age of adults in the households on the admin of overall</t>
  </si>
  <si>
    <t>Households dissatisfied with aid received, by reason broken down by households with at least one child (&lt;18 y.o.) on the admin of overall</t>
  </si>
  <si>
    <t>Households dissatisfied with aid received, by reason broken down by displacement status of head of household on the admin of overall</t>
  </si>
  <si>
    <t>Households dissatisfied with aid received, by reason broken down by IDP household on the admin of overall</t>
  </si>
  <si>
    <t>Households dissatisfied with aid received, by reason broken down by proximity to frontline/border with Russian Federation on the admin of overall</t>
  </si>
  <si>
    <t>Households dissatisfied with aid received, by reason broken down by caregiving status  on the admin of overall</t>
  </si>
  <si>
    <t>Households dissatisfied with aid received, by reason broken down by gender of respondent on the admin of overall</t>
  </si>
  <si>
    <t>Households dissatisfied with aid received, by reason broken down by age of respondents on the admin of overall</t>
  </si>
  <si>
    <t>Households dissatisfied with aid received, by reason broken down by gender and age of respondents on the admin of overall</t>
  </si>
  <si>
    <t>Percentage of households reporting reliable information channels to get information about aid, by channel on the admin of overall</t>
  </si>
  <si>
    <t>Social media (e.g., Instagram, Facebook)</t>
  </si>
  <si>
    <t xml:space="preserve">In-person communication </t>
  </si>
  <si>
    <t>Websites of local or national government authorities</t>
  </si>
  <si>
    <t>Television (TV channels or broadcasts)</t>
  </si>
  <si>
    <t>Websites of NGOs, UN agencies, or volunteer groups</t>
  </si>
  <si>
    <t>Phone calls or phone trees (organized by government or other actors)</t>
  </si>
  <si>
    <t>Printed newspapers or magazines</t>
  </si>
  <si>
    <t>Radio</t>
  </si>
  <si>
    <t>Online newspapers or magazines</t>
  </si>
  <si>
    <t>Posters, billboards, leaflets</t>
  </si>
  <si>
    <t>Other (please specify)</t>
  </si>
  <si>
    <t>Percentage of households reporting reliable information channels to get information about aid, by channel broken down by households with at least one member with a reported and/or registered disability on the admin of overall</t>
  </si>
  <si>
    <t>Percentage of households reporting reliable information channels to get information about aid, by channel broken down by urbanity on the admin of overall</t>
  </si>
  <si>
    <t>Percentage of households reporting reliable information channels to get information about aid, by channel broken down by household size on the admin of overall</t>
  </si>
  <si>
    <t>Percentage of households reporting reliable information channels to get information about aid, by channel broken down by income per capita (quartiles) on the admin of overall</t>
  </si>
  <si>
    <t>Percentage of households reporting reliable information channels to get information about aid, by channel broken down by gender of head of household on the admin of overall</t>
  </si>
  <si>
    <t>Percentage of households reporting reliable information channels to get information about aid, by channel broken down by age of adults in the households on the admin of overall</t>
  </si>
  <si>
    <t>Percentage of households reporting reliable information channels to get information about aid, by channel broken down by households with at least one child (&lt;18 y.o.) on the admin of overall</t>
  </si>
  <si>
    <t>Percentage of households reporting reliable information channels to get information about aid, by channel broken down by displacement status of head of household on the admin of overall</t>
  </si>
  <si>
    <t>Percentage of households reporting reliable information channels to get information about aid, by channel broken down by IDP household on the admin of overall</t>
  </si>
  <si>
    <t>Percentage of households reporting reliable information channels to get information about aid, by channel broken down by proximity to frontline/border with Russian Federation on the admin of overall</t>
  </si>
  <si>
    <t>Percentage of households reporting reliable information channels to get information about aid, by channel broken down by caregiving status  on the admin of overall</t>
  </si>
  <si>
    <t>Percentage of households reporting reliable information channels to get information about aid, by channel broken down by gender of respondent on the admin of overall</t>
  </si>
  <si>
    <t>Percentage of households reporting reliable information channels to get information about aid, by channel broken down by age of respondents on the admin of overall</t>
  </si>
  <si>
    <t>Percentage of households reporting reliable information channels to get information about aid, by channel broken down by gender and age of respondents on the admin of overall</t>
  </si>
  <si>
    <t>Percentage of households utilizing complaint and feedback channels, by type on the admin of overall</t>
  </si>
  <si>
    <t>Hotlines</t>
  </si>
  <si>
    <t>Messaging chats (Telegram/Viber)</t>
  </si>
  <si>
    <t>Online forms or surveys</t>
  </si>
  <si>
    <t>In-person (visiting an aid provider’s office/location)</t>
  </si>
  <si>
    <t>Feedback or suggestion boxes</t>
  </si>
  <si>
    <t>Percentage of households utilizing complaint and feedback channels, by type broken down by households with at least one member with a reported and/or registered disability on the admin of overall</t>
  </si>
  <si>
    <t>Percentage of households utilizing complaint and feedback channels, by type broken down by urbanity on the admin of overall</t>
  </si>
  <si>
    <t>Percentage of households utilizing complaint and feedback channels, by type broken down by household size on the admin of overall</t>
  </si>
  <si>
    <t>Percentage of households utilizing complaint and feedback channels, by type broken down by income per capita (quartiles) on the admin of overall</t>
  </si>
  <si>
    <t>Percentage of households utilizing complaint and feedback channels, by type broken down by gender of head of household on the admin of overall</t>
  </si>
  <si>
    <t>Percentage of households utilizing complaint and feedback channels, by type broken down by age of adults in the households on the admin of overall</t>
  </si>
  <si>
    <t>Percentage of households utilizing complaint and feedback channels, by type broken down by households with at least one child (&lt;18 y.o.) on the admin of overall</t>
  </si>
  <si>
    <t>Percentage of households utilizing complaint and feedback channels, by type broken down by displacement status of head of household on the admin of overall</t>
  </si>
  <si>
    <t>Percentage of households utilizing complaint and feedback channels, by type broken down by IDP household on the admin of overall</t>
  </si>
  <si>
    <t>Percentage of households utilizing complaint and feedback channels, by type broken down by proximity to frontline/border with Russian Federation on the admin of overall</t>
  </si>
  <si>
    <t>Percentage of households utilizing complaint and feedback channels, by type broken down by caregiving status  on the admin of overall</t>
  </si>
  <si>
    <t>Percentage of households utilizing complaint and feedback channels, by type broken down by gender of respondent on the admin of overall</t>
  </si>
  <si>
    <t>Percentage of households utilizing complaint and feedback channels, by type broken down by age of respondents on the admin of overall</t>
  </si>
  <si>
    <t>Percentage of households utilizing complaint and feedback channels, by type broken down by gender and age of respondents on the admin of overall</t>
  </si>
  <si>
    <t>Percentage of households receiving a response through complaint and feedback channels on the admin of overall</t>
  </si>
  <si>
    <t>Percentage of households receiving a response through complaint and feedback channels broken down by households with at least one member with a reported and/or registered disability on the admin of overall</t>
  </si>
  <si>
    <t>Percentage of households receiving a response through complaint and feedback channels broken down by urbanity on the admin of overall</t>
  </si>
  <si>
    <t>Percentage of households receiving a response through complaint and feedback channels broken down by household size on the admin of overall</t>
  </si>
  <si>
    <t>Percentage of households receiving a response through complaint and feedback channels broken down by income per capita (quartiles) on the admin of overall</t>
  </si>
  <si>
    <t>Percentage of households receiving a response through complaint and feedback channels broken down by gender of head of household on the admin of overall</t>
  </si>
  <si>
    <t>Percentage of households receiving a response through complaint and feedback channels broken down by age of adults in the households on the admin of overall</t>
  </si>
  <si>
    <t>Percentage of households receiving a response through complaint and feedback channels broken down by households with at least one child (&lt;18 y.o.) on the admin of overall</t>
  </si>
  <si>
    <t>Percentage of households receiving a response through complaint and feedback channels broken down by displacement status of head of household on the admin of overall</t>
  </si>
  <si>
    <t>Percentage of households receiving a response through complaint and feedback channels broken down by IDP household on the admin of overall</t>
  </si>
  <si>
    <t>Percentage of households receiving a response through complaint and feedback channels broken down by proximity to frontline/border with Russian Federation on the admin of overall</t>
  </si>
  <si>
    <t>Percentage of households receiving a response through complaint and feedback channels broken down by caregiving status  on the admin of overall</t>
  </si>
  <si>
    <t>Percentage of households receiving a response through complaint and feedback channels broken down by gender of respondent on the admin of overall</t>
  </si>
  <si>
    <t>Percentage of households receiving a response through complaint and feedback channels broken down by age of respondents on the admin of overall</t>
  </si>
  <si>
    <t>Percentage of households receiving a response through complaint and feedback channels broken down by gender and age of respondents on the admin of overall</t>
  </si>
  <si>
    <t>Percentage of household who have experienced cuts in  government assistance in the past 6 months on the admin of overall</t>
  </si>
  <si>
    <t>Yes, IDP allowance</t>
  </si>
  <si>
    <t>Yes, social assistance for families with low income</t>
  </si>
  <si>
    <t>Yes, retirement pension</t>
  </si>
  <si>
    <t>Yes, pensions for people with disabilities</t>
  </si>
  <si>
    <t xml:space="preserve">Yes, child assistance to single parents </t>
  </si>
  <si>
    <t>Yes, social payments for the unemployed</t>
  </si>
  <si>
    <t>Percentage of household who have experienced cuts in  government assistance in the past 6 months broken down by households with at least one member with a reported and/or registered disability on the admin of overall</t>
  </si>
  <si>
    <t>Percentage of household who have experienced cuts in  government assistance in the past 6 months broken down by urbanity on the admin of overall</t>
  </si>
  <si>
    <t>Percentage of household who have experienced cuts in  government assistance in the past 6 months broken down by household size on the admin of overall</t>
  </si>
  <si>
    <t>Percentage of household who have experienced cuts in  government assistance in the past 6 months broken down by income per capita (quartiles) on the admin of overall</t>
  </si>
  <si>
    <t>Percentage of household who have experienced cuts in  government assistance in the past 6 months broken down by gender of head of household on the admin of overall</t>
  </si>
  <si>
    <t>Percentage of household who have experienced cuts in  government assistance in the past 6 months broken down by age of adults in the households on the admin of overall</t>
  </si>
  <si>
    <t>Percentage of household who have experienced cuts in  government assistance in the past 6 months broken down by households with at least one child (&lt;18 y.o.) on the admin of overall</t>
  </si>
  <si>
    <t>Percentage of household who have experienced cuts in  government assistance in the past 6 months broken down by displacement status of head of household on the admin of overall</t>
  </si>
  <si>
    <t>Percentage of household who have experienced cuts in  government assistance in the past 6 months broken down by IDP household on the admin of overall</t>
  </si>
  <si>
    <t>Percentage of household who have experienced cuts in  government assistance in the past 6 months broken down by proximity to frontline/border with Russian Federation on the admin of overall</t>
  </si>
  <si>
    <t>Percentage of household who have experienced cuts in  government assistance in the past 6 months broken down by caregiving status  on the admin of overall</t>
  </si>
  <si>
    <t>Percentage of household who have experienced cuts in  government assistance in the past 6 months broken down by gender of respondent on the admin of overall</t>
  </si>
  <si>
    <t>Percentage of household who have experienced cuts in  government assistance in the past 6 months broken down by age of respondents on the admin of overall</t>
  </si>
  <si>
    <t>Percentage of household who have experienced cuts in  government assistance in the past 6 months broken down by gender and age of respondents on the admin of overall</t>
  </si>
  <si>
    <t>Percentage of households unable to obtain needed legal assistance, by type of assistance on the admin of overall</t>
  </si>
  <si>
    <t>Yes, to apply for utility subsidies</t>
  </si>
  <si>
    <t>Yes, to obtain property documentation</t>
  </si>
  <si>
    <t>Yes, to access social benefits</t>
  </si>
  <si>
    <t>Yes, to apply for compensation for damaged or destroyed property</t>
  </si>
  <si>
    <t>Yes, to obtain civil documents (birth, death, marriage, divorce)</t>
  </si>
  <si>
    <t>Yes, to resolve issues related to labour law</t>
  </si>
  <si>
    <t>Yes, to apply for IDP allowance</t>
  </si>
  <si>
    <t>Yes, to obtain identity documents</t>
  </si>
  <si>
    <t>Yes, to access pensions for IDPs</t>
  </si>
  <si>
    <t>Percentage of households unable to obtain needed legal assistance, by type of assistance broken down by households with at least one member with a reported and/or registered disability on the admin of overall</t>
  </si>
  <si>
    <t>Percentage of households unable to obtain needed legal assistance, by type of assistance broken down by urbanity on the admin of overall</t>
  </si>
  <si>
    <t>Percentage of households unable to obtain needed legal assistance, by type of assistance broken down by household size on the admin of overall</t>
  </si>
  <si>
    <t>Percentage of households unable to obtain needed legal assistance, by type of assistance broken down by income per capita (quartiles) on the admin of overall</t>
  </si>
  <si>
    <t>Percentage of households unable to obtain needed legal assistance, by type of assistance broken down by gender of head of household on the admin of overall</t>
  </si>
  <si>
    <t>Percentage of households unable to obtain needed legal assistance, by type of assistance broken down by age of adults in the households on the admin of overall</t>
  </si>
  <si>
    <t>Percentage of households unable to obtain needed legal assistance, by type of assistance broken down by households with at least one child (&lt;18 y.o.) on the admin of overall</t>
  </si>
  <si>
    <t>Percentage of households unable to obtain needed legal assistance, by type of assistance broken down by displacement status of head of household on the admin of overall</t>
  </si>
  <si>
    <t>Percentage of households unable to obtain needed legal assistance, by type of assistance broken down by IDP household on the admin of overall</t>
  </si>
  <si>
    <t>Percentage of households unable to obtain needed legal assistance, by type of assistance broken down by proximity to frontline/border with Russian Federation on the admin of overall</t>
  </si>
  <si>
    <t>Percentage of households unable to obtain needed legal assistance, by type of assistance broken down by caregiving status  on the admin of overall</t>
  </si>
  <si>
    <t>Percentage of households unable to obtain needed legal assistance, by type of assistance broken down by gender of respondent on the admin of overall</t>
  </si>
  <si>
    <t>Percentage of households unable to obtain needed legal assistance, by type of assistance broken down by age of respondents on the admin of overall</t>
  </si>
  <si>
    <t>Percentage of households unable to obtain needed legal assistance, by type of assistance broken down by gender and age of respondents on the admin of overall</t>
  </si>
  <si>
    <t>Percentage of households unable to obtain needed social and administrative services, by type of services on the admin of overall</t>
  </si>
  <si>
    <t>Yes, to obtain counselling services</t>
  </si>
  <si>
    <t>Yes, to obtain social accompaniment services</t>
  </si>
  <si>
    <t>Yes, to obtain home-based care, assisted living, or facility care services</t>
  </si>
  <si>
    <t>Yes, to obtain psychosocial support</t>
  </si>
  <si>
    <t>Yes, to obtain social rehabilitation services</t>
  </si>
  <si>
    <t>Yes, to obtain social transportation</t>
  </si>
  <si>
    <t>Yes, to obtain case management support</t>
  </si>
  <si>
    <t>Percentage of households unable to obtain needed social and administrative services, by type of services broken down by households with at least one member with a reported and/or registered disability on the admin of overall</t>
  </si>
  <si>
    <t>Percentage of households unable to obtain needed social and administrative services, by type of services broken down by urbanity on the admin of overall</t>
  </si>
  <si>
    <t>Percentage of households unable to obtain needed social and administrative services, by type of services broken down by household size on the admin of overall</t>
  </si>
  <si>
    <t>Percentage of households unable to obtain needed social and administrative services, by type of services broken down by income per capita (quartiles) on the admin of overall</t>
  </si>
  <si>
    <t>Percentage of households unable to obtain needed social and administrative services, by type of services broken down by gender of head of household on the admin of overall</t>
  </si>
  <si>
    <t>Percentage of households unable to obtain needed social and administrative services, by type of services broken down by age of adults in the households on the admin of overall</t>
  </si>
  <si>
    <t>Percentage of households unable to obtain needed social and administrative services, by type of services broken down by households with at least one child (&lt;18 y.o.) on the admin of overall</t>
  </si>
  <si>
    <t>Percentage of households unable to obtain needed social and administrative services, by type of services broken down by displacement status of head of household on the admin of overall</t>
  </si>
  <si>
    <t>Percentage of households unable to obtain needed social and administrative services, by type of services broken down by IDP household on the admin of overall</t>
  </si>
  <si>
    <t>Percentage of households unable to obtain needed social and administrative services, by type of services broken down by proximity to frontline/border with Russian Federation on the admin of overall</t>
  </si>
  <si>
    <t>Percentage of households unable to obtain needed social and administrative services, by type of services broken down by caregiving status  on the admin of overall</t>
  </si>
  <si>
    <t>Percentage of households unable to obtain needed social and administrative services, by type of services broken down by gender of respondent on the admin of overall</t>
  </si>
  <si>
    <t>Percentage of households unable to obtain needed social and administrative services, by type of services broken down by age of respondents on the admin of overall</t>
  </si>
  <si>
    <t>Percentage of households unable to obtain needed social and administrative services, by type of services broken down by gender and age of respondents on the admin of overall</t>
  </si>
  <si>
    <t>Percentage of households reporting services for women/girls are needed but not available in the area, by type of services on the admin of overall</t>
  </si>
  <si>
    <t>Psychosocial support</t>
  </si>
  <si>
    <t>Health services, not including reproductive health</t>
  </si>
  <si>
    <t xml:space="preserve">Recreational activities </t>
  </si>
  <si>
    <t>Support for persons with disabilities</t>
  </si>
  <si>
    <t>Support for care providers for children or elderly</t>
  </si>
  <si>
    <t>Childcare or elderly care support</t>
  </si>
  <si>
    <t>Educational support</t>
  </si>
  <si>
    <t>Legal services</t>
  </si>
  <si>
    <t>Vocational training</t>
  </si>
  <si>
    <t>Services for victims of violence</t>
  </si>
  <si>
    <t>Reproductive health services</t>
  </si>
  <si>
    <t>Livelihood services, excluding vocational training</t>
  </si>
  <si>
    <t>Percentage of households reporting services for women/girls are needed but not available in the area, by type of services broken down by households with at least one member with a reported and/or registered disability on the admin of overall</t>
  </si>
  <si>
    <t>Percentage of households reporting services for women/girls are needed but not available in the area, by type of services broken down by urbanity on the admin of overall</t>
  </si>
  <si>
    <t>Percentage of households reporting services for women/girls are needed but not available in the area, by type of services broken down by household size on the admin of overall</t>
  </si>
  <si>
    <t>Percentage of households reporting services for women/girls are needed but not available in the area, by type of services broken down by income per capita (quartiles) on the admin of overall</t>
  </si>
  <si>
    <t>Percentage of households reporting services for women/girls are needed but not available in the area, by type of services broken down by gender of head of household on the admin of overall</t>
  </si>
  <si>
    <t>Percentage of households reporting services for women/girls are needed but not available in the area, by type of services broken down by age of adults in the households on the admin of overall</t>
  </si>
  <si>
    <t>Percentage of households reporting services for women/girls are needed but not available in the area, by type of services broken down by households with at least one child (&lt;18 y.o.) on the admin of overall</t>
  </si>
  <si>
    <t>Percentage of households reporting services for women/girls are needed but not available in the area, by type of services broken down by displacement status of head of household on the admin of overall</t>
  </si>
  <si>
    <t>Percentage of households reporting services for women/girls are needed but not available in the area, by type of services broken down by IDP household on the admin of overall</t>
  </si>
  <si>
    <t>Percentage of households reporting services for women/girls are needed but not available in the area, by type of services broken down by proximity to frontline/border with Russian Federation on the admin of overall</t>
  </si>
  <si>
    <t>Percentage of households reporting services for women/girls are needed but not available in the area, by type of services broken down by caregiving status  on the admin of overall</t>
  </si>
  <si>
    <t>Percentage of households reporting services for women/girls are needed but not available in the area, by type of services broken down by gender of respondent on the admin of overall</t>
  </si>
  <si>
    <t>Percentage of households reporting services for women/girls are needed but not available in the area, by type of services broken down by age of respondents on the admin of overall</t>
  </si>
  <si>
    <t>Percentage of households reporting services for women/girls are needed but not available in the area, by type of services broken down by gender and age of respondents on the admin of overall</t>
  </si>
  <si>
    <t>Percentage of household reporting services for children are needed but not available in the area, by type of service on the admin of overall</t>
  </si>
  <si>
    <t>Recreational activities (outside school activities, child-friendly spaces, summer camps, etc.)</t>
  </si>
  <si>
    <t>Childcare (incl. nursery, pre-school)</t>
  </si>
  <si>
    <t>Mental health and psychosocial support</t>
  </si>
  <si>
    <t>Support for children with disabilities</t>
  </si>
  <si>
    <t>Social support for families</t>
  </si>
  <si>
    <t>Health services</t>
  </si>
  <si>
    <t>Legal services (status "children of war", birth certificates)</t>
  </si>
  <si>
    <t>Percentage of household reporting services for children are needed but not available in the area, by type of service broken down by households with at least one member with a reported and/or registered disability on the admin of overall</t>
  </si>
  <si>
    <t>Percentage of household reporting services for children are needed but not available in the area, by type of service broken down by urbanity on the admin of overall</t>
  </si>
  <si>
    <t>Percentage of household reporting services for children are needed but not available in the area, by type of service broken down by household size on the admin of overall</t>
  </si>
  <si>
    <t>Percentage of household reporting services for children are needed but not available in the area, by type of service broken down by income per capita (quartiles) on the admin of overall</t>
  </si>
  <si>
    <t>Percentage of household reporting services for children are needed but not available in the area, by type of service broken down by gender of head of household on the admin of overall</t>
  </si>
  <si>
    <t>Percentage of household reporting services for children are needed but not available in the area, by type of service broken down by age of adults in the households on the admin of overall</t>
  </si>
  <si>
    <t>Percentage of household reporting services for children are needed but not available in the area, by type of service broken down by households with at least one child (&lt;18 y.o.) on the admin of overall</t>
  </si>
  <si>
    <t>Percentage of household reporting services for children are needed but not available in the area, by type of service broken down by displacement status of head of household on the admin of overall</t>
  </si>
  <si>
    <t>Percentage of household reporting services for children are needed but not available in the area, by type of service broken down by IDP household on the admin of overall</t>
  </si>
  <si>
    <t>Percentage of household reporting services for children are needed but not available in the area, by type of service broken down by proximity to frontline/border with Russian Federation on the admin of overall</t>
  </si>
  <si>
    <t>Percentage of household reporting services for children are needed but not available in the area, by type of service broken down by caregiving status  on the admin of overall</t>
  </si>
  <si>
    <t>Percentage of household reporting services for children are needed but not available in the area, by type of service broken down by gender of respondent on the admin of overall</t>
  </si>
  <si>
    <t>Percentage of household reporting services for children are needed but not available in the area, by type of service broken down by age of respondents on the admin of overall</t>
  </si>
  <si>
    <t>Percentage of household reporting services for children are needed but not available in the area, by type of service broken down by gender and age of respondents on the admin of overall</t>
  </si>
  <si>
    <t>Percentage of households whose ability to work/access resources was affected by threats in the past 3 months on the admin of overall</t>
  </si>
  <si>
    <t>Yes, it affected the ability to work</t>
  </si>
  <si>
    <t>Yes, it affected the ability to seek safety</t>
  </si>
  <si>
    <t>Yes, it affected the ability to make free choices</t>
  </si>
  <si>
    <t>Yes, it affected the general access to livelihood</t>
  </si>
  <si>
    <t>Yes, it affected other activities needed to meet our needs</t>
  </si>
  <si>
    <t>Yes, it affected the ability to farm</t>
  </si>
  <si>
    <t>Yes, it affected the ability to collect water</t>
  </si>
  <si>
    <t>Percentage of households whose ability to work/access resources was affected by threats in the past 3 months broken down by households with at least one member with a reported and/or registered disability on the admin of overall</t>
  </si>
  <si>
    <t>Percentage of households whose ability to work/access resources was affected by threats in the past 3 months broken down by urbanity on the admin of overall</t>
  </si>
  <si>
    <t>Percentage of households whose ability to work/access resources was affected by threats in the past 3 months broken down by household size on the admin of overall</t>
  </si>
  <si>
    <t>Percentage of households whose ability to work/access resources was affected by threats in the past 3 months broken down by income per capita (quartiles) on the admin of overall</t>
  </si>
  <si>
    <t>Percentage of households whose ability to work/access resources was affected by threats in the past 3 months broken down by gender of head of household on the admin of overall</t>
  </si>
  <si>
    <t>Percentage of households whose ability to work/access resources was affected by threats in the past 3 months broken down by age of adults in the households on the admin of overall</t>
  </si>
  <si>
    <t>Percentage of households whose ability to work/access resources was affected by threats in the past 3 months broken down by households with at least one child (&lt;18 y.o.) on the admin of overall</t>
  </si>
  <si>
    <t>Percentage of households whose ability to work/access resources was affected by threats in the past 3 months broken down by displacement status of head of household on the admin of overall</t>
  </si>
  <si>
    <t>Percentage of households whose ability to work/access resources was affected by threats in the past 3 months broken down by IDP household on the admin of overall</t>
  </si>
  <si>
    <t>Percentage of households whose ability to work/access resources was affected by threats in the past 3 months broken down by proximity to frontline/border with Russian Federation on the admin of overall</t>
  </si>
  <si>
    <t>Percentage of households whose ability to work/access resources was affected by threats in the past 3 months broken down by caregiving status  on the admin of overall</t>
  </si>
  <si>
    <t>Percentage of households whose ability to work/access resources was affected by threats in the past 3 months broken down by gender of respondent on the admin of overall</t>
  </si>
  <si>
    <t>Percentage of households whose ability to work/access resources was affected by threats in the past 3 months broken down by age of respondents on the admin of overall</t>
  </si>
  <si>
    <t>Percentage of households whose ability to work/access resources was affected by threats in the past 3 months broken down by gender and age of respondents on the admin of overall</t>
  </si>
  <si>
    <t>Percentage of households whose social interactions/participation were limited by threats in the past 3 months on the admin of overall</t>
  </si>
  <si>
    <t>Yes, attending community events</t>
  </si>
  <si>
    <t>Yes, visiting friends</t>
  </si>
  <si>
    <t>Yes, visiting family members</t>
  </si>
  <si>
    <t>Yes, children's recreational activities</t>
  </si>
  <si>
    <t>Yes, participating in other social activities</t>
  </si>
  <si>
    <t>Yes, participating in decision making bodies</t>
  </si>
  <si>
    <t>Yes, joining groups or public gatherings</t>
  </si>
  <si>
    <t>Percentage of households whose social interactions/participation were limited by threats in the past 3 months broken down by households with at least one member with a reported and/or registered disability on the admin of overall</t>
  </si>
  <si>
    <t>Percentage of households whose social interactions/participation were limited by threats in the past 3 months broken down by urbanity on the admin of overall</t>
  </si>
  <si>
    <t>Percentage of households whose social interactions/participation were limited by threats in the past 3 months broken down by household size on the admin of overall</t>
  </si>
  <si>
    <t>Percentage of households whose social interactions/participation were limited by threats in the past 3 months broken down by income per capita (quartiles) on the admin of overall</t>
  </si>
  <si>
    <t>Percentage of households whose social interactions/participation were limited by threats in the past 3 months broken down by gender of head of household on the admin of overall</t>
  </si>
  <si>
    <t>Percentage of households whose social interactions/participation were limited by threats in the past 3 months broken down by age of adults in the households on the admin of overall</t>
  </si>
  <si>
    <t>Percentage of households whose social interactions/participation were limited by threats in the past 3 months broken down by households with at least one child (&lt;18 y.o.) on the admin of overall</t>
  </si>
  <si>
    <t>Percentage of households whose social interactions/participation were limited by threats in the past 3 months broken down by displacement status of head of household on the admin of overall</t>
  </si>
  <si>
    <t>Percentage of households whose social interactions/participation were limited by threats in the past 3 months broken down by IDP household on the admin of overall</t>
  </si>
  <si>
    <t>Percentage of households whose social interactions/participation were limited by threats in the past 3 months broken down by proximity to frontline/border with Russian Federation on the admin of overall</t>
  </si>
  <si>
    <t>Percentage of households whose social interactions/participation were limited by threats in the past 3 months broken down by caregiving status  on the admin of overall</t>
  </si>
  <si>
    <t>Percentage of households whose social interactions/participation were limited by threats in the past 3 months broken down by gender of respondent on the admin of overall</t>
  </si>
  <si>
    <t>Percentage of households whose social interactions/participation were limited by threats in the past 3 months broken down by age of respondents on the admin of overall</t>
  </si>
  <si>
    <t>Percentage of households whose social interactions/participation were limited by threats in the past 3 months broken down by gender and age of respondents on the admin of overall</t>
  </si>
  <si>
    <t>Percentage of households whose movement/access to public spaces changed due to threats in the past 3 months on the admin of overall</t>
  </si>
  <si>
    <t>No, we have no safety concerns when moving around in the community</t>
  </si>
  <si>
    <t>No, there have been no changes, but we feel unsafe moving in the community</t>
  </si>
  <si>
    <t>Men avoid going out in public for fear of conscription</t>
  </si>
  <si>
    <t>Women and girls avoid going out at night</t>
  </si>
  <si>
    <t>Household members avoid public places without a shelter nearby</t>
  </si>
  <si>
    <t>Men and boys avoid going out at night</t>
  </si>
  <si>
    <t>Women and girls avoid certain places because it is unsafe</t>
  </si>
  <si>
    <t>Men and boys avoid certain places because it is unsafe</t>
  </si>
  <si>
    <t>We take different routes to stay safe</t>
  </si>
  <si>
    <t>We avoid going to markets</t>
  </si>
  <si>
    <t>We avoid going to public offices</t>
  </si>
  <si>
    <t>We avoid fields or work areas</t>
  </si>
  <si>
    <t>Girls and boys avoiding ways to school</t>
  </si>
  <si>
    <t>Percentage of households whose movement/access to public spaces changed due to threats in the past 3 months broken down by households with at least one member with a reported and/or registered disability on the admin of overall</t>
  </si>
  <si>
    <t>Percentage of households whose movement/access to public spaces changed due to threats in the past 3 months broken down by urbanity on the admin of overall</t>
  </si>
  <si>
    <t>Percentage of households whose movement/access to public spaces changed due to threats in the past 3 months broken down by household size on the admin of overall</t>
  </si>
  <si>
    <t>Percentage of households whose movement/access to public spaces changed due to threats in the past 3 months broken down by income per capita (quartiles) on the admin of overall</t>
  </si>
  <si>
    <t>Percentage of households whose movement/access to public spaces changed due to threats in the past 3 months broken down by gender of head of household on the admin of overall</t>
  </si>
  <si>
    <t>Percentage of households whose movement/access to public spaces changed due to threats in the past 3 months broken down by age of adults in the households on the admin of overall</t>
  </si>
  <si>
    <t>Percentage of households whose movement/access to public spaces changed due to threats in the past 3 months broken down by households with at least one child (&lt;18 y.o.) on the admin of overall</t>
  </si>
  <si>
    <t>Percentage of households whose movement/access to public spaces changed due to threats in the past 3 months broken down by displacement status of head of household on the admin of overall</t>
  </si>
  <si>
    <t>Percentage of households whose movement/access to public spaces changed due to threats in the past 3 months broken down by IDP household on the admin of overall</t>
  </si>
  <si>
    <t>Percentage of households whose movement/access to public spaces changed due to threats in the past 3 months broken down by proximity to frontline/border with Russian Federation on the admin of overall</t>
  </si>
  <si>
    <t>Percentage of households whose movement/access to public spaces changed due to threats in the past 3 months broken down by caregiving status  on the admin of overall</t>
  </si>
  <si>
    <t>Percentage of households whose movement/access to public spaces changed due to threats in the past 3 months broken down by gender of respondent on the admin of overall</t>
  </si>
  <si>
    <t>Percentage of households whose movement/access to public spaces changed due to threats in the past 3 months broken down by age of respondents on the admin of overall</t>
  </si>
  <si>
    <t>Percentage of households whose movement/access to public spaces changed due to threats in the past 3 months broken down by gender and age of respondents on the admin of overall</t>
  </si>
  <si>
    <t>Percentage of households with children (&lt;18 y.o.) currently not living in the household on the admin of overall</t>
  </si>
  <si>
    <t>Percentage of households with children (&lt;18 y.o.) currently not living in the household broken down by IDP household on the admin of overall</t>
  </si>
  <si>
    <t>Percentage of households with children (&lt;18 y.o.) currently not living in the household broken down by proximity to frontline/border with Russian Federation on the admin of overall</t>
  </si>
  <si>
    <t>Percentage of households with children (&lt;18 y.o.) currently not living in the household, by reasons on the admin of overall</t>
  </si>
  <si>
    <t xml:space="preserve">Living with foster family </t>
  </si>
  <si>
    <t>Left the house to study</t>
  </si>
  <si>
    <t>Got separated during displacement/evacuation (including temporary separation)</t>
  </si>
  <si>
    <t>Married and left the house</t>
  </si>
  <si>
    <t>Living abroad</t>
  </si>
  <si>
    <t>Left the house to reside with non-family member (living with romantic partner, living with friends)</t>
  </si>
  <si>
    <t>Left the house to seek employment</t>
  </si>
  <si>
    <t>Arbitrarily detained</t>
  </si>
  <si>
    <t>Missing (left and no news)</t>
  </si>
  <si>
    <t>Stayed behind at the area of origin</t>
  </si>
  <si>
    <t>Percentage of households with children (&lt;18 y.o.) currently not living in the household, by reasons broken down by IDP household on the admin of overall</t>
  </si>
  <si>
    <t>Percentage of households with children (&lt;18 y.o.) currently not living in the household, by reasons broken down by proximity to frontline/border with Russian Federation on the admin of overall</t>
  </si>
  <si>
    <t>28</t>
  </si>
  <si>
    <t>Average travel time to nearest functioning health facility (minutes) broken down by gender composition of household on the admin of overall</t>
  </si>
  <si>
    <t>hh_female</t>
  </si>
  <si>
    <t>hh_male</t>
  </si>
  <si>
    <t>hh_mixed</t>
  </si>
  <si>
    <t>Households with members with chronic conditions requiring regular medication broken down by gender composition of household on the admin of overall</t>
  </si>
  <si>
    <t>Households with members with chronic conditions requiring regular medication, by frequency of disrupted access to healthcare for chronic conditions in the past 3 months broken down by gender composition of household on the admin of overall</t>
  </si>
  <si>
    <t>Percentage of households by barriers preventing access to health care in the past 3 months broken down by gender composition of household on the admin of overall</t>
  </si>
  <si>
    <t>Percentage of households feeling emotionally unwell (2+ weeks in the past 6 months) broken down by gender composition of household on the admin of overall</t>
  </si>
  <si>
    <t>Percentage of households feeling emotionally unwell (2+ weeks in the past 6 months), by experienced difficulty in completing day-to-day activities broken down by gender composition of household on the admin of overall</t>
  </si>
  <si>
    <t>Percentage of households feeling emotionally unwell that received mental health or psychosocial support/services, by type broken down by gender composition of household on the admin of overall</t>
  </si>
  <si>
    <t>Percentage of households with at least one member with registered disability, by type broken down by gender composition of household on the admin of overall</t>
  </si>
  <si>
    <t>Percentage of households with at least one member that has difficulties seeing broken down by gender composition of household on the admin of overall</t>
  </si>
  <si>
    <t>Percentage of households with at least one member that has difficulties hearing broken down by gender composition of household on the admin of overall</t>
  </si>
  <si>
    <t>Percentage of households with at least one member that has difficulties walking broken down by gender composition of household on the admin of overall</t>
  </si>
  <si>
    <t>Percentage of households with at least one member that has difficulties concentrating broken down by gender composition of household on the admin of overall</t>
  </si>
  <si>
    <t>Percentage of households with at least one member that has difficulties performing self-care broken down by gender composition of household on the admin of overall</t>
  </si>
  <si>
    <t>Percentage of households with at least one member that has difficulties communicating broken down by gender composition of household on the admin of overall</t>
  </si>
  <si>
    <t>Percentage of households with school-aged children (3-17 y.o.) whose education was disrupted monthly by prolonged or repetitive air alerts during the 2024-2025 school year broken down by gender composition of household on the admin of overall</t>
  </si>
  <si>
    <t>Percentage of households by time adults spend on supporting children's education broken down by gender composition of household on the admin of overall</t>
  </si>
  <si>
    <t>Households reporting expenditures in the last 30 days, by type broken down by gender composition of household on the admin of overall</t>
  </si>
  <si>
    <t>Household Domestic Expenditure over the last 30 days, by type and amount by gender composition of household</t>
  </si>
  <si>
    <t>Monthly household expenditures on heating last winter broken down by gender composition of household on the admin of overall</t>
  </si>
  <si>
    <t>Households reporting  long term expenditures in the past 6 months, by type broken down by gender composition of household on the admin of overall</t>
  </si>
  <si>
    <t>Household Domestic Expenditure over the last 6 months, by type and amount by gender composition of household</t>
  </si>
  <si>
    <t>Total monthly expenditures per capita broken down by gender composition of household on the admin of overall</t>
  </si>
  <si>
    <t>Percentage of households reporting completely lacking essential non-food items in the last 3 months, by type broken down by gender composition of household on the admin of overall</t>
  </si>
  <si>
    <t>Households reporting primary income sources over the last 30 days, by type of income source broken down by gender composition of household on the admin of overall</t>
  </si>
  <si>
    <t>Household income per capita over the 30 days prior to data collection, by types of income source by gender composition of household</t>
  </si>
  <si>
    <t>Total monthly income per capita broken down by gender composition of household on the admin of overall</t>
  </si>
  <si>
    <t>Households receiving income from remittances/family and friends in Ukraine/community members, by regularity broken down by gender composition of household on the admin of overall</t>
  </si>
  <si>
    <t>Percentage of households who have become indebted since 2024 broken down by gender composition of household on the admin of overall</t>
  </si>
  <si>
    <t>Percentage of households who are currently indebted, by reason broken down by gender composition of household on the admin of overall</t>
  </si>
  <si>
    <t>Percentage of households earning an income from own production, by challenges experienced broken down by gender composition of household on the admin of overall</t>
  </si>
  <si>
    <t>Households adopting Livelihood Coping Strategies, by strategy by gender composition of household</t>
  </si>
  <si>
    <t>Households using Livelihood Coping Strategies, by main reason broken down by gender composition of household on the admin of overall</t>
  </si>
  <si>
    <t>Livelihood Coping Strategy - Essential Needs (LCS-EN) broken down by gender composition of household on the admin of overall</t>
  </si>
  <si>
    <t>Households exposed to armed violence/artillery shelling in the last 3 months broken down by gender composition of household on the admin of overall</t>
  </si>
  <si>
    <t>Households exposed to armed violence/artillery shelling in the last 3 months, by frequency  broken down by gender composition of household on the admin of overall</t>
  </si>
  <si>
    <t>Households exposed to drone/missile attacks in last 3 months broken down by gender composition of household on the admin of overall</t>
  </si>
  <si>
    <t>Households exposed to drone/missile attacks in past 3 months, by frequency broken down by gender composition of household on the admin of overall</t>
  </si>
  <si>
    <t>Households exposed to other safety and security incidents in the last 3 months, by type broken down by gender composition of household on the admin of overall</t>
  </si>
  <si>
    <t>Households reporting being concerned about having any HH member engaging in risky activities due to economic needs, by frequency broken down by gender composition of household on the admin of overall</t>
  </si>
  <si>
    <t>Households reporting being concerned about being forced to flee, by frequency broken down by gender composition of household on the admin of overall</t>
  </si>
  <si>
    <t>Households reporting being concerned about violence in the community, not related to the conflict, by frequency broken down by gender composition of household on the admin of overall</t>
  </si>
  <si>
    <t>Households reporting being concerned about persecution/discrimination, by frequency broken down by gender composition of household on the admin of overall</t>
  </si>
  <si>
    <t>Households reporting being concerned about kidnapping/detention/abduction, by frequency broken down by gender composition of household on the admin of overall</t>
  </si>
  <si>
    <t>Households by reported safety and security concerns for WOMEN in the area, by concern broken down by gender composition of household on the admin of overall</t>
  </si>
  <si>
    <t>Percentage of female respondents reporting that at least one female member of their household felt unsafe walking in their community, by frequency broken down by gender composition of household on the admin of overall</t>
  </si>
  <si>
    <t>Percentage of households reporting areas/places that women and girls usually avoid, by type broken down by gender composition of household on the admin of overall</t>
  </si>
  <si>
    <t>Households by reported safety and security concerns for MEN in the area, by concern broken down by gender composition of household on the admin of overall</t>
  </si>
  <si>
    <t>Households by reported safety and security concerns for CHILDREN in the area, by concern broken down by gender composition of household on the admin of overall</t>
  </si>
  <si>
    <t>Housing/land/property (HLP) concerns of households, by concern broken down by gender composition of household on the admin of overall</t>
  </si>
  <si>
    <t>Households by presence of explosive ordnance present in community broken down by gender composition of household on the admin of overall</t>
  </si>
  <si>
    <t>Households reporting that explosive ordnances affect the livelihoods of people in the community broken down by gender composition of household on the admin of overall</t>
  </si>
  <si>
    <t>Households by frequency of training/awareness on safe behaviours towards Explosive Ordnances broken down by gender composition of household on the admin of overall</t>
  </si>
  <si>
    <t>Percentage of households by current shelter situation broken down by gender composition of household on the admin of overall</t>
  </si>
  <si>
    <t>Percentage of households by current shelter type  broken down by gender composition of household on the admin of overall</t>
  </si>
  <si>
    <t>Shelter size (squared meters) broken down by gender composition of household on the admin of overall</t>
  </si>
  <si>
    <t>Number of individuals sharing a shelter broken down by gender composition of household on the admin of overall</t>
  </si>
  <si>
    <t>Percentage of households by occupancy arrangement of current shelter broken down by gender composition of household on the admin of overall</t>
  </si>
  <si>
    <t>Percentage of households feeling at risk of eviction within the next 6 months broken down by gender composition of household on the admin of overall</t>
  </si>
  <si>
    <t>Percentage of households currently threatened with eviction broken down by gender composition of household on the admin of overall</t>
  </si>
  <si>
    <t>Percentage of households by current shelter issues that were NOT caused by the war, by issue broken down by gender composition of household on the admin of overall</t>
  </si>
  <si>
    <t>Percentage of households reporting damage to current shelter caused by the war since February 2022 broken down by gender composition of household on the admin of overall</t>
  </si>
  <si>
    <t>Percentage of households reporting that the damage to the current shelter caused by the war was REPAIRED broken down by gender composition of household on the admin of overall</t>
  </si>
  <si>
    <t>Percentage of households reporting that the damage to current shelter was not repaired, by reason  broken down by gender composition of household on the admin of overall</t>
  </si>
  <si>
    <t>Percentage of households reporting damage to current shelter caused by the war, by severity broken down by gender composition of household on the admin of overall</t>
  </si>
  <si>
    <t>Percentage of households reporting enough space/essential items so that the members of the households can cook broken down by gender composition of household on the admin of overall</t>
  </si>
  <si>
    <t>Percentage of households reporting enough space/essential items so that the members of the households can sleep broken down by gender composition of household on the admin of overall</t>
  </si>
  <si>
    <t>Percentage of households reporting enough space/essential items so that the members of the households can store food broken down by gender composition of household on the admin of overall</t>
  </si>
  <si>
    <t>Households by main heating source in 2024-2025 winter season broken down by gender composition of household on the admin of overall</t>
  </si>
  <si>
    <t>Households by main source of lighting broken down by gender composition of household on the admin of overall</t>
  </si>
  <si>
    <t>Households by issue faced with electricity broken down by gender composition of household on the admin of overall</t>
  </si>
  <si>
    <t>Households experiencing utility interruptions in the past three months, by utility type broken down by gender composition of household on the admin of overall</t>
  </si>
  <si>
    <t>Households by access to alternative source of power broken down by gender composition of household on the admin of overall</t>
  </si>
  <si>
    <t>Households with access to the internet in the past 4 weeks, by frequency broken down by gender composition of household on the admin of overall</t>
  </si>
  <si>
    <t>Households by main source of drinking water, by source broken down by gender composition of household on the admin of overall</t>
  </si>
  <si>
    <t>Households where main source of drinking water is off premises, by  time taken to fetch water from main source of drinking water in minutes broken down by gender composition of household on the admin of overall</t>
  </si>
  <si>
    <t>Households by acceptability of water in the past 4 weeks (prior to treatment) broken down by gender composition of household on the admin of overall</t>
  </si>
  <si>
    <t>Households who treat drinking water from the main source broken down by gender composition of household on the admin of overall</t>
  </si>
  <si>
    <t>Households by days without sufficient drinking water quantity in the past 4 weeks broken down by gender composition of household on the admin of overall</t>
  </si>
  <si>
    <t>Households by main source of water for domestic purposes broken down by gender composition of household on the admin of overall</t>
  </si>
  <si>
    <t>Households by days without sufficient water for domestic purposes quantity in the past 4 weeks broken down by gender composition of household on the admin of overall</t>
  </si>
  <si>
    <t>Percentage of households reporting enough space/essential items so that the members of the households can perform personal hygiene broken down by gender composition of household on the admin of overall</t>
  </si>
  <si>
    <t>Households by main handwashing facility broken down by gender composition of household on the admin of overall</t>
  </si>
  <si>
    <t>Households having access to soap for washing hands broken down by gender composition of household on the admin of overall</t>
  </si>
  <si>
    <t>Households by main toilet facility broken down by gender composition of household on the admin of overall</t>
  </si>
  <si>
    <t>Households sharing main toilet facility broken down by gender composition of household on the admin of overall</t>
  </si>
  <si>
    <t>Households sharing main toilet facility by number of households sharing that facility broken down by gender composition of household on the admin of overall</t>
  </si>
  <si>
    <t>Households facing issues with pumping off sewage/septic tank in the past 12 months, by issue broken down by gender composition of household on the admin of overall</t>
  </si>
  <si>
    <t>Percentage of households who had to go without washing hands after dirty activities in the past 4 weeks, by frequency broken down by gender composition of household on the admin of overall</t>
  </si>
  <si>
    <t>Percentage of households who worried about not having enough water to cover all needs in the past 4 weeks, by frequency broken down by gender composition of household on the admin of overall</t>
  </si>
  <si>
    <t>Percentage of households who had to change plans due to problems with water in the past 4 weeks, by frequency broken down by gender composition of household on the admin of overall</t>
  </si>
  <si>
    <t>Reduced Coping Strategies Index (rCSI) broken down by gender composition of household on the admin of overall</t>
  </si>
  <si>
    <t>Food Consumption Score broken down by gender composition of household on the admin of overall</t>
  </si>
  <si>
    <t>Households adopting Consumption-based Coping Strategies, by strategy by gender composition of household</t>
  </si>
  <si>
    <t>Households reporting most significant challenges their household currently faces broken down by gender composition of household on the admin of overall</t>
  </si>
  <si>
    <t>Households reporting challenges, by type of support they would like to receive broken down by gender composition of household on the admin of overall</t>
  </si>
  <si>
    <t>Households reporting challenges, by modality of assistance they would like to receive broken down by gender composition of household on the admin of overall</t>
  </si>
  <si>
    <t>Households by last time aid was received broken down by gender composition of household on the admin of overall</t>
  </si>
  <si>
    <t>Households reporting barriers in accessing to aid in the past 12 months, by barrier broken down by gender composition of household on the admin of overall</t>
  </si>
  <si>
    <t>Households who received aid, by aid satisfaction in the past 12 months broken down by gender composition of household on the admin of overall</t>
  </si>
  <si>
    <t>Households dissatisfied with aid received, by reason broken down by gender composition of household on the admin of overall</t>
  </si>
  <si>
    <t>Percentage of households reporting reliable information channels to get information about aid, by channel broken down by gender composition of household on the admin of overall</t>
  </si>
  <si>
    <t>Percentage of households utilizing complaint and feedback channels, by type broken down by gender composition of household on the admin of overall</t>
  </si>
  <si>
    <t>Percentage of households receiving a response through complaint and feedback channels broken down by gender composition of household on the admin of overall</t>
  </si>
  <si>
    <t>Percentage of household who have experienced cuts in  government assistance in the past 6 months broken down by gender composition of household on the admin of overall</t>
  </si>
  <si>
    <t>Percentage of households unable to obtain needed legal assistance, by type of assistance broken down by gender composition of household on the admin of overall</t>
  </si>
  <si>
    <t>Percentage of households unable to obtain needed social and administrative services, by type of services broken down by gender composition of household on the admin of overall</t>
  </si>
  <si>
    <t>Percentage of households reporting services for women/girls are needed but not available in the area, by type of services broken down by gender composition of household on the admin of overall</t>
  </si>
  <si>
    <t>Percentage of household reporting services for children are needed but not available in the area, by type of service broken down by gender composition of household on the admin of overall</t>
  </si>
  <si>
    <t>Percentage of households whose ability to work/access resources was affected by threats in the past 3 months broken down by gender composition of household on the admin of overall</t>
  </si>
  <si>
    <t>Percentage of households whose social interactions/participation were limited by threats in the past 3 months broken down by gender composition of household on the admin of overall</t>
  </si>
  <si>
    <t>Percentage of households whose movement/access to public spaces changed due to threats in the past 3 months broken down by gender composition of household on the admin of overall</t>
  </si>
  <si>
    <t>Percentage of households with children (&lt;18 y.o.) currently not living in the household broken down by gender composition of household on the admin of overall</t>
  </si>
  <si>
    <t>Percentage of households with children (&lt;18 y.o.) currently not living in the household, by reasons broken down by gender composition of household on the admin of overall</t>
  </si>
  <si>
    <t>Percentage of households who were evacuated in the past 6 months broken down by gender composition of household on the admin of overall</t>
  </si>
  <si>
    <t>Percentage of returnee households by reasons for return to their habitual place of residence broken down by gender composition of household on the admin of overall</t>
  </si>
  <si>
    <t>Households by gender composition on the admin of overall</t>
  </si>
  <si>
    <r>
      <t xml:space="preserve">This REACH product presents </t>
    </r>
    <r>
      <rPr>
        <b/>
        <sz val="11"/>
        <color rgb="FF000000"/>
        <rFont val="Arial Narrow"/>
        <family val="2"/>
      </rPr>
      <t>frequency tables of 2025 MSNA indicators at the national level.</t>
    </r>
    <r>
      <rPr>
        <sz val="11"/>
        <color rgb="FF000000"/>
        <rFont val="Arial Narrow"/>
        <family val="2"/>
      </rPr>
      <t xml:space="preserve"> The frequency tables are grouped by </t>
    </r>
    <r>
      <rPr>
        <b/>
        <sz val="11"/>
        <color rgb="FF000000"/>
        <rFont val="Arial Narrow"/>
        <family val="2"/>
      </rPr>
      <t xml:space="preserve">Sector and Indicator, </t>
    </r>
    <r>
      <rPr>
        <sz val="11"/>
        <color rgb="FF000000"/>
        <rFont val="Arial Narrow"/>
        <family val="2"/>
      </rPr>
      <t xml:space="preserve">and can be navigated using the relevant link in the "Table of Content" tab. Frequency tables include the following demographic and geographic disaggregations:
</t>
    </r>
    <r>
      <rPr>
        <b/>
        <sz val="11"/>
        <color rgb="FF000000"/>
        <rFont val="Arial Narrow"/>
        <family val="2"/>
      </rPr>
      <t xml:space="preserve">
By age of household members:</t>
    </r>
    <r>
      <rPr>
        <sz val="11"/>
        <color rgb="FF000000"/>
        <rFont val="Arial Narrow"/>
        <family val="2"/>
      </rPr>
      <t xml:space="preserve"> &lt;6 y.o. household members; 6–17 years old HH members, 18–29 years old HH members, 30–49 years old HH members, 50–64 years old HH members, 65+ years old HH members
</t>
    </r>
    <r>
      <rPr>
        <b/>
        <sz val="11"/>
        <color rgb="FF000000"/>
        <rFont val="Arial Narrow"/>
        <family val="2"/>
      </rPr>
      <t xml:space="preserve">
By gender of household members</t>
    </r>
    <r>
      <rPr>
        <sz val="11"/>
        <color rgb="FF000000"/>
        <rFont val="Arial Narrow"/>
        <family val="2"/>
      </rPr>
      <t xml:space="preserve">: Men, Women, Other (non-defined)
</t>
    </r>
    <r>
      <rPr>
        <b/>
        <sz val="11"/>
        <color rgb="FF000000"/>
        <rFont val="Arial Narrow"/>
        <family val="2"/>
      </rPr>
      <t xml:space="preserve">
By HHs with at least one member with a reported or registered disability:</t>
    </r>
    <r>
      <rPr>
        <sz val="11"/>
        <color rgb="FF000000"/>
        <rFont val="Arial Narrow"/>
        <family val="2"/>
      </rPr>
      <t xml:space="preserve"> HHs with at least one member with a reported and/or registered disability, HHs without members with a reported and/or registered disability
</t>
    </r>
    <r>
      <rPr>
        <b/>
        <sz val="11"/>
        <color rgb="FF000000"/>
        <rFont val="Arial Narrow"/>
        <family val="2"/>
      </rPr>
      <t xml:space="preserve">
By rural/urban:</t>
    </r>
    <r>
      <rPr>
        <sz val="11"/>
        <color rgb="FF000000"/>
        <rFont val="Arial Narrow"/>
        <family val="2"/>
      </rPr>
      <t xml:space="preserve"> Rural HHs, Urban HHs
</t>
    </r>
    <r>
      <rPr>
        <b/>
        <sz val="11"/>
        <color rgb="FF000000"/>
        <rFont val="Arial Narrow"/>
        <family val="2"/>
      </rPr>
      <t xml:space="preserve">
By household size:</t>
    </r>
    <r>
      <rPr>
        <sz val="11"/>
        <color rgb="FF000000"/>
        <rFont val="Arial Narrow"/>
        <family val="2"/>
      </rPr>
      <t xml:space="preserve"> Single-member HHs, HHs with 2–4 members, HHs with 5+ members
</t>
    </r>
    <r>
      <rPr>
        <b/>
        <sz val="11"/>
        <color rgb="FF000000"/>
        <rFont val="Arial Narrow"/>
        <family val="2"/>
      </rPr>
      <t xml:space="preserve">
By HH income per capita:</t>
    </r>
    <r>
      <rPr>
        <sz val="11"/>
        <color rgb="FF000000"/>
        <rFont val="Arial Narrow"/>
        <family val="2"/>
      </rPr>
      <t xml:space="preserve"> HHs with 0–4750 UAH income per capita, HHs with 4750–7667 UAH income per capita, HHs with 7667–13000 UAH income per capita, HHs with 13000+ UAH income per capita
</t>
    </r>
    <r>
      <rPr>
        <b/>
        <sz val="11"/>
        <color rgb="FF000000"/>
        <rFont val="Arial Narrow"/>
        <family val="2"/>
      </rPr>
      <t xml:space="preserve">
By gender of head of household: </t>
    </r>
    <r>
      <rPr>
        <sz val="11"/>
        <color rgb="FF000000"/>
        <rFont val="Arial Narrow"/>
        <family val="2"/>
      </rPr>
      <t xml:space="preserve">Single female-headed HHs, Single male-headed HHs, Joint-headed HHs
</t>
    </r>
    <r>
      <rPr>
        <b/>
        <sz val="11"/>
        <color rgb="FF000000"/>
        <rFont val="Arial Narrow"/>
        <family val="2"/>
      </rPr>
      <t xml:space="preserve">
By age of adults in the household: </t>
    </r>
    <r>
      <rPr>
        <sz val="11"/>
        <color rgb="FF000000"/>
        <rFont val="Arial Narrow"/>
        <family val="2"/>
      </rPr>
      <t xml:space="preserve">Elderly HHs (all adults aged 60+ y.o.), Mixed HHs (including adults both older and younger than 60 y.o.), Non-elderly HHs (all adults under 60 y.o.)
</t>
    </r>
    <r>
      <rPr>
        <b/>
        <sz val="11"/>
        <color rgb="FF000000"/>
        <rFont val="Arial Narrow"/>
        <family val="2"/>
      </rPr>
      <t xml:space="preserve">
By displacement status: </t>
    </r>
    <r>
      <rPr>
        <sz val="11"/>
        <color rgb="FF000000"/>
        <rFont val="Arial Narrow"/>
        <family val="2"/>
      </rPr>
      <t xml:space="preserve">Non-displaced HHs, HHs displaced within settlement, IDP HHs, Returnee HHs, Other (cannot be classified)
</t>
    </r>
    <r>
      <rPr>
        <b/>
        <sz val="11"/>
        <color rgb="FF000000"/>
        <rFont val="Arial Narrow"/>
        <family val="2"/>
      </rPr>
      <t xml:space="preserve">
By IDP household status: </t>
    </r>
    <r>
      <rPr>
        <sz val="11"/>
        <color rgb="FF000000"/>
        <rFont val="Arial Narrow"/>
        <family val="2"/>
      </rPr>
      <t xml:space="preserve">IDP HHs, Non-IDP HHs </t>
    </r>
    <r>
      <rPr>
        <u/>
        <sz val="11"/>
        <color rgb="FF000000"/>
        <rFont val="Arial Narrow"/>
        <family val="2"/>
      </rPr>
      <t xml:space="preserve">*Please note that because the MSNA is a household survey, displacement status was asked at the head of household level. If there were two heads of households, the enumerators asked about the experience of the head of household with displacement. If both heads of households had displacement experiences and these experiences were different, the enumerator asked about the head of household's displacement which most impacted the household being surveyed.
</t>
    </r>
    <r>
      <rPr>
        <b/>
        <sz val="11"/>
        <color rgb="FF000000"/>
        <rFont val="Arial Narrow"/>
        <family val="2"/>
      </rPr>
      <t xml:space="preserve">
By proximity to frontline/border with Russian Federation: </t>
    </r>
    <r>
      <rPr>
        <sz val="11"/>
        <color rgb="FF000000"/>
        <rFont val="Arial Narrow"/>
        <family val="2"/>
      </rPr>
      <t>HHs within 0–20 km from the frontline/Russian border; HHs within 21–50 km from frontline/Russian border; HHs further than 51 km from frontline/Russian border;</t>
    </r>
    <r>
      <rPr>
        <u/>
        <sz val="11"/>
        <color rgb="FF000000"/>
        <rFont val="Arial Narrow"/>
        <family val="2"/>
      </rPr>
      <t xml:space="preserve">*The disaggregation by proximity to the frontline categorises households based on the location of hromadas and distance from the frontline/Russian border. This categorization aligns with the units of analysis defined by OCHA for the 2026 HNRP, using the frontline as of 2 July 2025. 
</t>
    </r>
    <r>
      <rPr>
        <b/>
        <sz val="11"/>
        <color rgb="FF000000"/>
        <rFont val="Arial Narrow"/>
        <family val="2"/>
      </rPr>
      <t xml:space="preserve">
By age of school-aged children:</t>
    </r>
    <r>
      <rPr>
        <sz val="11"/>
        <color rgb="FF000000"/>
        <rFont val="Arial Narrow"/>
        <family val="2"/>
      </rPr>
      <t xml:space="preserve"> 3–5 years old, 6–9 years old, 10–14 years old, 15–17 years old
</t>
    </r>
    <r>
      <rPr>
        <b/>
        <sz val="11"/>
        <color rgb="FF000000"/>
        <rFont val="Arial Narrow"/>
        <family val="2"/>
      </rPr>
      <t xml:space="preserve">
By presence of children</t>
    </r>
    <r>
      <rPr>
        <sz val="11"/>
        <color rgb="FF000000"/>
        <rFont val="Arial Narrow"/>
        <family val="2"/>
      </rPr>
      <t xml:space="preserve">: HHs with children (&lt;18 y.o.), HHs without children
</t>
    </r>
    <r>
      <rPr>
        <b/>
        <sz val="11"/>
        <color rgb="FF000000"/>
        <rFont val="Arial Narrow"/>
        <family val="2"/>
      </rPr>
      <t xml:space="preserve">
By caregiving status</t>
    </r>
    <r>
      <rPr>
        <sz val="11"/>
        <color rgb="FF000000"/>
        <rFont val="Arial Narrow"/>
        <family val="2"/>
      </rPr>
      <t xml:space="preserve">: Single female caregiver HHs, Single male caregiver HHs, Joint caregivers HHs, Non-caregiver HHs (no children)
</t>
    </r>
    <r>
      <rPr>
        <b/>
        <sz val="11"/>
        <color rgb="FF000000"/>
        <rFont val="Arial Narrow"/>
        <family val="2"/>
      </rPr>
      <t xml:space="preserve">
By age of household members (employment age)</t>
    </r>
    <r>
      <rPr>
        <sz val="11"/>
        <color rgb="FF000000"/>
        <rFont val="Arial Narrow"/>
        <family val="2"/>
      </rPr>
      <t xml:space="preserve">: 16-17 y.o., 18–29 y.o., 30–44 y.o., 45–59 y.o., 60+ y.o.
</t>
    </r>
    <r>
      <rPr>
        <b/>
        <sz val="11"/>
        <color rgb="FF000000"/>
        <rFont val="Arial Narrow"/>
        <family val="2"/>
      </rPr>
      <t xml:space="preserve">
By gender of respondent:</t>
    </r>
    <r>
      <rPr>
        <sz val="11"/>
        <color rgb="FF000000"/>
        <rFont val="Arial Narrow"/>
        <family val="2"/>
      </rPr>
      <t xml:space="preserve"> Men-respondents, Women-respondents, Other respondents
</t>
    </r>
    <r>
      <rPr>
        <b/>
        <sz val="11"/>
        <color rgb="FF000000"/>
        <rFont val="Arial Narrow"/>
        <family val="2"/>
      </rPr>
      <t xml:space="preserve">
By age of respondents:</t>
    </r>
    <r>
      <rPr>
        <sz val="11"/>
        <color rgb="FF000000"/>
        <rFont val="Arial Narrow"/>
        <family val="2"/>
      </rPr>
      <t xml:space="preserve"> 18–29 y.o. respondents, 30–44 y.o. respondents, 45–59 y.o. respondents, 60+ y.o. respondents
</t>
    </r>
    <r>
      <rPr>
        <b/>
        <sz val="11"/>
        <color rgb="FF000000"/>
        <rFont val="Arial Narrow"/>
        <family val="2"/>
      </rPr>
      <t xml:space="preserve">
By gender composition of household:</t>
    </r>
    <r>
      <rPr>
        <sz val="11"/>
        <color rgb="FF000000"/>
        <rFont val="Arial Narrow"/>
        <family val="2"/>
      </rPr>
      <t xml:space="preserve"> Female HHs (only women adults), Male HHs (only men adults), Mixed HHs (both men and women adult members)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</si>
</sst>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b/>
      <sz val="11"/>
      <color rgb="FFFFFFFF"/>
      <name val="Calibri"/>
      <family val="2"/>
      <scheme val="minor"/>
    </font>
    <font>
      <sz val="10"/>
      <color theme="1"/>
      <name val="Calibri"/>
      <family val="2"/>
      <scheme val="minor"/>
    </font>
    <font>
      <b/>
      <sz val="24"/>
      <color rgb="FF000000"/>
      <name val="Arial Narrow"/>
      <family val="2"/>
    </font>
    <font>
      <b/>
      <sz val="12"/>
      <color rgb="FFFFFFFF"/>
      <name val="Arial Narrow"/>
      <family val="2"/>
    </font>
    <font>
      <b/>
      <sz val="11"/>
      <color rgb="FF000000"/>
      <name val="Arial Narrow"/>
      <family val="2"/>
    </font>
    <font>
      <sz val="11"/>
      <color rgb="FF000000"/>
      <name val="Arial Narrow"/>
      <family val="2"/>
    </font>
    <font>
      <u/>
      <sz val="11"/>
      <color rgb="FF000000"/>
      <name val="Arial Narrow"/>
      <family val="2"/>
    </font>
    <font>
      <b/>
      <sz val="11"/>
      <color rgb="FFFFFFFF"/>
      <name val="Arial Narrow"/>
      <family val="2"/>
    </font>
    <font>
      <sz val="8"/>
      <color rgb="FF000000"/>
      <name val="Aptos"/>
      <family val="2"/>
    </font>
    <font>
      <sz val="11"/>
      <color rgb="FF000000"/>
      <name val="Aptos Narrow"/>
      <family val="2"/>
    </font>
    <font>
      <b/>
      <sz val="12"/>
      <color rgb="FFFFFFFF"/>
      <name val="Calibri"/>
      <family val="2"/>
      <scheme val="minor"/>
    </font>
    <font>
      <b/>
      <sz val="11"/>
      <color rgb="FF0000CC"/>
      <name val="Calibri"/>
      <family val="2"/>
      <scheme val="minor"/>
    </font>
    <font>
      <b/>
      <sz val="20"/>
      <color rgb="FF000000"/>
      <name val="Arial Narrow"/>
      <family val="2"/>
    </font>
    <font>
      <b/>
      <u/>
      <sz val="14"/>
      <color rgb="FF000000"/>
      <name val="Arial Narrow"/>
      <family val="2"/>
    </font>
    <font>
      <b/>
      <sz val="11"/>
      <color rgb="FF000000"/>
      <name val="Calibri"/>
      <family val="2"/>
      <scheme val="minor"/>
    </font>
    <font>
      <b/>
      <sz val="14"/>
      <color rgb="FF000000"/>
      <name val="Calibri"/>
      <family val="2"/>
      <scheme val="minor"/>
    </font>
    <font>
      <b/>
      <sz val="14"/>
      <color rgb="FFFF0000"/>
      <name val="Calibri"/>
      <family val="2"/>
      <scheme val="minor"/>
    </font>
    <font>
      <b/>
      <sz val="14"/>
      <name val="Calibri"/>
      <family val="2"/>
      <scheme val="minor"/>
    </font>
    <font>
      <u/>
      <sz val="12"/>
      <color rgb="FF000000"/>
      <name val="Calibri"/>
      <family val="2"/>
      <scheme val="minor"/>
    </font>
    <font>
      <sz val="12"/>
      <color rgb="FF000000"/>
      <name val="Calibri"/>
      <family val="2"/>
      <scheme val="minor"/>
    </font>
    <font>
      <b/>
      <sz val="11"/>
      <color theme="1"/>
      <name val="Calibri"/>
      <family val="2"/>
      <scheme val="minor"/>
    </font>
    <font>
      <b/>
      <sz val="12"/>
      <color rgb="FF000000"/>
      <name val="Arial Narrow"/>
      <family val="2"/>
    </font>
  </fonts>
  <fills count="10">
    <fill>
      <patternFill patternType="none"/>
    </fill>
    <fill>
      <patternFill patternType="gray125"/>
    </fill>
    <fill>
      <patternFill patternType="solid">
        <fgColor rgb="FFFF5B5B"/>
        <bgColor indexed="64"/>
      </patternFill>
    </fill>
    <fill>
      <patternFill patternType="solid">
        <fgColor rgb="FFFFC7CE"/>
        <bgColor indexed="64"/>
      </patternFill>
    </fill>
    <fill>
      <patternFill patternType="solid">
        <fgColor rgb="FFEE5859"/>
        <bgColor rgb="FF000000"/>
      </patternFill>
    </fill>
    <fill>
      <patternFill patternType="solid">
        <fgColor rgb="FFD9D9D9"/>
        <bgColor rgb="FF000000"/>
      </patternFill>
    </fill>
    <fill>
      <patternFill patternType="solid">
        <fgColor rgb="FFFFFFFF"/>
        <bgColor rgb="FF000000"/>
      </patternFill>
    </fill>
    <fill>
      <patternFill patternType="solid">
        <fgColor theme="0"/>
        <bgColor indexed="64"/>
      </patternFill>
    </fill>
    <fill>
      <patternFill patternType="solid">
        <fgColor rgb="FFEE5859"/>
        <bgColor rgb="FFD63F40"/>
      </patternFill>
    </fill>
    <fill>
      <patternFill patternType="solid">
        <fgColor theme="0"/>
        <bgColor rgb="FF000000"/>
      </patternFill>
    </fill>
  </fills>
  <borders count="23">
    <border>
      <left/>
      <right/>
      <top/>
      <bottom/>
      <diagonal/>
    </border>
    <border>
      <left style="thin">
        <color auto="1"/>
      </left>
      <right/>
      <top style="thin">
        <color auto="1"/>
      </top>
      <bottom/>
      <diagonal/>
    </border>
    <border>
      <left/>
      <right style="thin">
        <color rgb="FF000000"/>
      </right>
      <top style="thin">
        <color indexed="64"/>
      </top>
      <bottom/>
      <diagonal/>
    </border>
    <border>
      <left style="medium">
        <color rgb="FF000000"/>
      </left>
      <right style="medium">
        <color indexed="64"/>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right style="medium">
        <color rgb="FF000000"/>
      </right>
      <top style="medium">
        <color indexed="64"/>
      </top>
      <bottom style="medium">
        <color indexed="64"/>
      </bottom>
      <diagonal/>
    </border>
    <border>
      <left/>
      <right style="medium">
        <color rgb="FF000000"/>
      </right>
      <top/>
      <bottom style="medium">
        <color indexed="64"/>
      </bottom>
      <diagonal/>
    </border>
    <border>
      <left style="medium">
        <color rgb="FF000000"/>
      </left>
      <right style="medium">
        <color indexed="64"/>
      </right>
      <top/>
      <bottom/>
      <diagonal/>
    </border>
    <border>
      <left/>
      <right style="medium">
        <color rgb="FF000000"/>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rgb="FF000000"/>
      </left>
      <right style="medium">
        <color indexed="64"/>
      </right>
      <top style="medium">
        <color indexed="64"/>
      </top>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
      <left style="medium">
        <color rgb="FF000000"/>
      </left>
      <right style="medium">
        <color indexed="64"/>
      </right>
      <top/>
      <bottom style="medium">
        <color rgb="FF000000"/>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rgb="FF000000"/>
      </top>
      <bottom/>
      <diagonal/>
    </border>
  </borders>
  <cellStyleXfs count="1">
    <xf numFmtId="0" fontId="0" fillId="0" borderId="0"/>
  </cellStyleXfs>
  <cellXfs count="50">
    <xf numFmtId="0" fontId="0" fillId="0" borderId="0" xfId="0"/>
    <xf numFmtId="0" fontId="1" fillId="2" borderId="0" xfId="0" applyFont="1" applyFill="1" applyAlignment="1">
      <alignment horizontal="left" vertical="center"/>
    </xf>
    <xf numFmtId="10" fontId="0" fillId="0" borderId="0" xfId="0" applyNumberFormat="1"/>
    <xf numFmtId="0" fontId="2" fillId="3" borderId="0" xfId="0" applyFont="1" applyFill="1" applyAlignment="1">
      <alignment horizontal="left"/>
    </xf>
    <xf numFmtId="10" fontId="2" fillId="3" borderId="0" xfId="0" applyNumberFormat="1" applyFont="1" applyFill="1" applyAlignment="1">
      <alignment horizontal="right"/>
    </xf>
    <xf numFmtId="0" fontId="2" fillId="3" borderId="0" xfId="0" applyFont="1" applyFill="1" applyAlignment="1">
      <alignment horizontal="right"/>
    </xf>
    <xf numFmtId="1" fontId="0" fillId="0" borderId="0" xfId="0" applyNumberFormat="1"/>
    <xf numFmtId="0" fontId="4" fillId="4" borderId="3" xfId="0" applyFont="1" applyFill="1" applyBorder="1" applyAlignment="1">
      <alignment wrapText="1"/>
    </xf>
    <xf numFmtId="0" fontId="4" fillId="4" borderId="4" xfId="0" applyFont="1" applyFill="1" applyBorder="1" applyAlignment="1">
      <alignment wrapText="1"/>
    </xf>
    <xf numFmtId="0" fontId="6" fillId="5" borderId="6" xfId="0" applyFont="1" applyFill="1" applyBorder="1" applyAlignment="1">
      <alignment horizontal="left" vertical="center" wrapText="1"/>
    </xf>
    <xf numFmtId="0" fontId="6" fillId="0" borderId="9" xfId="0" applyFont="1" applyBorder="1" applyAlignment="1">
      <alignment vertical="center" wrapText="1"/>
    </xf>
    <xf numFmtId="0" fontId="6" fillId="0" borderId="0" xfId="0" applyFont="1" applyAlignment="1">
      <alignment wrapText="1"/>
    </xf>
    <xf numFmtId="0" fontId="9" fillId="0" borderId="0" xfId="0" applyFont="1"/>
    <xf numFmtId="0" fontId="10" fillId="0" borderId="0" xfId="0" applyFont="1"/>
    <xf numFmtId="0" fontId="0" fillId="7" borderId="0" xfId="0" applyFill="1"/>
    <xf numFmtId="0" fontId="11" fillId="8" borderId="22" xfId="0" applyFont="1" applyFill="1" applyBorder="1" applyAlignment="1">
      <alignment horizontal="center" vertical="center" wrapText="1"/>
    </xf>
    <xf numFmtId="0" fontId="12" fillId="0" borderId="0" xfId="0" applyFont="1"/>
    <xf numFmtId="0" fontId="14" fillId="6" borderId="0" xfId="0" applyFont="1" applyFill="1" applyAlignment="1">
      <alignment horizontal="left" vertical="center"/>
    </xf>
    <xf numFmtId="0" fontId="15" fillId="6" borderId="0" xfId="0" applyFont="1" applyFill="1"/>
    <xf numFmtId="0" fontId="16" fillId="6" borderId="0" xfId="0" applyFont="1" applyFill="1" applyAlignment="1">
      <alignment horizontal="left"/>
    </xf>
    <xf numFmtId="0" fontId="19" fillId="6" borderId="0" xfId="0" applyFont="1" applyFill="1" applyAlignment="1">
      <alignment horizontal="left" vertical="top"/>
    </xf>
    <xf numFmtId="0" fontId="16" fillId="6" borderId="0" xfId="0" applyFont="1" applyFill="1"/>
    <xf numFmtId="0" fontId="19" fillId="6" borderId="0" xfId="0" applyFont="1" applyFill="1" applyAlignment="1">
      <alignment vertical="top"/>
    </xf>
    <xf numFmtId="0" fontId="13" fillId="6" borderId="0" xfId="0" applyFont="1" applyFill="1" applyAlignment="1">
      <alignment horizontal="center" vertical="center"/>
    </xf>
    <xf numFmtId="0" fontId="6" fillId="0" borderId="7" xfId="0" applyFont="1" applyBorder="1" applyAlignment="1">
      <alignment vertical="center" wrapText="1"/>
    </xf>
    <xf numFmtId="0" fontId="6" fillId="5" borderId="7" xfId="0" applyFont="1" applyFill="1" applyBorder="1" applyAlignment="1">
      <alignment vertical="center" wrapText="1"/>
    </xf>
    <xf numFmtId="0" fontId="22" fillId="5" borderId="5" xfId="0" applyFont="1" applyFill="1" applyBorder="1" applyAlignment="1">
      <alignment horizontal="center" vertical="center" wrapText="1"/>
    </xf>
    <xf numFmtId="0" fontId="22" fillId="0" borderId="5" xfId="0" applyFont="1" applyBorder="1" applyAlignment="1">
      <alignment horizontal="center" vertical="center" wrapText="1"/>
    </xf>
    <xf numFmtId="0" fontId="22" fillId="0" borderId="8" xfId="0" applyFont="1" applyBorder="1" applyAlignment="1">
      <alignment horizontal="center" vertical="center" wrapText="1"/>
    </xf>
    <xf numFmtId="0" fontId="6" fillId="6" borderId="11" xfId="0" applyFont="1" applyFill="1" applyBorder="1" applyAlignment="1">
      <alignment vertical="center" wrapText="1"/>
    </xf>
    <xf numFmtId="0" fontId="6" fillId="6" borderId="13" xfId="0" applyFont="1" applyFill="1" applyBorder="1" applyAlignment="1">
      <alignment vertical="center" wrapText="1"/>
    </xf>
    <xf numFmtId="0" fontId="6" fillId="6" borderId="15" xfId="0" applyFont="1" applyFill="1" applyBorder="1" applyAlignment="1">
      <alignment vertical="center" wrapText="1"/>
    </xf>
    <xf numFmtId="0" fontId="8" fillId="4" borderId="20" xfId="0" applyFont="1" applyFill="1" applyBorder="1" applyAlignment="1">
      <alignment vertical="center" wrapText="1"/>
    </xf>
    <xf numFmtId="0" fontId="8" fillId="4" borderId="21" xfId="0" applyFont="1" applyFill="1" applyBorder="1" applyAlignment="1">
      <alignment vertical="center" wrapText="1"/>
    </xf>
    <xf numFmtId="0" fontId="6" fillId="9" borderId="14" xfId="0" applyFont="1" applyFill="1" applyBorder="1" applyAlignment="1">
      <alignment horizontal="left" vertical="center" wrapText="1"/>
    </xf>
    <xf numFmtId="0" fontId="6" fillId="9" borderId="15" xfId="0" applyFont="1" applyFill="1" applyBorder="1" applyAlignment="1">
      <alignment horizontal="left" vertical="center" wrapText="1"/>
    </xf>
    <xf numFmtId="0" fontId="21" fillId="0" borderId="0" xfId="0" applyFont="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22" fillId="5" borderId="16" xfId="0" applyFont="1" applyFill="1" applyBorder="1" applyAlignment="1">
      <alignment horizontal="center" vertical="center" wrapText="1"/>
    </xf>
    <xf numFmtId="0" fontId="22" fillId="5" borderId="8" xfId="0" applyFont="1" applyFill="1" applyBorder="1" applyAlignment="1">
      <alignment horizontal="center" vertical="center" wrapText="1"/>
    </xf>
    <xf numFmtId="0" fontId="22" fillId="5" borderId="19" xfId="0" applyFont="1" applyFill="1" applyBorder="1" applyAlignment="1">
      <alignment horizontal="center" vertical="center" wrapText="1"/>
    </xf>
    <xf numFmtId="0" fontId="6" fillId="5" borderId="17" xfId="0" applyFont="1" applyFill="1" applyBorder="1" applyAlignment="1">
      <alignment vertical="center" wrapText="1"/>
    </xf>
    <xf numFmtId="0" fontId="6" fillId="5" borderId="18" xfId="0" applyFont="1" applyFill="1" applyBorder="1" applyAlignment="1">
      <alignment vertical="center" wrapText="1"/>
    </xf>
    <xf numFmtId="0" fontId="22" fillId="6" borderId="10" xfId="0" applyFont="1" applyFill="1" applyBorder="1" applyAlignment="1">
      <alignment horizontal="center" vertical="center" wrapText="1"/>
    </xf>
    <xf numFmtId="0" fontId="22" fillId="6" borderId="12" xfId="0" applyFont="1" applyFill="1" applyBorder="1" applyAlignment="1">
      <alignment horizontal="center" vertical="center" wrapText="1"/>
    </xf>
    <xf numFmtId="0" fontId="22" fillId="6" borderId="14" xfId="0" applyFont="1" applyFill="1" applyBorder="1" applyAlignment="1">
      <alignment horizontal="center" vertical="center" wrapText="1"/>
    </xf>
    <xf numFmtId="0" fontId="13" fillId="6" borderId="0" xfId="0" applyFont="1" applyFill="1" applyAlignment="1">
      <alignment horizontal="center" vertical="center"/>
    </xf>
    <xf numFmtId="0" fontId="16" fillId="6" borderId="0" xfId="0" applyFont="1" applyFill="1" applyAlignment="1">
      <alignment horizontal="center"/>
    </xf>
    <xf numFmtId="0" fontId="19" fillId="6" borderId="0" xfId="0" applyFont="1" applyFill="1" applyAlignment="1">
      <alignment horizontal="center" vertical="top"/>
    </xf>
  </cellXfs>
  <cellStyles count="1">
    <cellStyle name="Normal" xfId="0" builtinId="0"/>
  </cellStyles>
  <dxfs count="3">
    <dxf>
      <font>
        <b/>
        <i val="0"/>
        <strike val="0"/>
        <condense val="0"/>
        <extend val="0"/>
        <outline val="0"/>
        <shadow val="0"/>
        <u val="none"/>
        <vertAlign val="baseline"/>
        <sz val="11"/>
        <color rgb="FF0000CC"/>
        <name val="Calibri"/>
        <family val="2"/>
        <scheme val="minor"/>
      </font>
    </dxf>
    <dxf>
      <font>
        <b/>
      </font>
      <alignment horizontal="center" vertical="center" textRotation="0" wrapText="0" indent="0" justifyLastLine="0" shrinkToFit="0" readingOrder="0"/>
    </dxf>
    <dxf>
      <font>
        <b/>
        <i val="0"/>
        <strike val="0"/>
        <condense val="0"/>
        <extend val="0"/>
        <outline val="0"/>
        <shadow val="0"/>
        <u val="none"/>
        <vertAlign val="baseline"/>
        <sz val="12"/>
        <color rgb="FFFFFFFF"/>
        <name val="Calibri"/>
        <family val="2"/>
        <scheme val="minor"/>
      </font>
      <fill>
        <patternFill patternType="solid">
          <fgColor rgb="FFD63F40"/>
          <bgColor rgb="FFEE5859"/>
        </patternFill>
      </fill>
      <alignment horizontal="center" vertical="center" textRotation="0" wrapText="1" indent="0" justifyLastLine="0" shrinkToFit="0" readingOrder="0"/>
    </dxf>
  </dxfs>
  <tableStyles count="0" defaultTableStyle="TableStyleMedium9"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124014</xdr:colOff>
      <xdr:row>28</xdr:row>
      <xdr:rowOff>23519</xdr:rowOff>
    </xdr:from>
    <xdr:to>
      <xdr:col>0</xdr:col>
      <xdr:colOff>1349688</xdr:colOff>
      <xdr:row>34</xdr:row>
      <xdr:rowOff>46278</xdr:rowOff>
    </xdr:to>
    <xdr:pic>
      <xdr:nvPicPr>
        <xdr:cNvPr id="2" name="Picture 1">
          <a:extLst>
            <a:ext uri="{FF2B5EF4-FFF2-40B4-BE49-F238E27FC236}">
              <a16:creationId xmlns:a16="http://schemas.microsoft.com/office/drawing/2014/main" id="{CC7BE195-564B-46E6-936A-694D05A0C7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014" y="21915779"/>
          <a:ext cx="1225674" cy="1126389"/>
        </a:xfrm>
        <a:prstGeom prst="rect">
          <a:avLst/>
        </a:prstGeom>
      </xdr:spPr>
    </xdr:pic>
    <xdr:clientData/>
  </xdr:twoCellAnchor>
  <xdr:twoCellAnchor editAs="oneCell">
    <xdr:from>
      <xdr:col>0</xdr:col>
      <xdr:colOff>1582685</xdr:colOff>
      <xdr:row>28</xdr:row>
      <xdr:rowOff>23519</xdr:rowOff>
    </xdr:from>
    <xdr:to>
      <xdr:col>1</xdr:col>
      <xdr:colOff>1235156</xdr:colOff>
      <xdr:row>34</xdr:row>
      <xdr:rowOff>12287</xdr:rowOff>
    </xdr:to>
    <xdr:pic>
      <xdr:nvPicPr>
        <xdr:cNvPr id="3" name="Picture 2">
          <a:extLst>
            <a:ext uri="{FF2B5EF4-FFF2-40B4-BE49-F238E27FC236}">
              <a16:creationId xmlns:a16="http://schemas.microsoft.com/office/drawing/2014/main" id="{89773471-6130-4DED-B3EF-FFADD68E20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2685" y="21915779"/>
          <a:ext cx="2007051" cy="1086048"/>
        </a:xfrm>
        <a:prstGeom prst="rect">
          <a:avLst/>
        </a:prstGeom>
      </xdr:spPr>
    </xdr:pic>
    <xdr:clientData/>
  </xdr:twoCellAnchor>
  <xdr:twoCellAnchor editAs="oneCell">
    <xdr:from>
      <xdr:col>1</xdr:col>
      <xdr:colOff>1222963</xdr:colOff>
      <xdr:row>27</xdr:row>
      <xdr:rowOff>125433</xdr:rowOff>
    </xdr:from>
    <xdr:to>
      <xdr:col>1</xdr:col>
      <xdr:colOff>2648679</xdr:colOff>
      <xdr:row>34</xdr:row>
      <xdr:rowOff>39854</xdr:rowOff>
    </xdr:to>
    <xdr:pic>
      <xdr:nvPicPr>
        <xdr:cNvPr id="4" name="Picture 3">
          <a:extLst>
            <a:ext uri="{FF2B5EF4-FFF2-40B4-BE49-F238E27FC236}">
              <a16:creationId xmlns:a16="http://schemas.microsoft.com/office/drawing/2014/main" id="{6549C205-F2A1-4701-B16E-3FC0F821A78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577543" y="21834813"/>
          <a:ext cx="1425716" cy="1194581"/>
        </a:xfrm>
        <a:prstGeom prst="rect">
          <a:avLst/>
        </a:prstGeom>
      </xdr:spPr>
    </xdr:pic>
    <xdr:clientData/>
  </xdr:twoCellAnchor>
  <xdr:twoCellAnchor editAs="oneCell">
    <xdr:from>
      <xdr:col>1</xdr:col>
      <xdr:colOff>2626235</xdr:colOff>
      <xdr:row>27</xdr:row>
      <xdr:rowOff>54878</xdr:rowOff>
    </xdr:from>
    <xdr:to>
      <xdr:col>1</xdr:col>
      <xdr:colOff>3964817</xdr:colOff>
      <xdr:row>34</xdr:row>
      <xdr:rowOff>106404</xdr:rowOff>
    </xdr:to>
    <xdr:pic>
      <xdr:nvPicPr>
        <xdr:cNvPr id="5" name="Picture 4">
          <a:extLst>
            <a:ext uri="{FF2B5EF4-FFF2-40B4-BE49-F238E27FC236}">
              <a16:creationId xmlns:a16="http://schemas.microsoft.com/office/drawing/2014/main" id="{2CCD5721-7283-4879-8C8C-F2FCE4A06DC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980815" y="21764258"/>
          <a:ext cx="1338582" cy="1325336"/>
        </a:xfrm>
        <a:prstGeom prst="rect">
          <a:avLst/>
        </a:prstGeom>
      </xdr:spPr>
    </xdr:pic>
    <xdr:clientData/>
  </xdr:twoCellAnchor>
  <xdr:twoCellAnchor editAs="oneCell">
    <xdr:from>
      <xdr:col>1</xdr:col>
      <xdr:colOff>4123581</xdr:colOff>
      <xdr:row>27</xdr:row>
      <xdr:rowOff>164630</xdr:rowOff>
    </xdr:from>
    <xdr:to>
      <xdr:col>1</xdr:col>
      <xdr:colOff>8513216</xdr:colOff>
      <xdr:row>34</xdr:row>
      <xdr:rowOff>2776</xdr:rowOff>
    </xdr:to>
    <xdr:pic>
      <xdr:nvPicPr>
        <xdr:cNvPr id="6" name="Picture 5">
          <a:extLst>
            <a:ext uri="{FF2B5EF4-FFF2-40B4-BE49-F238E27FC236}">
              <a16:creationId xmlns:a16="http://schemas.microsoft.com/office/drawing/2014/main" id="{F735AAB6-7063-4A7A-880C-3F92F891A324}"/>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478161" y="21874010"/>
          <a:ext cx="4389635" cy="1118306"/>
        </a:xfrm>
        <a:prstGeom prst="rect">
          <a:avLst/>
        </a:prstGeom>
      </xdr:spPr>
    </xdr:pic>
    <xdr:clientData/>
  </xdr:twoCellAnchor>
  <xdr:twoCellAnchor editAs="absolute">
    <xdr:from>
      <xdr:col>3</xdr:col>
      <xdr:colOff>638922</xdr:colOff>
      <xdr:row>0</xdr:row>
      <xdr:rowOff>227480</xdr:rowOff>
    </xdr:from>
    <xdr:to>
      <xdr:col>8</xdr:col>
      <xdr:colOff>492335</xdr:colOff>
      <xdr:row>2</xdr:row>
      <xdr:rowOff>74439</xdr:rowOff>
    </xdr:to>
    <xdr:pic>
      <xdr:nvPicPr>
        <xdr:cNvPr id="7" name="Picture 6">
          <a:extLst>
            <a:ext uri="{FF2B5EF4-FFF2-40B4-BE49-F238E27FC236}">
              <a16:creationId xmlns:a16="http://schemas.microsoft.com/office/drawing/2014/main" id="{9106FFA6-AA72-429F-8786-038A746AC7E0}"/>
            </a:ext>
            <a:ext uri="{147F2762-F138-4A5C-976F-8EAC2B608ADB}">
              <a16:predDERef xmlns:a16="http://schemas.microsoft.com/office/drawing/2014/main" pred="{5A6F6355-4E26-4109-887F-BD6686B7B1C2}"/>
            </a:ext>
          </a:extLst>
        </xdr:cNvPr>
        <xdr:cNvPicPr preferRelativeResize="0">
          <a:picLocks noChangeAspect="1"/>
        </xdr:cNvPicPr>
      </xdr:nvPicPr>
      <xdr:blipFill>
        <a:blip xmlns:r="http://schemas.openxmlformats.org/officeDocument/2006/relationships" r:embed="rId6"/>
        <a:stretch>
          <a:fillRect/>
        </a:stretch>
      </xdr:blipFill>
      <xdr:spPr>
        <a:xfrm>
          <a:off x="14889592" y="227480"/>
          <a:ext cx="3822163" cy="8756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562610</xdr:colOff>
      <xdr:row>5</xdr:row>
      <xdr:rowOff>174081</xdr:rowOff>
    </xdr:from>
    <xdr:to>
      <xdr:col>2</xdr:col>
      <xdr:colOff>1781810</xdr:colOff>
      <xdr:row>19</xdr:row>
      <xdr:rowOff>84818</xdr:rowOff>
    </xdr:to>
    <mc:AlternateContent xmlns:mc="http://schemas.openxmlformats.org/markup-compatibility/2006" xmlns:sle15="http://schemas.microsoft.com/office/drawing/2012/slicer">
      <mc:Choice Requires="sle15">
        <xdr:graphicFrame macro="">
          <xdr:nvGraphicFramePr>
            <xdr:cNvPr id="2" name="Sector">
              <a:extLst>
                <a:ext uri="{FF2B5EF4-FFF2-40B4-BE49-F238E27FC236}">
                  <a16:creationId xmlns:a16="http://schemas.microsoft.com/office/drawing/2014/main" id="{DE76E56E-2ECC-3001-47C3-D7B78A645913}"/>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Sector"/>
            </a:graphicData>
          </a:graphic>
        </xdr:graphicFrame>
      </mc:Choice>
      <mc:Fallback xmlns="">
        <xdr:sp macro="" textlink="">
          <xdr:nvSpPr>
            <xdr:cNvPr id="0" name=""/>
            <xdr:cNvSpPr>
              <a:spLocks noTextEdit="1"/>
            </xdr:cNvSpPr>
          </xdr:nvSpPr>
          <xdr:spPr>
            <a:xfrm>
              <a:off x="1165860" y="1503045"/>
              <a:ext cx="1828800" cy="2440305"/>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2</xdr:col>
      <xdr:colOff>1761490</xdr:colOff>
      <xdr:row>5</xdr:row>
      <xdr:rowOff>174081</xdr:rowOff>
    </xdr:from>
    <xdr:to>
      <xdr:col>6</xdr:col>
      <xdr:colOff>382905</xdr:colOff>
      <xdr:row>19</xdr:row>
      <xdr:rowOff>84818</xdr:rowOff>
    </xdr:to>
    <mc:AlternateContent xmlns:mc="http://schemas.openxmlformats.org/markup-compatibility/2006" xmlns:sle15="http://schemas.microsoft.com/office/drawing/2012/slicer">
      <mc:Choice Requires="sle15">
        <xdr:graphicFrame macro="">
          <xdr:nvGraphicFramePr>
            <xdr:cNvPr id="3" name="Indicator">
              <a:extLst>
                <a:ext uri="{FF2B5EF4-FFF2-40B4-BE49-F238E27FC236}">
                  <a16:creationId xmlns:a16="http://schemas.microsoft.com/office/drawing/2014/main" id="{5EE9401C-D627-1F6A-1CC1-DFCEC1E89C12}"/>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Indicator"/>
            </a:graphicData>
          </a:graphic>
        </xdr:graphicFrame>
      </mc:Choice>
      <mc:Fallback xmlns="">
        <xdr:sp macro="" textlink="">
          <xdr:nvSpPr>
            <xdr:cNvPr id="0" name=""/>
            <xdr:cNvSpPr>
              <a:spLocks noTextEdit="1"/>
            </xdr:cNvSpPr>
          </xdr:nvSpPr>
          <xdr:spPr>
            <a:xfrm>
              <a:off x="2987040" y="1503045"/>
              <a:ext cx="8835390" cy="2440305"/>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6</xdr:col>
      <xdr:colOff>368932</xdr:colOff>
      <xdr:row>5</xdr:row>
      <xdr:rowOff>174081</xdr:rowOff>
    </xdr:from>
    <xdr:to>
      <xdr:col>6</xdr:col>
      <xdr:colOff>4972049</xdr:colOff>
      <xdr:row>19</xdr:row>
      <xdr:rowOff>84818</xdr:rowOff>
    </xdr:to>
    <mc:AlternateContent xmlns:mc="http://schemas.openxmlformats.org/markup-compatibility/2006" xmlns:sle15="http://schemas.microsoft.com/office/drawing/2012/slicer">
      <mc:Choice Requires="sle15">
        <xdr:graphicFrame macro="">
          <xdr:nvGraphicFramePr>
            <xdr:cNvPr id="4" name="Disaggregation">
              <a:extLst>
                <a:ext uri="{FF2B5EF4-FFF2-40B4-BE49-F238E27FC236}">
                  <a16:creationId xmlns:a16="http://schemas.microsoft.com/office/drawing/2014/main" id="{EE698C12-EB35-82AC-C315-D8CE0FD07BE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Disaggregation"/>
            </a:graphicData>
          </a:graphic>
        </xdr:graphicFrame>
      </mc:Choice>
      <mc:Fallback xmlns="">
        <xdr:sp macro="" textlink="">
          <xdr:nvSpPr>
            <xdr:cNvPr id="0" name=""/>
            <xdr:cNvSpPr>
              <a:spLocks noTextEdit="1"/>
            </xdr:cNvSpPr>
          </xdr:nvSpPr>
          <xdr:spPr>
            <a:xfrm>
              <a:off x="11814807" y="1503045"/>
              <a:ext cx="4730117" cy="2440305"/>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ctor" xr10:uid="{C18F0B7F-8EF1-4CF7-8145-E97101A6AB4F}" sourceName="Sector">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ndicator" xr10:uid="{19334BF9-07AD-496E-88B4-8AEED7CD9603}" sourceName="Indicator">
  <extLst>
    <x:ext xmlns:x15="http://schemas.microsoft.com/office/spreadsheetml/2010/11/main" uri="{2F2917AC-EB37-4324-AD4E-5DD8C200BD13}">
      <x15:tableSlicerCache tableId="1" column="2"/>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isaggregation" xr10:uid="{CF4761C5-8308-437C-B8C0-FDC93CA05C90}" sourceName="Disaggregation">
  <extLst>
    <x:ext xmlns:x15="http://schemas.microsoft.com/office/spreadsheetml/2010/11/main" uri="{2F2917AC-EB37-4324-AD4E-5DD8C200BD13}">
      <x15:tableSlicerCache tableId="1"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ctor" xr10:uid="{9002EE50-EC9C-4450-BC4B-738CF740C4CF}" cache="Slicer_Sector" caption="Sector" startItem="1" lockedPosition="1" rowHeight="234950"/>
  <slicer name="Indicator" xr10:uid="{BC78108C-AA9B-4FC5-A492-3883B1B35951}" cache="Slicer_Indicator" caption="Indicator" lockedPosition="1" rowHeight="234950"/>
  <slicer name="Disaggregation" xr10:uid="{B16B12A2-857F-4DBA-8BFA-9738BAC88B23}" cache="Slicer_Disaggregation" caption="Disaggregation" lockedPosition="1"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0A822B1-E916-405A-B6AF-85EF03316EE0}" name="Table1" displayName="Table1" ref="C24:G1759" totalsRowShown="0" headerRowDxfId="2">
  <autoFilter ref="C24:G1759" xr:uid="{B0A822B1-E916-405A-B6AF-85EF03316EE0}"/>
  <tableColumns count="5">
    <tableColumn id="1" xr3:uid="{437AF6A3-3653-4057-82DA-2429709CB59C}" name="Sector"/>
    <tableColumn id="2" xr3:uid="{F8343C49-DE9D-4BEC-944F-EB72C8162C32}" name="Indicator"/>
    <tableColumn id="3" xr3:uid="{27854BC3-0495-440C-AE76-861D51CCF4D2}" name="Disaggregation"/>
    <tableColumn id="4" xr3:uid="{1380AC19-F0FE-4B2A-9D4A-A30532FB9614}" name="ID" dataDxfId="1"/>
    <tableColumn id="5" xr3:uid="{CF0CAE77-396B-4742-9226-6628C1AC37C6}" name="Link to Frequency Table" dataDxfId="0"/>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Red Orange">
      <a:dk1>
        <a:sysClr val="windowText" lastClr="000000"/>
      </a:dk1>
      <a:lt1>
        <a:sysClr val="window" lastClr="FFFFFF"/>
      </a:lt1>
      <a:dk2>
        <a:srgbClr val="505046"/>
      </a:dk2>
      <a:lt2>
        <a:srgbClr val="EEECE1"/>
      </a:lt2>
      <a:accent1>
        <a:srgbClr val="E84C22"/>
      </a:accent1>
      <a:accent2>
        <a:srgbClr val="FFBD47"/>
      </a:accent2>
      <a:accent3>
        <a:srgbClr val="B64926"/>
      </a:accent3>
      <a:accent4>
        <a:srgbClr val="FF8427"/>
      </a:accent4>
      <a:accent5>
        <a:srgbClr val="CC9900"/>
      </a:accent5>
      <a:accent6>
        <a:srgbClr val="B22600"/>
      </a:accent6>
      <a:hlink>
        <a:srgbClr val="CC9900"/>
      </a:hlink>
      <a:folHlink>
        <a:srgbClr val="666699"/>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5EADF-F5BE-4FDF-AE43-F5AC8147110A}">
  <sheetPr>
    <tabColor rgb="FFEE5859"/>
  </sheetPr>
  <dimension ref="A1:B35"/>
  <sheetViews>
    <sheetView zoomScale="71" zoomScaleNormal="70" workbookViewId="0">
      <selection activeCell="B7" sqref="B7:B15"/>
    </sheetView>
  </sheetViews>
  <sheetFormatPr defaultColWidth="11.54296875" defaultRowHeight="14.5" x14ac:dyDescent="0.35"/>
  <cols>
    <col min="1" max="1" width="34.26953125" customWidth="1"/>
    <col min="2" max="2" width="162" customWidth="1"/>
  </cols>
  <sheetData>
    <row r="1" spans="1:2" ht="65.150000000000006" customHeight="1" thickBot="1" x14ac:dyDescent="0.4">
      <c r="A1" s="37" t="s">
        <v>0</v>
      </c>
      <c r="B1" s="38"/>
    </row>
    <row r="2" spans="1:2" ht="16.149999999999999" customHeight="1" thickBot="1" x14ac:dyDescent="0.4">
      <c r="A2" s="7" t="s">
        <v>1</v>
      </c>
      <c r="B2" s="8" t="s">
        <v>2</v>
      </c>
    </row>
    <row r="3" spans="1:2" ht="399" customHeight="1" thickBot="1" x14ac:dyDescent="0.4">
      <c r="A3" s="26" t="s">
        <v>3</v>
      </c>
      <c r="B3" s="9" t="s">
        <v>4</v>
      </c>
    </row>
    <row r="4" spans="1:2" ht="15" customHeight="1" thickBot="1" x14ac:dyDescent="0.4">
      <c r="A4" s="27" t="s">
        <v>5</v>
      </c>
      <c r="B4" s="24" t="s">
        <v>6</v>
      </c>
    </row>
    <row r="5" spans="1:2" ht="28.5" customHeight="1" thickBot="1" x14ac:dyDescent="0.4">
      <c r="A5" s="26" t="s">
        <v>7</v>
      </c>
      <c r="B5" s="25" t="s">
        <v>8</v>
      </c>
    </row>
    <row r="6" spans="1:2" ht="317" customHeight="1" thickBot="1" x14ac:dyDescent="0.4">
      <c r="A6" s="28" t="s">
        <v>9</v>
      </c>
      <c r="B6" s="10" t="s">
        <v>10</v>
      </c>
    </row>
    <row r="7" spans="1:2" ht="108" customHeight="1" x14ac:dyDescent="0.35">
      <c r="A7" s="39" t="s">
        <v>15</v>
      </c>
      <c r="B7" s="42" t="s">
        <v>2844</v>
      </c>
    </row>
    <row r="8" spans="1:2" x14ac:dyDescent="0.35">
      <c r="A8" s="40"/>
      <c r="B8" s="43"/>
    </row>
    <row r="9" spans="1:2" x14ac:dyDescent="0.35">
      <c r="A9" s="40"/>
      <c r="B9" s="43"/>
    </row>
    <row r="10" spans="1:2" x14ac:dyDescent="0.35">
      <c r="A10" s="40"/>
      <c r="B10" s="43"/>
    </row>
    <row r="11" spans="1:2" ht="362.65" customHeight="1" x14ac:dyDescent="0.35">
      <c r="A11" s="40"/>
      <c r="B11" s="43"/>
    </row>
    <row r="12" spans="1:2" x14ac:dyDescent="0.35">
      <c r="A12" s="40"/>
      <c r="B12" s="43"/>
    </row>
    <row r="13" spans="1:2" ht="23.25" customHeight="1" x14ac:dyDescent="0.35">
      <c r="A13" s="40"/>
      <c r="B13" s="43"/>
    </row>
    <row r="14" spans="1:2" ht="57.65" customHeight="1" x14ac:dyDescent="0.35">
      <c r="A14" s="40"/>
      <c r="B14" s="43"/>
    </row>
    <row r="15" spans="1:2" ht="45" customHeight="1" thickBot="1" x14ac:dyDescent="0.4">
      <c r="A15" s="41"/>
      <c r="B15" s="43"/>
    </row>
    <row r="16" spans="1:2" ht="19.5" customHeight="1" x14ac:dyDescent="0.35">
      <c r="A16" s="44" t="s">
        <v>11</v>
      </c>
      <c r="B16" s="29" t="s">
        <v>12</v>
      </c>
    </row>
    <row r="17" spans="1:2" ht="19.5" customHeight="1" x14ac:dyDescent="0.35">
      <c r="A17" s="45"/>
      <c r="B17" s="30" t="s">
        <v>13</v>
      </c>
    </row>
    <row r="18" spans="1:2" ht="19.149999999999999" customHeight="1" thickBot="1" x14ac:dyDescent="0.4">
      <c r="A18" s="46"/>
      <c r="B18" s="31" t="s">
        <v>14</v>
      </c>
    </row>
    <row r="19" spans="1:2" ht="13.9" customHeight="1" thickBot="1" x14ac:dyDescent="0.4"/>
    <row r="20" spans="1:2" ht="31.9" customHeight="1" thickBot="1" x14ac:dyDescent="0.4">
      <c r="A20" s="32" t="s">
        <v>16</v>
      </c>
      <c r="B20" s="33" t="s">
        <v>2</v>
      </c>
    </row>
    <row r="21" spans="1:2" ht="20.65" customHeight="1" thickBot="1" x14ac:dyDescent="0.4">
      <c r="A21" s="34" t="s">
        <v>17</v>
      </c>
      <c r="B21" s="35" t="s">
        <v>18</v>
      </c>
    </row>
    <row r="22" spans="1:2" ht="33.5" customHeight="1" thickBot="1" x14ac:dyDescent="0.4">
      <c r="A22" s="34" t="s">
        <v>19</v>
      </c>
      <c r="B22" s="35" t="s">
        <v>20</v>
      </c>
    </row>
    <row r="23" spans="1:2" ht="15" customHeight="1" thickBot="1" x14ac:dyDescent="0.4">
      <c r="A23" s="34" t="s">
        <v>21</v>
      </c>
      <c r="B23" s="35" t="s">
        <v>22</v>
      </c>
    </row>
    <row r="24" spans="1:2" ht="15" customHeight="1" x14ac:dyDescent="0.35">
      <c r="A24" s="11"/>
      <c r="B24" s="11"/>
    </row>
    <row r="25" spans="1:2" ht="15" customHeight="1" x14ac:dyDescent="0.35">
      <c r="A25" s="11"/>
      <c r="B25" s="11"/>
    </row>
    <row r="26" spans="1:2" ht="15" customHeight="1" x14ac:dyDescent="0.35">
      <c r="A26" s="11"/>
      <c r="B26" s="11"/>
    </row>
    <row r="27" spans="1:2" x14ac:dyDescent="0.35">
      <c r="A27" s="12"/>
      <c r="B27" s="13"/>
    </row>
    <row r="28" spans="1:2" x14ac:dyDescent="0.35">
      <c r="A28" s="13"/>
      <c r="B28" s="13"/>
    </row>
    <row r="29" spans="1:2" x14ac:dyDescent="0.35">
      <c r="A29" s="12"/>
      <c r="B29" s="13"/>
    </row>
    <row r="30" spans="1:2" x14ac:dyDescent="0.35">
      <c r="A30" s="13"/>
      <c r="B30" s="13"/>
    </row>
    <row r="31" spans="1:2" x14ac:dyDescent="0.35">
      <c r="A31" s="13"/>
      <c r="B31" s="13"/>
    </row>
    <row r="32" spans="1:2" x14ac:dyDescent="0.35">
      <c r="A32" s="13"/>
      <c r="B32" s="13"/>
    </row>
    <row r="33" spans="1:2" x14ac:dyDescent="0.35">
      <c r="A33" s="13"/>
      <c r="B33" s="13"/>
    </row>
    <row r="34" spans="1:2" x14ac:dyDescent="0.35">
      <c r="A34" s="13"/>
      <c r="B34" s="13"/>
    </row>
    <row r="35" spans="1:2" x14ac:dyDescent="0.35">
      <c r="A35" s="13"/>
      <c r="B35" s="13"/>
    </row>
  </sheetData>
  <mergeCells count="4">
    <mergeCell ref="A1:B1"/>
    <mergeCell ref="A7:A15"/>
    <mergeCell ref="B7:B15"/>
    <mergeCell ref="A16:A18"/>
  </mergeCells>
  <pageMargins left="0.7" right="0.7" top="0.75" bottom="0.75" header="0.3" footer="0.3"/>
  <pageSetup paperSize="9" orientation="portrait"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759"/>
  <sheetViews>
    <sheetView tabSelected="1" zoomScale="51" zoomScaleNormal="70" workbookViewId="0">
      <selection activeCell="L12" sqref="L12"/>
    </sheetView>
  </sheetViews>
  <sheetFormatPr defaultRowHeight="14.5" x14ac:dyDescent="0.35"/>
  <cols>
    <col min="1" max="1" width="8.81640625" style="14"/>
    <col min="2" max="2" width="8.81640625" style="14" customWidth="1"/>
    <col min="3" max="3" width="38" customWidth="1"/>
    <col min="4" max="4" width="61.26953125" customWidth="1"/>
    <col min="5" max="5" width="40.54296875" customWidth="1"/>
    <col min="7" max="7" width="74.54296875" customWidth="1"/>
    <col min="8" max="21" width="8.81640625" style="14"/>
  </cols>
  <sheetData>
    <row r="1" spans="2:12" s="14" customFormat="1" ht="37" customHeight="1" x14ac:dyDescent="0.35">
      <c r="B1" s="47" t="s">
        <v>0</v>
      </c>
      <c r="C1" s="47"/>
      <c r="D1" s="47"/>
      <c r="E1" s="47"/>
      <c r="F1" s="47"/>
      <c r="G1" s="47"/>
    </row>
    <row r="2" spans="2:12" s="14" customFormat="1" ht="15" customHeight="1" x14ac:dyDescent="0.35">
      <c r="B2" s="23"/>
      <c r="C2" s="23"/>
      <c r="D2" s="23"/>
      <c r="E2" s="23"/>
      <c r="F2" s="23"/>
      <c r="G2" s="23"/>
    </row>
    <row r="3" spans="2:12" s="14" customFormat="1" ht="18" x14ac:dyDescent="0.35">
      <c r="B3" s="17"/>
      <c r="C3" s="17" t="s">
        <v>23</v>
      </c>
      <c r="D3" s="17"/>
      <c r="E3" s="18"/>
      <c r="F3" s="18"/>
    </row>
    <row r="4" spans="2:12" s="14" customFormat="1" ht="18.5" x14ac:dyDescent="0.45">
      <c r="B4" s="21"/>
      <c r="C4" s="21" t="s">
        <v>24</v>
      </c>
      <c r="D4" s="48" t="s">
        <v>25</v>
      </c>
      <c r="E4" s="48"/>
      <c r="F4" s="19"/>
      <c r="G4" s="21" t="s">
        <v>26</v>
      </c>
      <c r="H4" s="21"/>
      <c r="I4" s="21"/>
      <c r="J4" s="21"/>
      <c r="K4" s="21"/>
      <c r="L4" s="21"/>
    </row>
    <row r="5" spans="2:12" s="14" customFormat="1" ht="15.5" x14ac:dyDescent="0.35">
      <c r="C5" s="20"/>
      <c r="D5" s="49" t="s">
        <v>27</v>
      </c>
      <c r="E5" s="49"/>
      <c r="F5" s="20"/>
      <c r="G5" s="22" t="s">
        <v>28</v>
      </c>
      <c r="H5" s="22"/>
      <c r="I5" s="22"/>
      <c r="J5" s="22"/>
      <c r="K5" s="22"/>
      <c r="L5" s="22"/>
    </row>
    <row r="6" spans="2:12" s="14" customFormat="1" x14ac:dyDescent="0.35"/>
    <row r="7" spans="2:12" s="14" customFormat="1" x14ac:dyDescent="0.35"/>
    <row r="8" spans="2:12" s="14" customFormat="1" x14ac:dyDescent="0.35"/>
    <row r="9" spans="2:12" s="14" customFormat="1" x14ac:dyDescent="0.35"/>
    <row r="10" spans="2:12" s="14" customFormat="1" x14ac:dyDescent="0.35"/>
    <row r="11" spans="2:12" s="14" customFormat="1" x14ac:dyDescent="0.35"/>
    <row r="12" spans="2:12" s="14" customFormat="1" x14ac:dyDescent="0.35"/>
    <row r="13" spans="2:12" s="14" customFormat="1" x14ac:dyDescent="0.35"/>
    <row r="14" spans="2:12" s="14" customFormat="1" x14ac:dyDescent="0.35"/>
    <row r="15" spans="2:12" s="14" customFormat="1" x14ac:dyDescent="0.35"/>
    <row r="16" spans="2:12" s="14" customFormat="1" x14ac:dyDescent="0.35"/>
    <row r="17" spans="3:7" s="14" customFormat="1" x14ac:dyDescent="0.35"/>
    <row r="18" spans="3:7" s="14" customFormat="1" x14ac:dyDescent="0.35"/>
    <row r="19" spans="3:7" s="14" customFormat="1" x14ac:dyDescent="0.35"/>
    <row r="20" spans="3:7" s="14" customFormat="1" x14ac:dyDescent="0.35"/>
    <row r="21" spans="3:7" s="14" customFormat="1" x14ac:dyDescent="0.35"/>
    <row r="22" spans="3:7" s="14" customFormat="1" x14ac:dyDescent="0.35"/>
    <row r="23" spans="3:7" s="14" customFormat="1" x14ac:dyDescent="0.35"/>
    <row r="24" spans="3:7" ht="15.5" x14ac:dyDescent="0.35">
      <c r="C24" s="15" t="s">
        <v>29</v>
      </c>
      <c r="D24" s="15" t="s">
        <v>30</v>
      </c>
      <c r="E24" s="15" t="s">
        <v>31</v>
      </c>
      <c r="F24" s="15" t="s">
        <v>32</v>
      </c>
      <c r="G24" s="15" t="s">
        <v>33</v>
      </c>
    </row>
    <row r="25" spans="3:7" x14ac:dyDescent="0.35">
      <c r="C25" t="s">
        <v>34</v>
      </c>
      <c r="D25" t="s">
        <v>35</v>
      </c>
      <c r="E25" t="s">
        <v>36</v>
      </c>
      <c r="F25" s="36">
        <v>1</v>
      </c>
      <c r="G25" s="16" t="str">
        <f>HYPERLINK("#'Data'!A2", "Household members by age group on the admin of overall perc")</f>
        <v>Household members by age group on the admin of overall perc</v>
      </c>
    </row>
    <row r="26" spans="3:7" x14ac:dyDescent="0.35">
      <c r="C26" t="s">
        <v>34</v>
      </c>
      <c r="D26" t="s">
        <v>37</v>
      </c>
      <c r="E26" t="s">
        <v>36</v>
      </c>
      <c r="F26" s="36">
        <v>2</v>
      </c>
      <c r="G26" s="16" t="str">
        <f>HYPERLINK("#'Data'!A7", "Household members by gender on the admin of overall perc")</f>
        <v>Household members by gender on the admin of overall perc</v>
      </c>
    </row>
    <row r="27" spans="3:7" x14ac:dyDescent="0.35">
      <c r="C27" t="s">
        <v>34</v>
      </c>
      <c r="D27" t="s">
        <v>38</v>
      </c>
      <c r="E27" t="s">
        <v>36</v>
      </c>
      <c r="F27" s="36">
        <v>3</v>
      </c>
      <c r="G27" s="16" t="str">
        <f>HYPERLINK("#'Data'!A12", "Households by urbanity (urban, rural location) on the admin of overall perc")</f>
        <v>Households by urbanity (urban, rural location) on the admin of overall perc</v>
      </c>
    </row>
    <row r="28" spans="3:7" x14ac:dyDescent="0.35">
      <c r="C28" t="s">
        <v>34</v>
      </c>
      <c r="D28" t="s">
        <v>39</v>
      </c>
      <c r="E28" t="s">
        <v>36</v>
      </c>
      <c r="F28" s="36">
        <v>4</v>
      </c>
      <c r="G28" s="16" t="str">
        <f>HYPERLINK("#'Data'!A17", "Households with at least one member with a registered or reported disability on the admin of overall perc")</f>
        <v>Households with at least one member with a registered or reported disability on the admin of overall perc</v>
      </c>
    </row>
    <row r="29" spans="3:7" x14ac:dyDescent="0.35">
      <c r="C29" t="s">
        <v>34</v>
      </c>
      <c r="D29" t="s">
        <v>40</v>
      </c>
      <c r="E29" t="s">
        <v>36</v>
      </c>
      <c r="F29" s="36">
        <v>5</v>
      </c>
      <c r="G29" s="16" t="str">
        <f>HYPERLINK("#'Data'!A22", "Households by size on the admin of overall perc")</f>
        <v>Households by size on the admin of overall perc</v>
      </c>
    </row>
    <row r="30" spans="3:7" x14ac:dyDescent="0.35">
      <c r="C30" t="s">
        <v>34</v>
      </c>
      <c r="D30" t="s">
        <v>41</v>
      </c>
      <c r="E30" t="s">
        <v>36</v>
      </c>
      <c r="F30" s="36">
        <v>6</v>
      </c>
      <c r="G30" s="16" t="str">
        <f>HYPERLINK("#'Data'!A27", "Households by presence of children (&lt;18 y.o.) on the admin of overall perc")</f>
        <v>Households by presence of children (&lt;18 y.o.) on the admin of overall perc</v>
      </c>
    </row>
    <row r="31" spans="3:7" x14ac:dyDescent="0.35">
      <c r="C31" t="s">
        <v>34</v>
      </c>
      <c r="D31" t="s">
        <v>42</v>
      </c>
      <c r="E31" t="s">
        <v>36</v>
      </c>
      <c r="F31" s="36">
        <v>7</v>
      </c>
      <c r="G31" s="16" t="str">
        <f>HYPERLINK("#'Data'!A32", "Households by age of adults in the households on the admin of overall perc")</f>
        <v>Households by age of adults in the households on the admin of overall perc</v>
      </c>
    </row>
    <row r="32" spans="3:7" x14ac:dyDescent="0.35">
      <c r="C32" t="s">
        <v>34</v>
      </c>
      <c r="D32" t="s">
        <v>43</v>
      </c>
      <c r="E32" t="s">
        <v>36</v>
      </c>
      <c r="F32" s="36">
        <v>8</v>
      </c>
      <c r="G32" s="16" t="str">
        <f>HYPERLINK("#'Data'!A37", "Households by caregiving status on the admin of overall perc")</f>
        <v>Households by caregiving status on the admin of overall perc</v>
      </c>
    </row>
    <row r="33" spans="3:7" x14ac:dyDescent="0.35">
      <c r="C33" t="s">
        <v>34</v>
      </c>
      <c r="D33" t="s">
        <v>44</v>
      </c>
      <c r="E33" t="s">
        <v>36</v>
      </c>
      <c r="F33" s="36">
        <v>9</v>
      </c>
      <c r="G33" s="16" t="str">
        <f>HYPERLINK("#'Data'!A42", "Households by displacement status of head of household on the admin of overall perc")</f>
        <v>Households by displacement status of head of household on the admin of overall perc</v>
      </c>
    </row>
    <row r="34" spans="3:7" x14ac:dyDescent="0.35">
      <c r="C34" t="s">
        <v>34</v>
      </c>
      <c r="D34" t="s">
        <v>45</v>
      </c>
      <c r="E34" t="s">
        <v>36</v>
      </c>
      <c r="F34" s="36">
        <v>10</v>
      </c>
      <c r="G34" s="16" t="str">
        <f>HYPERLINK("#'Data'!A47", "Households by gender of head of household on the admin of overall perc")</f>
        <v>Households by gender of head of household on the admin of overall perc</v>
      </c>
    </row>
    <row r="35" spans="3:7" x14ac:dyDescent="0.35">
      <c r="C35" t="s">
        <v>34</v>
      </c>
      <c r="D35" t="s">
        <v>46</v>
      </c>
      <c r="E35" t="s">
        <v>36</v>
      </c>
      <c r="F35" s="36">
        <v>11</v>
      </c>
      <c r="G35" s="16" t="str">
        <f>HYPERLINK("#'Data'!A52", "Percentage of households by marital status of head of household on the admin of overall perc")</f>
        <v>Percentage of households by marital status of head of household on the admin of overall perc</v>
      </c>
    </row>
    <row r="36" spans="3:7" x14ac:dyDescent="0.35">
      <c r="C36" t="s">
        <v>34</v>
      </c>
      <c r="D36" t="s">
        <v>47</v>
      </c>
      <c r="E36" t="s">
        <v>36</v>
      </c>
      <c r="F36" s="36">
        <v>12</v>
      </c>
      <c r="G36" s="16" t="str">
        <f>HYPERLINK("#'Data'!A57", "Percentage of households by education level of head of household on the admin of overall perc")</f>
        <v>Percentage of households by education level of head of household on the admin of overall perc</v>
      </c>
    </row>
    <row r="37" spans="3:7" x14ac:dyDescent="0.35">
      <c r="C37" t="s">
        <v>48</v>
      </c>
      <c r="D37" t="s">
        <v>49</v>
      </c>
      <c r="E37" t="s">
        <v>36</v>
      </c>
      <c r="F37" s="36">
        <v>13</v>
      </c>
      <c r="G37" s="16" t="str">
        <f>HYPERLINK("#'Data'!A62", "Employment status of household members (&gt;15 y.o.) in the past four weeks on the admin of overall perc")</f>
        <v>Employment status of household members (&gt;15 y.o.) in the past four weeks on the admin of overall perc</v>
      </c>
    </row>
    <row r="38" spans="3:7" x14ac:dyDescent="0.35">
      <c r="C38" t="s">
        <v>48</v>
      </c>
      <c r="D38" t="s">
        <v>50</v>
      </c>
      <c r="E38" t="s">
        <v>36</v>
      </c>
      <c r="F38" s="36">
        <v>14</v>
      </c>
      <c r="G38" s="16" t="str">
        <f>HYPERLINK("#'Data'!A67", "Percentage of household members (&gt;15 y.o. and &lt;75) who sought a job in the past 4 weeks on the admin of overall perc")</f>
        <v>Percentage of household members (&gt;15 y.o. and &lt;75) who sought a job in the past 4 weeks on the admin of overall perc</v>
      </c>
    </row>
    <row r="39" spans="3:7" x14ac:dyDescent="0.35">
      <c r="C39" t="s">
        <v>48</v>
      </c>
      <c r="D39" t="s">
        <v>50</v>
      </c>
      <c r="E39" t="s">
        <v>51</v>
      </c>
      <c r="F39" s="36">
        <v>15</v>
      </c>
      <c r="G39" s="16" t="str">
        <f>HYPERLINK("#'Data'!A72", "Percentage of household members (&gt;15 y.o. and &lt;75) who sought a job in the past 4 weeks broken down by employment age of household members on the admi...")</f>
        <v>Percentage of household members (&gt;15 y.o. and &lt;75) who sought a job in the past 4 weeks broken down by employment age of household members on the admi...</v>
      </c>
    </row>
    <row r="40" spans="3:7" x14ac:dyDescent="0.35">
      <c r="C40" t="s">
        <v>48</v>
      </c>
      <c r="D40" t="s">
        <v>50</v>
      </c>
      <c r="E40" t="s">
        <v>52</v>
      </c>
      <c r="F40" s="36">
        <v>16</v>
      </c>
      <c r="G40" s="16" t="str">
        <f>HYPERLINK("#'Data'!A81", "Percentage of household members (&gt;15 y.o. and &lt;75) who sought a job in the past 4 weeks broken down by gender of household members on the admin of ove...")</f>
        <v>Percentage of household members (&gt;15 y.o. and &lt;75) who sought a job in the past 4 weeks broken down by gender of household members on the admin of ove...</v>
      </c>
    </row>
    <row r="41" spans="3:7" x14ac:dyDescent="0.35">
      <c r="C41" t="s">
        <v>48</v>
      </c>
      <c r="D41" t="s">
        <v>53</v>
      </c>
      <c r="E41" t="s">
        <v>36</v>
      </c>
      <c r="F41" s="36">
        <v>17</v>
      </c>
      <c r="G41" s="16" t="str">
        <f>HYPERLINK("#'Data'!A88", "Employment barriers faced by household members (&gt;15 y.o. and &lt; 75 y.o.) that sought a job in the past 4 weeks, by type on the admin of overall perc")</f>
        <v>Employment barriers faced by household members (&gt;15 y.o. and &lt; 75 y.o.) that sought a job in the past 4 weeks, by type on the admin of overall perc</v>
      </c>
    </row>
    <row r="42" spans="3:7" x14ac:dyDescent="0.35">
      <c r="C42" t="s">
        <v>48</v>
      </c>
      <c r="D42" t="s">
        <v>53</v>
      </c>
      <c r="E42" t="s">
        <v>51</v>
      </c>
      <c r="F42" s="36">
        <v>18</v>
      </c>
      <c r="G42" s="16" t="str">
        <f>HYPERLINK("#'Data'!A93", "Employment barriers faced by household members (&gt;15 y.o. and &lt; 75 y.o.) that sought a job in the past 4 weeks, by type broken down by employment age o...")</f>
        <v>Employment barriers faced by household members (&gt;15 y.o. and &lt; 75 y.o.) that sought a job in the past 4 weeks, by type broken down by employment age o...</v>
      </c>
    </row>
    <row r="43" spans="3:7" x14ac:dyDescent="0.35">
      <c r="C43" t="s">
        <v>48</v>
      </c>
      <c r="D43" t="s">
        <v>53</v>
      </c>
      <c r="E43" t="s">
        <v>52</v>
      </c>
      <c r="F43" s="36">
        <v>19</v>
      </c>
      <c r="G43" s="16" t="str">
        <f>HYPERLINK("#'Data'!A102", "Employment barriers faced by household members (&gt;15 y.o. and &lt; 75 y.o.) that sought a job in the past 4 weeks, by type broken down by gender of househ...")</f>
        <v>Employment barriers faced by household members (&gt;15 y.o. and &lt; 75 y.o.) that sought a job in the past 4 weeks, by type broken down by gender of househ...</v>
      </c>
    </row>
    <row r="44" spans="3:7" x14ac:dyDescent="0.35">
      <c r="C44" t="s">
        <v>48</v>
      </c>
      <c r="D44" t="s">
        <v>53</v>
      </c>
      <c r="E44" t="s">
        <v>54</v>
      </c>
      <c r="F44" s="36">
        <v>20</v>
      </c>
      <c r="G44" s="16" t="str">
        <f>HYPERLINK("#'Data'!A109", "Employment barriers faced by household members (&gt;15 y.o. and &lt; 75 y.o.) that sought a job in the past 4 weeks, by type broken down by gender and age o...")</f>
        <v>Employment barriers faced by household members (&gt;15 y.o. and &lt; 75 y.o.) that sought a job in the past 4 weeks, by type broken down by gender and age o...</v>
      </c>
    </row>
    <row r="45" spans="3:7" x14ac:dyDescent="0.35">
      <c r="C45" t="s">
        <v>55</v>
      </c>
      <c r="D45" t="s">
        <v>56</v>
      </c>
      <c r="E45" t="s">
        <v>36</v>
      </c>
      <c r="F45" s="36">
        <v>21</v>
      </c>
      <c r="G45" s="16" t="str">
        <f>HYPERLINK("#'Data'!A124", "School-aged children (3-17 y.o.) attending school or early education program during 2024-2025 school year on the admin of overall perc")</f>
        <v>School-aged children (3-17 y.o.) attending school or early education program during 2024-2025 school year on the admin of overall perc</v>
      </c>
    </row>
    <row r="46" spans="3:7" x14ac:dyDescent="0.35">
      <c r="C46" t="s">
        <v>55</v>
      </c>
      <c r="D46" t="s">
        <v>56</v>
      </c>
      <c r="E46" t="s">
        <v>57</v>
      </c>
      <c r="F46" s="36">
        <v>22</v>
      </c>
      <c r="G46" s="16" t="str">
        <f>HYPERLINK("#'Data'!A129", "School-aged children (3-17 y.o.) attending school or early education program during 2024-2025 school year broken down by households with at least one ...")</f>
        <v>School-aged children (3-17 y.o.) attending school or early education program during 2024-2025 school year broken down by households with at least one ...</v>
      </c>
    </row>
    <row r="47" spans="3:7" x14ac:dyDescent="0.35">
      <c r="C47" t="s">
        <v>55</v>
      </c>
      <c r="D47" t="s">
        <v>56</v>
      </c>
      <c r="E47" t="s">
        <v>58</v>
      </c>
      <c r="F47" s="36">
        <v>23</v>
      </c>
      <c r="G47" s="16" t="str">
        <f>HYPERLINK("#'Data'!A135", "School-aged children (3-17 y.o.) attending school or early education program during 2024-2025 school year broken down by urbanity on the admin of over...")</f>
        <v>School-aged children (3-17 y.o.) attending school or early education program during 2024-2025 school year broken down by urbanity on the admin of over...</v>
      </c>
    </row>
    <row r="48" spans="3:7" x14ac:dyDescent="0.35">
      <c r="C48" t="s">
        <v>55</v>
      </c>
      <c r="D48" t="s">
        <v>56</v>
      </c>
      <c r="E48" t="s">
        <v>59</v>
      </c>
      <c r="F48" s="36">
        <v>24</v>
      </c>
      <c r="G48" s="16" t="str">
        <f>HYPERLINK("#'Data'!A141", "School-aged children (3-17 y.o.) attending school or early education program during 2024-2025 school year broken down by household size on the admin o...")</f>
        <v>School-aged children (3-17 y.o.) attending school or early education program during 2024-2025 school year broken down by household size on the admin o...</v>
      </c>
    </row>
    <row r="49" spans="3:7" x14ac:dyDescent="0.35">
      <c r="C49" t="s">
        <v>55</v>
      </c>
      <c r="D49" t="s">
        <v>56</v>
      </c>
      <c r="E49" t="s">
        <v>60</v>
      </c>
      <c r="F49" s="36">
        <v>25</v>
      </c>
      <c r="G49" s="16" t="str">
        <f>HYPERLINK("#'Data'!A147", "School-aged children (3-17 y.o.) attending school or early education program during 2024-2025 school year broken down by income per capita (quartiles)...")</f>
        <v>School-aged children (3-17 y.o.) attending school or early education program during 2024-2025 school year broken down by income per capita (quartiles)...</v>
      </c>
    </row>
    <row r="50" spans="3:7" x14ac:dyDescent="0.35">
      <c r="C50" t="s">
        <v>55</v>
      </c>
      <c r="D50" t="s">
        <v>56</v>
      </c>
      <c r="E50" t="s">
        <v>61</v>
      </c>
      <c r="F50" s="36">
        <v>26</v>
      </c>
      <c r="G50" s="16" t="str">
        <f>HYPERLINK("#'Data'!A155", "School-aged children (3-17 y.o.) attending school or early education program during 2024-2025 school year broken down by gender of head of household o...")</f>
        <v>School-aged children (3-17 y.o.) attending school or early education program during 2024-2025 school year broken down by gender of head of household o...</v>
      </c>
    </row>
    <row r="51" spans="3:7" x14ac:dyDescent="0.35">
      <c r="C51" t="s">
        <v>55</v>
      </c>
      <c r="D51" t="s">
        <v>56</v>
      </c>
      <c r="E51" t="s">
        <v>62</v>
      </c>
      <c r="F51" s="36">
        <v>27</v>
      </c>
      <c r="G51" s="16" t="str">
        <f>HYPERLINK("#'Data'!A162", "School-aged children (3-17 y.o.) attending school or early education program during 2024-2025 school year broken down by age of adults in the househol...")</f>
        <v>School-aged children (3-17 y.o.) attending school or early education program during 2024-2025 school year broken down by age of adults in the househol...</v>
      </c>
    </row>
    <row r="52" spans="3:7" x14ac:dyDescent="0.35">
      <c r="C52" t="s">
        <v>55</v>
      </c>
      <c r="D52" t="s">
        <v>56</v>
      </c>
      <c r="E52" t="s">
        <v>63</v>
      </c>
      <c r="F52" s="36">
        <v>28</v>
      </c>
      <c r="G52" s="16" t="str">
        <f>HYPERLINK("#'Data'!A169", "School-aged children (3-17 y.o.) attending school or early education program during 2024-2025 school year broken down by displacement status of head o...")</f>
        <v>School-aged children (3-17 y.o.) attending school or early education program during 2024-2025 school year broken down by displacement status of head o...</v>
      </c>
    </row>
    <row r="53" spans="3:7" x14ac:dyDescent="0.35">
      <c r="C53" t="s">
        <v>55</v>
      </c>
      <c r="D53" t="s">
        <v>56</v>
      </c>
      <c r="E53" t="s">
        <v>64</v>
      </c>
      <c r="F53" s="36">
        <v>29</v>
      </c>
      <c r="G53" s="16" t="str">
        <f>HYPERLINK("#'Data'!A178", "School-aged children (3-17 y.o.) attending school or early education program during 2024-2025 school year broken down by IDP household on the admin of...")</f>
        <v>School-aged children (3-17 y.o.) attending school or early education program during 2024-2025 school year broken down by IDP household on the admin of...</v>
      </c>
    </row>
    <row r="54" spans="3:7" x14ac:dyDescent="0.35">
      <c r="C54" t="s">
        <v>55</v>
      </c>
      <c r="D54" t="s">
        <v>56</v>
      </c>
      <c r="E54" t="s">
        <v>65</v>
      </c>
      <c r="F54" s="36">
        <v>30</v>
      </c>
      <c r="G54" s="16" t="str">
        <f>HYPERLINK("#'Data'!A184", "School-aged children (3-17 y.o.) attending school or early education program during 2024-2025 school year broken down by proximity to frontline/border...")</f>
        <v>School-aged children (3-17 y.o.) attending school or early education program during 2024-2025 school year broken down by proximity to frontline/border...</v>
      </c>
    </row>
    <row r="55" spans="3:7" x14ac:dyDescent="0.35">
      <c r="C55" t="s">
        <v>55</v>
      </c>
      <c r="D55" t="s">
        <v>56</v>
      </c>
      <c r="E55" t="s">
        <v>66</v>
      </c>
      <c r="F55" s="36">
        <v>31</v>
      </c>
      <c r="G55" s="16" t="str">
        <f>HYPERLINK("#'Data'!A191", "School-aged children (3-17 y.o.) attending school or early education program during 2024-2025 school year broken down by age of school-aged children o...")</f>
        <v>School-aged children (3-17 y.o.) attending school or early education program during 2024-2025 school year broken down by age of school-aged children o...</v>
      </c>
    </row>
    <row r="56" spans="3:7" x14ac:dyDescent="0.35">
      <c r="C56" t="s">
        <v>55</v>
      </c>
      <c r="D56" t="s">
        <v>56</v>
      </c>
      <c r="E56" t="s">
        <v>67</v>
      </c>
      <c r="F56" s="36">
        <v>32</v>
      </c>
      <c r="G56" s="16" t="str">
        <f>HYPERLINK("#'Data'!A199", "School-aged children (3-17 y.o.) attending school or early education program during 2024-2025 school year broken down by gender of school-aged childre...")</f>
        <v>School-aged children (3-17 y.o.) attending school or early education program during 2024-2025 school year broken down by gender of school-aged childre...</v>
      </c>
    </row>
    <row r="57" spans="3:7" x14ac:dyDescent="0.35">
      <c r="C57" t="s">
        <v>55</v>
      </c>
      <c r="D57" t="s">
        <v>56</v>
      </c>
      <c r="E57" t="s">
        <v>68</v>
      </c>
      <c r="F57" s="36">
        <v>33</v>
      </c>
      <c r="G57" s="16" t="str">
        <f>HYPERLINK("#'Data'!A206", "School-aged children (3-17 y.o.) attending school or early education program during 2024-2025 school year broken down by gender and age of school-aged...")</f>
        <v>School-aged children (3-17 y.o.) attending school or early education program during 2024-2025 school year broken down by gender and age of school-aged...</v>
      </c>
    </row>
    <row r="58" spans="3:7" x14ac:dyDescent="0.35">
      <c r="C58" t="s">
        <v>55</v>
      </c>
      <c r="D58" t="s">
        <v>69</v>
      </c>
      <c r="E58" t="s">
        <v>36</v>
      </c>
      <c r="F58" s="36">
        <v>34</v>
      </c>
      <c r="G58" s="16" t="str">
        <f>HYPERLINK("#'Data'!A219", "School-aged children (3-17 y.o.) attending school or early education program by main education modality during 2024-2025 school year on the admin of o...")</f>
        <v>School-aged children (3-17 y.o.) attending school or early education program by main education modality during 2024-2025 school year on the admin of o...</v>
      </c>
    </row>
    <row r="59" spans="3:7" x14ac:dyDescent="0.35">
      <c r="C59" t="s">
        <v>55</v>
      </c>
      <c r="D59" t="s">
        <v>69</v>
      </c>
      <c r="E59" t="s">
        <v>57</v>
      </c>
      <c r="F59" s="36">
        <v>35</v>
      </c>
      <c r="G59" s="16" t="str">
        <f>HYPERLINK("#'Data'!A224", "School-aged children (3-17 y.o.) attending school or early education program by main education modality during 2024-2025 school year broken down by ho...")</f>
        <v>School-aged children (3-17 y.o.) attending school or early education program by main education modality during 2024-2025 school year broken down by ho...</v>
      </c>
    </row>
    <row r="60" spans="3:7" x14ac:dyDescent="0.35">
      <c r="C60" t="s">
        <v>55</v>
      </c>
      <c r="D60" t="s">
        <v>69</v>
      </c>
      <c r="E60" t="s">
        <v>58</v>
      </c>
      <c r="F60" s="36">
        <v>36</v>
      </c>
      <c r="G60" s="16" t="str">
        <f>HYPERLINK("#'Data'!A230", "School-aged children (3-17 y.o.) attending school or early education program by main education modality during 2024-2025 school year broken down by ur...")</f>
        <v>School-aged children (3-17 y.o.) attending school or early education program by main education modality during 2024-2025 school year broken down by ur...</v>
      </c>
    </row>
    <row r="61" spans="3:7" x14ac:dyDescent="0.35">
      <c r="C61" t="s">
        <v>55</v>
      </c>
      <c r="D61" t="s">
        <v>69</v>
      </c>
      <c r="E61" t="s">
        <v>59</v>
      </c>
      <c r="F61" s="36">
        <v>37</v>
      </c>
      <c r="G61" s="16" t="str">
        <f>HYPERLINK("#'Data'!A236", "School-aged children (3-17 y.o.) attending school or early education program by main education modality during 2024-2025 school year broken down by ho...")</f>
        <v>School-aged children (3-17 y.o.) attending school or early education program by main education modality during 2024-2025 school year broken down by ho...</v>
      </c>
    </row>
    <row r="62" spans="3:7" x14ac:dyDescent="0.35">
      <c r="C62" t="s">
        <v>55</v>
      </c>
      <c r="D62" t="s">
        <v>69</v>
      </c>
      <c r="E62" t="s">
        <v>60</v>
      </c>
      <c r="F62" s="36">
        <v>38</v>
      </c>
      <c r="G62" s="16" t="str">
        <f>HYPERLINK("#'Data'!A242", "School-aged children (3-17 y.o.) attending school or early education program by main education modality during 2024-2025 school year broken down by in...")</f>
        <v>School-aged children (3-17 y.o.) attending school or early education program by main education modality during 2024-2025 school year broken down by in...</v>
      </c>
    </row>
    <row r="63" spans="3:7" x14ac:dyDescent="0.35">
      <c r="C63" t="s">
        <v>55</v>
      </c>
      <c r="D63" t="s">
        <v>69</v>
      </c>
      <c r="E63" t="s">
        <v>61</v>
      </c>
      <c r="F63" s="36">
        <v>39</v>
      </c>
      <c r="G63" s="16" t="str">
        <f>HYPERLINK("#'Data'!A250", "School-aged children (3-17 y.o.) attending school or early education program by main education modality during 2024-2025 school year broken down by ge...")</f>
        <v>School-aged children (3-17 y.o.) attending school or early education program by main education modality during 2024-2025 school year broken down by ge...</v>
      </c>
    </row>
    <row r="64" spans="3:7" x14ac:dyDescent="0.35">
      <c r="C64" t="s">
        <v>55</v>
      </c>
      <c r="D64" t="s">
        <v>69</v>
      </c>
      <c r="E64" t="s">
        <v>62</v>
      </c>
      <c r="F64" s="36">
        <v>40</v>
      </c>
      <c r="G64" s="16" t="str">
        <f>HYPERLINK("#'Data'!A257", "School-aged children (3-17 y.o.) attending school or early education program by main education modality during 2024-2025 school year broken down by ag...")</f>
        <v>School-aged children (3-17 y.o.) attending school or early education program by main education modality during 2024-2025 school year broken down by ag...</v>
      </c>
    </row>
    <row r="65" spans="3:7" x14ac:dyDescent="0.35">
      <c r="C65" t="s">
        <v>55</v>
      </c>
      <c r="D65" t="s">
        <v>69</v>
      </c>
      <c r="E65" t="s">
        <v>63</v>
      </c>
      <c r="F65" s="36">
        <v>41</v>
      </c>
      <c r="G65" s="16" t="str">
        <f>HYPERLINK("#'Data'!A264", "School-aged children (3-17 y.o.) attending school or early education program by main education modality during 2024-2025 school year broken down by di...")</f>
        <v>School-aged children (3-17 y.o.) attending school or early education program by main education modality during 2024-2025 school year broken down by di...</v>
      </c>
    </row>
    <row r="66" spans="3:7" x14ac:dyDescent="0.35">
      <c r="C66" t="s">
        <v>55</v>
      </c>
      <c r="D66" t="s">
        <v>69</v>
      </c>
      <c r="E66" t="s">
        <v>64</v>
      </c>
      <c r="F66" s="36">
        <v>42</v>
      </c>
      <c r="G66" s="16" t="str">
        <f>HYPERLINK("#'Data'!A273", "School-aged children (3-17 y.o.) attending school or early education program by main education modality during 2024-2025 school year broken down by ID...")</f>
        <v>School-aged children (3-17 y.o.) attending school or early education program by main education modality during 2024-2025 school year broken down by ID...</v>
      </c>
    </row>
    <row r="67" spans="3:7" x14ac:dyDescent="0.35">
      <c r="C67" t="s">
        <v>55</v>
      </c>
      <c r="D67" t="s">
        <v>69</v>
      </c>
      <c r="E67" t="s">
        <v>65</v>
      </c>
      <c r="F67" s="36">
        <v>43</v>
      </c>
      <c r="G67" s="16" t="str">
        <f>HYPERLINK("#'Data'!A279", "School-aged children (3-17 y.o.) attending school or early education program by main education modality during 2024-2025 school year broken down by pr...")</f>
        <v>School-aged children (3-17 y.o.) attending school or early education program by main education modality during 2024-2025 school year broken down by pr...</v>
      </c>
    </row>
    <row r="68" spans="3:7" x14ac:dyDescent="0.35">
      <c r="C68" t="s">
        <v>55</v>
      </c>
      <c r="D68" t="s">
        <v>69</v>
      </c>
      <c r="E68" t="s">
        <v>66</v>
      </c>
      <c r="F68" s="36">
        <v>44</v>
      </c>
      <c r="G68" s="16" t="str">
        <f>HYPERLINK("#'Data'!A286", "School-aged children (3-17 y.o.) attending school or early education program by main education modality during 2024-2025 school year broken down by ag...")</f>
        <v>School-aged children (3-17 y.o.) attending school or early education program by main education modality during 2024-2025 school year broken down by ag...</v>
      </c>
    </row>
    <row r="69" spans="3:7" x14ac:dyDescent="0.35">
      <c r="C69" t="s">
        <v>55</v>
      </c>
      <c r="D69" t="s">
        <v>69</v>
      </c>
      <c r="E69" t="s">
        <v>67</v>
      </c>
      <c r="F69" s="36">
        <v>45</v>
      </c>
      <c r="G69" s="16" t="str">
        <f>HYPERLINK("#'Data'!A294", "School-aged children (3-17 y.o.) attending school or early education program by main education modality during 2024-2025 school year broken down by ge...")</f>
        <v>School-aged children (3-17 y.o.) attending school or early education program by main education modality during 2024-2025 school year broken down by ge...</v>
      </c>
    </row>
    <row r="70" spans="3:7" x14ac:dyDescent="0.35">
      <c r="C70" t="s">
        <v>55</v>
      </c>
      <c r="D70" t="s">
        <v>69</v>
      </c>
      <c r="E70" t="s">
        <v>68</v>
      </c>
      <c r="F70" s="36">
        <v>46</v>
      </c>
      <c r="G70" s="16" t="str">
        <f>HYPERLINK("#'Data'!A301", "School-aged children (3-17 y.o.) attending school or early education program by main education modality during 2024-2025 school year broken down by ge...")</f>
        <v>School-aged children (3-17 y.o.) attending school or early education program by main education modality during 2024-2025 school year broken down by ge...</v>
      </c>
    </row>
    <row r="71" spans="3:7" x14ac:dyDescent="0.35">
      <c r="C71" t="s">
        <v>55</v>
      </c>
      <c r="D71" t="s">
        <v>70</v>
      </c>
      <c r="E71" t="s">
        <v>36</v>
      </c>
      <c r="F71" s="36">
        <v>47</v>
      </c>
      <c r="G71" s="16" t="str">
        <f>HYPERLINK("#'Data'!A314", "School-aged children (3-17 y.o.) attending school or early education program by grade during 2024-2025 school year on the admin of overall perc")</f>
        <v>School-aged children (3-17 y.o.) attending school or early education program by grade during 2024-2025 school year on the admin of overall perc</v>
      </c>
    </row>
    <row r="72" spans="3:7" x14ac:dyDescent="0.35">
      <c r="C72" t="s">
        <v>55</v>
      </c>
      <c r="D72" t="s">
        <v>70</v>
      </c>
      <c r="E72" t="s">
        <v>57</v>
      </c>
      <c r="F72" s="36">
        <v>48</v>
      </c>
      <c r="G72" s="16" t="str">
        <f>HYPERLINK("#'Data'!A319", "School-aged children (3-17 y.o.) attending school or early education program by grade during 2024-2025 school year broken down by households with at l...")</f>
        <v>School-aged children (3-17 y.o.) attending school or early education program by grade during 2024-2025 school year broken down by households with at l...</v>
      </c>
    </row>
    <row r="73" spans="3:7" x14ac:dyDescent="0.35">
      <c r="C73" t="s">
        <v>55</v>
      </c>
      <c r="D73" t="s">
        <v>70</v>
      </c>
      <c r="E73" t="s">
        <v>58</v>
      </c>
      <c r="F73" s="36">
        <v>49</v>
      </c>
      <c r="G73" s="16" t="str">
        <f>HYPERLINK("#'Data'!A325", "School-aged children (3-17 y.o.) attending school or early education program by grade during 2024-2025 school year broken down by urbanity on the admi...")</f>
        <v>School-aged children (3-17 y.o.) attending school or early education program by grade during 2024-2025 school year broken down by urbanity on the admi...</v>
      </c>
    </row>
    <row r="74" spans="3:7" x14ac:dyDescent="0.35">
      <c r="C74" t="s">
        <v>55</v>
      </c>
      <c r="D74" t="s">
        <v>70</v>
      </c>
      <c r="E74" t="s">
        <v>59</v>
      </c>
      <c r="F74" s="36">
        <v>50</v>
      </c>
      <c r="G74" s="16" t="str">
        <f>HYPERLINK("#'Data'!A331", "School-aged children (3-17 y.o.) attending school or early education program by grade during 2024-2025 school year broken down by household size on th...")</f>
        <v>School-aged children (3-17 y.o.) attending school or early education program by grade during 2024-2025 school year broken down by household size on th...</v>
      </c>
    </row>
    <row r="75" spans="3:7" x14ac:dyDescent="0.35">
      <c r="C75" t="s">
        <v>55</v>
      </c>
      <c r="D75" t="s">
        <v>70</v>
      </c>
      <c r="E75" t="s">
        <v>60</v>
      </c>
      <c r="F75" s="36">
        <v>51</v>
      </c>
      <c r="G75" s="16" t="str">
        <f>HYPERLINK("#'Data'!A337", "School-aged children (3-17 y.o.) attending school or early education program by grade during 2024-2025 school year broken down by income per capita (q...")</f>
        <v>School-aged children (3-17 y.o.) attending school or early education program by grade during 2024-2025 school year broken down by income per capita (q...</v>
      </c>
    </row>
    <row r="76" spans="3:7" x14ac:dyDescent="0.35">
      <c r="C76" t="s">
        <v>55</v>
      </c>
      <c r="D76" t="s">
        <v>70</v>
      </c>
      <c r="E76" t="s">
        <v>61</v>
      </c>
      <c r="F76" s="36">
        <v>52</v>
      </c>
      <c r="G76" s="16" t="str">
        <f>HYPERLINK("#'Data'!A345", "School-aged children (3-17 y.o.) attending school or early education program by grade during 2024-2025 school year broken down by gender of head of ho...")</f>
        <v>School-aged children (3-17 y.o.) attending school or early education program by grade during 2024-2025 school year broken down by gender of head of ho...</v>
      </c>
    </row>
    <row r="77" spans="3:7" x14ac:dyDescent="0.35">
      <c r="C77" t="s">
        <v>55</v>
      </c>
      <c r="D77" t="s">
        <v>70</v>
      </c>
      <c r="E77" t="s">
        <v>62</v>
      </c>
      <c r="F77" s="36">
        <v>53</v>
      </c>
      <c r="G77" s="16" t="str">
        <f>HYPERLINK("#'Data'!A352", "School-aged children (3-17 y.o.) attending school or early education program by grade during 2024-2025 school year broken down by age of adults in the...")</f>
        <v>School-aged children (3-17 y.o.) attending school or early education program by grade during 2024-2025 school year broken down by age of adults in the...</v>
      </c>
    </row>
    <row r="78" spans="3:7" x14ac:dyDescent="0.35">
      <c r="C78" t="s">
        <v>55</v>
      </c>
      <c r="D78" t="s">
        <v>70</v>
      </c>
      <c r="E78" t="s">
        <v>63</v>
      </c>
      <c r="F78" s="36">
        <v>54</v>
      </c>
      <c r="G78" s="16" t="str">
        <f>HYPERLINK("#'Data'!A359", "School-aged children (3-17 y.o.) attending school or early education program by grade during 2024-2025 school year broken down by displacement status ...")</f>
        <v>School-aged children (3-17 y.o.) attending school or early education program by grade during 2024-2025 school year broken down by displacement status ...</v>
      </c>
    </row>
    <row r="79" spans="3:7" x14ac:dyDescent="0.35">
      <c r="C79" t="s">
        <v>55</v>
      </c>
      <c r="D79" t="s">
        <v>70</v>
      </c>
      <c r="E79" t="s">
        <v>64</v>
      </c>
      <c r="F79" s="36">
        <v>55</v>
      </c>
      <c r="G79" s="16" t="str">
        <f>HYPERLINK("#'Data'!A368", "School-aged children (3-17 y.o.) attending school or early education program by grade during 2024-2025 school year broken down by IDP household on the...")</f>
        <v>School-aged children (3-17 y.o.) attending school or early education program by grade during 2024-2025 school year broken down by IDP household on the...</v>
      </c>
    </row>
    <row r="80" spans="3:7" x14ac:dyDescent="0.35">
      <c r="C80" t="s">
        <v>55</v>
      </c>
      <c r="D80" t="s">
        <v>70</v>
      </c>
      <c r="E80" t="s">
        <v>65</v>
      </c>
      <c r="F80" s="36">
        <v>56</v>
      </c>
      <c r="G80" s="16" t="str">
        <f>HYPERLINK("#'Data'!A374", "School-aged children (3-17 y.o.) attending school or early education program by grade during 2024-2025 school year broken down by proximity to frontli...")</f>
        <v>School-aged children (3-17 y.o.) attending school or early education program by grade during 2024-2025 school year broken down by proximity to frontli...</v>
      </c>
    </row>
    <row r="81" spans="3:7" x14ac:dyDescent="0.35">
      <c r="C81" t="s">
        <v>55</v>
      </c>
      <c r="D81" t="s">
        <v>70</v>
      </c>
      <c r="E81" t="s">
        <v>66</v>
      </c>
      <c r="F81" s="36">
        <v>57</v>
      </c>
      <c r="G81" s="16" t="str">
        <f>HYPERLINK("#'Data'!A381", "School-aged children (3-17 y.o.) attending school or early education program by grade during 2024-2025 school year broken down by age of school-aged c...")</f>
        <v>School-aged children (3-17 y.o.) attending school or early education program by grade during 2024-2025 school year broken down by age of school-aged c...</v>
      </c>
    </row>
    <row r="82" spans="3:7" x14ac:dyDescent="0.35">
      <c r="C82" t="s">
        <v>55</v>
      </c>
      <c r="D82" t="s">
        <v>70</v>
      </c>
      <c r="E82" t="s">
        <v>67</v>
      </c>
      <c r="F82" s="36">
        <v>58</v>
      </c>
      <c r="G82" s="16" t="str">
        <f>HYPERLINK("#'Data'!A389", "School-aged children (3-17 y.o.) attending school or early education program by grade during 2024-2025 school year broken down by gender of school-age...")</f>
        <v>School-aged children (3-17 y.o.) attending school or early education program by grade during 2024-2025 school year broken down by gender of school-age...</v>
      </c>
    </row>
    <row r="83" spans="3:7" x14ac:dyDescent="0.35">
      <c r="C83" t="s">
        <v>55</v>
      </c>
      <c r="D83" t="s">
        <v>70</v>
      </c>
      <c r="E83" t="s">
        <v>68</v>
      </c>
      <c r="F83" s="36">
        <v>59</v>
      </c>
      <c r="G83" s="16" t="str">
        <f>HYPERLINK("#'Data'!A396", "School-aged children (3-17 y.o.) attending school or early education program by grade during 2024-2025 school year broken down by gender and age of sc...")</f>
        <v>School-aged children (3-17 y.o.) attending school or early education program by grade during 2024-2025 school year broken down by gender and age of sc...</v>
      </c>
    </row>
    <row r="84" spans="3:7" x14ac:dyDescent="0.35">
      <c r="C84" t="s">
        <v>55</v>
      </c>
      <c r="D84" t="s">
        <v>71</v>
      </c>
      <c r="E84" t="s">
        <v>36</v>
      </c>
      <c r="F84" s="36">
        <v>60</v>
      </c>
      <c r="G84" s="16" t="str">
        <f>HYPERLINK("#'Data'!A409", "Percentage of school-aged children (3-17 y.o.) by reasons for not attending school in 2024-2025 school year on the admin of overall perc")</f>
        <v>Percentage of school-aged children (3-17 y.o.) by reasons for not attending school in 2024-2025 school year on the admin of overall perc</v>
      </c>
    </row>
    <row r="85" spans="3:7" x14ac:dyDescent="0.35">
      <c r="C85" t="s">
        <v>55</v>
      </c>
      <c r="D85" t="s">
        <v>71</v>
      </c>
      <c r="E85" t="s">
        <v>57</v>
      </c>
      <c r="F85" s="36">
        <v>61</v>
      </c>
      <c r="G85" s="16" t="str">
        <f>HYPERLINK("#'Data'!A414", "Percentage of school-aged children (3-17 y.o.) by reasons for not attending school in 2024-2025 school year broken down by households with at least on...")</f>
        <v>Percentage of school-aged children (3-17 y.o.) by reasons for not attending school in 2024-2025 school year broken down by households with at least on...</v>
      </c>
    </row>
    <row r="86" spans="3:7" x14ac:dyDescent="0.35">
      <c r="C86" t="s">
        <v>55</v>
      </c>
      <c r="D86" t="s">
        <v>71</v>
      </c>
      <c r="E86" t="s">
        <v>58</v>
      </c>
      <c r="F86" s="36">
        <v>62</v>
      </c>
      <c r="G86" s="16" t="str">
        <f>HYPERLINK("#'Data'!A420", "Percentage of school-aged children (3-17 y.o.) by reasons for not attending school in 2024-2025 school year broken down by urbanity on the admin of ov...")</f>
        <v>Percentage of school-aged children (3-17 y.o.) by reasons for not attending school in 2024-2025 school year broken down by urbanity on the admin of ov...</v>
      </c>
    </row>
    <row r="87" spans="3:7" x14ac:dyDescent="0.35">
      <c r="C87" t="s">
        <v>55</v>
      </c>
      <c r="D87" t="s">
        <v>71</v>
      </c>
      <c r="E87" t="s">
        <v>59</v>
      </c>
      <c r="F87" s="36">
        <v>63</v>
      </c>
      <c r="G87" s="16" t="str">
        <f>HYPERLINK("#'Data'!A426", "Percentage of school-aged children (3-17 y.o.) by reasons for not attending school in 2024-2025 school year broken down by household size on the admin...")</f>
        <v>Percentage of school-aged children (3-17 y.o.) by reasons for not attending school in 2024-2025 school year broken down by household size on the admin...</v>
      </c>
    </row>
    <row r="88" spans="3:7" x14ac:dyDescent="0.35">
      <c r="C88" t="s">
        <v>55</v>
      </c>
      <c r="D88" t="s">
        <v>71</v>
      </c>
      <c r="E88" t="s">
        <v>60</v>
      </c>
      <c r="F88" s="36">
        <v>64</v>
      </c>
      <c r="G88" s="16" t="str">
        <f>HYPERLINK("#'Data'!A432", "Percentage of school-aged children (3-17 y.o.) by reasons for not attending school in 2024-2025 school year broken down by income per capita (quartile...")</f>
        <v>Percentage of school-aged children (3-17 y.o.) by reasons for not attending school in 2024-2025 school year broken down by income per capita (quartile...</v>
      </c>
    </row>
    <row r="89" spans="3:7" x14ac:dyDescent="0.35">
      <c r="C89" t="s">
        <v>55</v>
      </c>
      <c r="D89" t="s">
        <v>71</v>
      </c>
      <c r="E89" t="s">
        <v>61</v>
      </c>
      <c r="F89" s="36">
        <v>65</v>
      </c>
      <c r="G89" s="16" t="str">
        <f>HYPERLINK("#'Data'!A440", "Percentage of school-aged children (3-17 y.o.) by reasons for not attending school in 2024-2025 school year broken down by gender of head of household...")</f>
        <v>Percentage of school-aged children (3-17 y.o.) by reasons for not attending school in 2024-2025 school year broken down by gender of head of household...</v>
      </c>
    </row>
    <row r="90" spans="3:7" x14ac:dyDescent="0.35">
      <c r="C90" t="s">
        <v>55</v>
      </c>
      <c r="D90" t="s">
        <v>71</v>
      </c>
      <c r="E90" t="s">
        <v>62</v>
      </c>
      <c r="F90" s="36">
        <v>66</v>
      </c>
      <c r="G90" s="16" t="str">
        <f>HYPERLINK("#'Data'!A447", "Percentage of school-aged children (3-17 y.o.) by reasons for not attending school in 2024-2025 school year broken down by age of adults in the househ...")</f>
        <v>Percentage of school-aged children (3-17 y.o.) by reasons for not attending school in 2024-2025 school year broken down by age of adults in the househ...</v>
      </c>
    </row>
    <row r="91" spans="3:7" x14ac:dyDescent="0.35">
      <c r="C91" t="s">
        <v>55</v>
      </c>
      <c r="D91" t="s">
        <v>71</v>
      </c>
      <c r="E91" t="s">
        <v>63</v>
      </c>
      <c r="F91" s="36">
        <v>67</v>
      </c>
      <c r="G91" s="16" t="str">
        <f>HYPERLINK("#'Data'!A454", "Percentage of school-aged children (3-17 y.o.) by reasons for not attending school in 2024-2025 school year broken down by displacement status of head...")</f>
        <v>Percentage of school-aged children (3-17 y.o.) by reasons for not attending school in 2024-2025 school year broken down by displacement status of head...</v>
      </c>
    </row>
    <row r="92" spans="3:7" x14ac:dyDescent="0.35">
      <c r="C92" t="s">
        <v>55</v>
      </c>
      <c r="D92" t="s">
        <v>71</v>
      </c>
      <c r="E92" t="s">
        <v>64</v>
      </c>
      <c r="F92" s="36">
        <v>68</v>
      </c>
      <c r="G92" s="16" t="str">
        <f>HYPERLINK("#'Data'!A462", "Percentage of school-aged children (3-17 y.o.) by reasons for not attending school in 2024-2025 school year broken down by IDP household on the admin ...")</f>
        <v>Percentage of school-aged children (3-17 y.o.) by reasons for not attending school in 2024-2025 school year broken down by IDP household on the admin ...</v>
      </c>
    </row>
    <row r="93" spans="3:7" x14ac:dyDescent="0.35">
      <c r="C93" t="s">
        <v>55</v>
      </c>
      <c r="D93" t="s">
        <v>71</v>
      </c>
      <c r="E93" t="s">
        <v>65</v>
      </c>
      <c r="F93" s="36">
        <v>69</v>
      </c>
      <c r="G93" s="16" t="str">
        <f>HYPERLINK("#'Data'!A468", "Percentage of school-aged children (3-17 y.o.) by reasons for not attending school in 2024-2025 school year broken down by proximity to frontline/bord...")</f>
        <v>Percentage of school-aged children (3-17 y.o.) by reasons for not attending school in 2024-2025 school year broken down by proximity to frontline/bord...</v>
      </c>
    </row>
    <row r="94" spans="3:7" x14ac:dyDescent="0.35">
      <c r="C94" t="s">
        <v>55</v>
      </c>
      <c r="D94" t="s">
        <v>71</v>
      </c>
      <c r="E94" t="s">
        <v>66</v>
      </c>
      <c r="F94" s="36">
        <v>70</v>
      </c>
      <c r="G94" s="16" t="str">
        <f>HYPERLINK("#'Data'!A475", "Percentage of school-aged children (3-17 y.o.) by reasons for not attending school in 2024-2025 school year broken down by age of school-aged children...")</f>
        <v>Percentage of school-aged children (3-17 y.o.) by reasons for not attending school in 2024-2025 school year broken down by age of school-aged children...</v>
      </c>
    </row>
    <row r="95" spans="3:7" x14ac:dyDescent="0.35">
      <c r="C95" t="s">
        <v>55</v>
      </c>
      <c r="D95" t="s">
        <v>71</v>
      </c>
      <c r="E95" t="s">
        <v>67</v>
      </c>
      <c r="F95" s="36">
        <v>71</v>
      </c>
      <c r="G95" s="16" t="str">
        <f>HYPERLINK("#'Data'!A483", "Percentage of school-aged children (3-17 y.o.) by reasons for not attending school in 2024-2025 school year broken down by gender of school-aged child...")</f>
        <v>Percentage of school-aged children (3-17 y.o.) by reasons for not attending school in 2024-2025 school year broken down by gender of school-aged child...</v>
      </c>
    </row>
    <row r="96" spans="3:7" x14ac:dyDescent="0.35">
      <c r="C96" t="s">
        <v>55</v>
      </c>
      <c r="D96" t="s">
        <v>71</v>
      </c>
      <c r="E96" t="s">
        <v>68</v>
      </c>
      <c r="F96" s="36">
        <v>72</v>
      </c>
      <c r="G96" s="16" t="str">
        <f>HYPERLINK("#'Data'!A489", "Percentage of school-aged children (3-17 y.o.) by reasons for not attending school in 2024-2025 school year broken down by gender and age of school-ag...")</f>
        <v>Percentage of school-aged children (3-17 y.o.) by reasons for not attending school in 2024-2025 school year broken down by gender and age of school-ag...</v>
      </c>
    </row>
    <row r="97" spans="3:7" x14ac:dyDescent="0.35">
      <c r="C97" t="s">
        <v>55</v>
      </c>
      <c r="D97" t="s">
        <v>72</v>
      </c>
      <c r="E97" t="s">
        <v>36</v>
      </c>
      <c r="F97" s="36">
        <v>73</v>
      </c>
      <c r="G97" s="16" t="str">
        <f>HYPERLINK("#'Data'!A501", "Percentage of school-aged children (3-17 y.o.) whose education was disrupted due to school damage on the admin of overall perc")</f>
        <v>Percentage of school-aged children (3-17 y.o.) whose education was disrupted due to school damage on the admin of overall perc</v>
      </c>
    </row>
    <row r="98" spans="3:7" x14ac:dyDescent="0.35">
      <c r="C98" t="s">
        <v>55</v>
      </c>
      <c r="D98" t="s">
        <v>72</v>
      </c>
      <c r="E98" t="s">
        <v>57</v>
      </c>
      <c r="F98" s="36">
        <v>74</v>
      </c>
      <c r="G98" s="16" t="str">
        <f>HYPERLINK("#'Data'!A506", "Percentage of school-aged children (3-17 y.o.) whose education was disrupted due to school damage broken down by households with at least one member w...")</f>
        <v>Percentage of school-aged children (3-17 y.o.) whose education was disrupted due to school damage broken down by households with at least one member w...</v>
      </c>
    </row>
    <row r="99" spans="3:7" x14ac:dyDescent="0.35">
      <c r="C99" t="s">
        <v>55</v>
      </c>
      <c r="D99" t="s">
        <v>72</v>
      </c>
      <c r="E99" t="s">
        <v>58</v>
      </c>
      <c r="F99" s="36">
        <v>75</v>
      </c>
      <c r="G99" s="16" t="str">
        <f>HYPERLINK("#'Data'!A512", "Percentage of school-aged children (3-17 y.o.) whose education was disrupted due to school damage broken down by urbanity on the admin of overall perc")</f>
        <v>Percentage of school-aged children (3-17 y.o.) whose education was disrupted due to school damage broken down by urbanity on the admin of overall perc</v>
      </c>
    </row>
    <row r="100" spans="3:7" x14ac:dyDescent="0.35">
      <c r="C100" t="s">
        <v>55</v>
      </c>
      <c r="D100" t="s">
        <v>72</v>
      </c>
      <c r="E100" t="s">
        <v>59</v>
      </c>
      <c r="F100" s="36">
        <v>76</v>
      </c>
      <c r="G100" s="16" t="str">
        <f>HYPERLINK("#'Data'!A518", "Percentage of school-aged children (3-17 y.o.) whose education was disrupted due to school damage broken down by household size on the admin of overal...")</f>
        <v>Percentage of school-aged children (3-17 y.o.) whose education was disrupted due to school damage broken down by household size on the admin of overal...</v>
      </c>
    </row>
    <row r="101" spans="3:7" x14ac:dyDescent="0.35">
      <c r="C101" t="s">
        <v>55</v>
      </c>
      <c r="D101" t="s">
        <v>72</v>
      </c>
      <c r="E101" t="s">
        <v>60</v>
      </c>
      <c r="F101" s="36">
        <v>77</v>
      </c>
      <c r="G101" s="16" t="str">
        <f>HYPERLINK("#'Data'!A524", "Percentage of school-aged children (3-17 y.o.) whose education was disrupted due to school damage broken down by income per capita (quartiles) on the ...")</f>
        <v>Percentage of school-aged children (3-17 y.o.) whose education was disrupted due to school damage broken down by income per capita (quartiles) on the ...</v>
      </c>
    </row>
    <row r="102" spans="3:7" x14ac:dyDescent="0.35">
      <c r="C102" t="s">
        <v>55</v>
      </c>
      <c r="D102" t="s">
        <v>72</v>
      </c>
      <c r="E102" t="s">
        <v>61</v>
      </c>
      <c r="F102" s="36">
        <v>78</v>
      </c>
      <c r="G102" s="16" t="str">
        <f>HYPERLINK("#'Data'!A532", "Percentage of school-aged children (3-17 y.o.) whose education was disrupted due to school damage broken down by gender of head of household on the ad...")</f>
        <v>Percentage of school-aged children (3-17 y.o.) whose education was disrupted due to school damage broken down by gender of head of household on the ad...</v>
      </c>
    </row>
    <row r="103" spans="3:7" x14ac:dyDescent="0.35">
      <c r="C103" t="s">
        <v>55</v>
      </c>
      <c r="D103" t="s">
        <v>72</v>
      </c>
      <c r="E103" t="s">
        <v>62</v>
      </c>
      <c r="F103" s="36">
        <v>79</v>
      </c>
      <c r="G103" s="16" t="str">
        <f>HYPERLINK("#'Data'!A539", "Percentage of school-aged children (3-17 y.o.) whose education was disrupted due to school damage broken down by age of adults in the households on th...")</f>
        <v>Percentage of school-aged children (3-17 y.o.) whose education was disrupted due to school damage broken down by age of adults in the households on th...</v>
      </c>
    </row>
    <row r="104" spans="3:7" x14ac:dyDescent="0.35">
      <c r="C104" t="s">
        <v>55</v>
      </c>
      <c r="D104" t="s">
        <v>72</v>
      </c>
      <c r="E104" t="s">
        <v>63</v>
      </c>
      <c r="F104" s="36">
        <v>80</v>
      </c>
      <c r="G104" s="16" t="str">
        <f>HYPERLINK("#'Data'!A546", "Percentage of school-aged children (3-17 y.o.) whose education was disrupted due to school damage broken down by displacement status of head of househ...")</f>
        <v>Percentage of school-aged children (3-17 y.o.) whose education was disrupted due to school damage broken down by displacement status of head of househ...</v>
      </c>
    </row>
    <row r="105" spans="3:7" x14ac:dyDescent="0.35">
      <c r="C105" t="s">
        <v>55</v>
      </c>
      <c r="D105" t="s">
        <v>72</v>
      </c>
      <c r="E105" t="s">
        <v>64</v>
      </c>
      <c r="F105" s="36">
        <v>81</v>
      </c>
      <c r="G105" s="16" t="str">
        <f>HYPERLINK("#'Data'!A555", "Percentage of school-aged children (3-17 y.o.) whose education was disrupted due to school damage broken down by IDP household on the admin of overall...")</f>
        <v>Percentage of school-aged children (3-17 y.o.) whose education was disrupted due to school damage broken down by IDP household on the admin of overall...</v>
      </c>
    </row>
    <row r="106" spans="3:7" x14ac:dyDescent="0.35">
      <c r="C106" t="s">
        <v>55</v>
      </c>
      <c r="D106" t="s">
        <v>72</v>
      </c>
      <c r="E106" t="s">
        <v>65</v>
      </c>
      <c r="F106" s="36">
        <v>82</v>
      </c>
      <c r="G106" s="16" t="str">
        <f>HYPERLINK("#'Data'!A561", "Percentage of school-aged children (3-17 y.o.) whose education was disrupted due to school damage broken down by proximity to frontline/border with Ru...")</f>
        <v>Percentage of school-aged children (3-17 y.o.) whose education was disrupted due to school damage broken down by proximity to frontline/border with Ru...</v>
      </c>
    </row>
    <row r="107" spans="3:7" x14ac:dyDescent="0.35">
      <c r="C107" t="s">
        <v>55</v>
      </c>
      <c r="D107" t="s">
        <v>72</v>
      </c>
      <c r="E107" t="s">
        <v>66</v>
      </c>
      <c r="F107" s="36">
        <v>83</v>
      </c>
      <c r="G107" s="16" t="str">
        <f>HYPERLINK("#'Data'!A568", "Percentage of school-aged children (3-17 y.o.) whose education was disrupted due to school damage broken down by age of school-aged children on the ad...")</f>
        <v>Percentage of school-aged children (3-17 y.o.) whose education was disrupted due to school damage broken down by age of school-aged children on the ad...</v>
      </c>
    </row>
    <row r="108" spans="3:7" x14ac:dyDescent="0.35">
      <c r="C108" t="s">
        <v>55</v>
      </c>
      <c r="D108" t="s">
        <v>72</v>
      </c>
      <c r="E108" t="s">
        <v>67</v>
      </c>
      <c r="F108" s="36">
        <v>84</v>
      </c>
      <c r="G108" s="16" t="str">
        <f>HYPERLINK("#'Data'!A576", "Percentage of school-aged children (3-17 y.o.) whose education was disrupted due to school damage broken down by gender of school-aged children on the...")</f>
        <v>Percentage of school-aged children (3-17 y.o.) whose education was disrupted due to school damage broken down by gender of school-aged children on the...</v>
      </c>
    </row>
    <row r="109" spans="3:7" x14ac:dyDescent="0.35">
      <c r="C109" t="s">
        <v>55</v>
      </c>
      <c r="D109" t="s">
        <v>72</v>
      </c>
      <c r="E109" t="s">
        <v>68</v>
      </c>
      <c r="F109" s="36">
        <v>85</v>
      </c>
      <c r="G109" s="16" t="str">
        <f>HYPERLINK("#'Data'!A583", "Percentage of school-aged children (3-17 y.o.) whose education was disrupted due to school damage broken down by gender and age of school-aged childre...")</f>
        <v>Percentage of school-aged children (3-17 y.o.) whose education was disrupted due to school damage broken down by gender and age of school-aged childre...</v>
      </c>
    </row>
    <row r="110" spans="3:7" x14ac:dyDescent="0.35">
      <c r="C110" t="s">
        <v>55</v>
      </c>
      <c r="D110" t="s">
        <v>73</v>
      </c>
      <c r="E110" t="s">
        <v>36</v>
      </c>
      <c r="F110" s="36">
        <v>86</v>
      </c>
      <c r="G110" s="16" t="str">
        <f>HYPERLINK("#'Data'!A596", "Percentage of school-aged children (3-17 y.o.) whose education was disrupted due to displacement/evacuation/return  on the admin of overall perc")</f>
        <v>Percentage of school-aged children (3-17 y.o.) whose education was disrupted due to displacement/evacuation/return  on the admin of overall perc</v>
      </c>
    </row>
    <row r="111" spans="3:7" x14ac:dyDescent="0.35">
      <c r="C111" t="s">
        <v>55</v>
      </c>
      <c r="D111" t="s">
        <v>73</v>
      </c>
      <c r="E111" t="s">
        <v>57</v>
      </c>
      <c r="F111" s="36">
        <v>87</v>
      </c>
      <c r="G111" s="16" t="str">
        <f>HYPERLINK("#'Data'!A601", "Percentage of school-aged children (3-17 y.o.) whose education was disrupted due to displacement/evacuation/return  broken down by households with at ...")</f>
        <v>Percentage of school-aged children (3-17 y.o.) whose education was disrupted due to displacement/evacuation/return  broken down by households with at ...</v>
      </c>
    </row>
    <row r="112" spans="3:7" x14ac:dyDescent="0.35">
      <c r="C112" t="s">
        <v>55</v>
      </c>
      <c r="D112" t="s">
        <v>73</v>
      </c>
      <c r="E112" t="s">
        <v>58</v>
      </c>
      <c r="F112" s="36">
        <v>88</v>
      </c>
      <c r="G112" s="16" t="str">
        <f>HYPERLINK("#'Data'!A607", "Percentage of school-aged children (3-17 y.o.) whose education was disrupted due to displacement/evacuation/return  broken down by urbanity on the adm...")</f>
        <v>Percentage of school-aged children (3-17 y.o.) whose education was disrupted due to displacement/evacuation/return  broken down by urbanity on the adm...</v>
      </c>
    </row>
    <row r="113" spans="3:7" x14ac:dyDescent="0.35">
      <c r="C113" t="s">
        <v>55</v>
      </c>
      <c r="D113" t="s">
        <v>73</v>
      </c>
      <c r="E113" t="s">
        <v>59</v>
      </c>
      <c r="F113" s="36">
        <v>89</v>
      </c>
      <c r="G113" s="16" t="str">
        <f>HYPERLINK("#'Data'!A613", "Percentage of school-aged children (3-17 y.o.) whose education was disrupted due to displacement/evacuation/return  broken down by household size on t...")</f>
        <v>Percentage of school-aged children (3-17 y.o.) whose education was disrupted due to displacement/evacuation/return  broken down by household size on t...</v>
      </c>
    </row>
    <row r="114" spans="3:7" x14ac:dyDescent="0.35">
      <c r="C114" t="s">
        <v>55</v>
      </c>
      <c r="D114" t="s">
        <v>73</v>
      </c>
      <c r="E114" t="s">
        <v>60</v>
      </c>
      <c r="F114" s="36">
        <v>90</v>
      </c>
      <c r="G114" s="16" t="str">
        <f>HYPERLINK("#'Data'!A619", "Percentage of school-aged children (3-17 y.o.) whose education was disrupted due to displacement/evacuation/return  broken down by income per capita (...")</f>
        <v>Percentage of school-aged children (3-17 y.o.) whose education was disrupted due to displacement/evacuation/return  broken down by income per capita (...</v>
      </c>
    </row>
    <row r="115" spans="3:7" x14ac:dyDescent="0.35">
      <c r="C115" t="s">
        <v>55</v>
      </c>
      <c r="D115" t="s">
        <v>73</v>
      </c>
      <c r="E115" t="s">
        <v>61</v>
      </c>
      <c r="F115" s="36">
        <v>91</v>
      </c>
      <c r="G115" s="16" t="str">
        <f>HYPERLINK("#'Data'!A627", "Percentage of school-aged children (3-17 y.o.) whose education was disrupted due to displacement/evacuation/return  broken down by gender of head of h...")</f>
        <v>Percentage of school-aged children (3-17 y.o.) whose education was disrupted due to displacement/evacuation/return  broken down by gender of head of h...</v>
      </c>
    </row>
    <row r="116" spans="3:7" x14ac:dyDescent="0.35">
      <c r="C116" t="s">
        <v>55</v>
      </c>
      <c r="D116" t="s">
        <v>73</v>
      </c>
      <c r="E116" t="s">
        <v>62</v>
      </c>
      <c r="F116" s="36">
        <v>92</v>
      </c>
      <c r="G116" s="16" t="str">
        <f>HYPERLINK("#'Data'!A634", "Percentage of school-aged children (3-17 y.o.) whose education was disrupted due to displacement/evacuation/return  broken down by age of adults in th...")</f>
        <v>Percentage of school-aged children (3-17 y.o.) whose education was disrupted due to displacement/evacuation/return  broken down by age of adults in th...</v>
      </c>
    </row>
    <row r="117" spans="3:7" x14ac:dyDescent="0.35">
      <c r="C117" t="s">
        <v>55</v>
      </c>
      <c r="D117" t="s">
        <v>73</v>
      </c>
      <c r="E117" t="s">
        <v>63</v>
      </c>
      <c r="F117" s="36">
        <v>93</v>
      </c>
      <c r="G117" s="16" t="str">
        <f>HYPERLINK("#'Data'!A641", "Percentage of school-aged children (3-17 y.o.) whose education was disrupted due to displacement/evacuation/return  broken down by displacement status...")</f>
        <v>Percentage of school-aged children (3-17 y.o.) whose education was disrupted due to displacement/evacuation/return  broken down by displacement status...</v>
      </c>
    </row>
    <row r="118" spans="3:7" x14ac:dyDescent="0.35">
      <c r="C118" t="s">
        <v>55</v>
      </c>
      <c r="D118" t="s">
        <v>73</v>
      </c>
      <c r="E118" t="s">
        <v>64</v>
      </c>
      <c r="F118" s="36">
        <v>94</v>
      </c>
      <c r="G118" s="16" t="str">
        <f>HYPERLINK("#'Data'!A650", "Percentage of school-aged children (3-17 y.o.) whose education was disrupted due to displacement/evacuation/return  broken down by IDP household on th...")</f>
        <v>Percentage of school-aged children (3-17 y.o.) whose education was disrupted due to displacement/evacuation/return  broken down by IDP household on th...</v>
      </c>
    </row>
    <row r="119" spans="3:7" x14ac:dyDescent="0.35">
      <c r="C119" t="s">
        <v>55</v>
      </c>
      <c r="D119" t="s">
        <v>73</v>
      </c>
      <c r="E119" t="s">
        <v>65</v>
      </c>
      <c r="F119" s="36">
        <v>95</v>
      </c>
      <c r="G119" s="16" t="str">
        <f>HYPERLINK("#'Data'!A656", "Percentage of school-aged children (3-17 y.o.) whose education was disrupted due to displacement/evacuation/return  broken down by proximity to frontl...")</f>
        <v>Percentage of school-aged children (3-17 y.o.) whose education was disrupted due to displacement/evacuation/return  broken down by proximity to frontl...</v>
      </c>
    </row>
    <row r="120" spans="3:7" x14ac:dyDescent="0.35">
      <c r="C120" t="s">
        <v>55</v>
      </c>
      <c r="D120" t="s">
        <v>73</v>
      </c>
      <c r="E120" t="s">
        <v>66</v>
      </c>
      <c r="F120" s="36">
        <v>96</v>
      </c>
      <c r="G120" s="16" t="str">
        <f>HYPERLINK("#'Data'!A663", "Percentage of school-aged children (3-17 y.o.) whose education was disrupted due to displacement/evacuation/return  broken down by age of school-aged ...")</f>
        <v>Percentage of school-aged children (3-17 y.o.) whose education was disrupted due to displacement/evacuation/return  broken down by age of school-aged ...</v>
      </c>
    </row>
    <row r="121" spans="3:7" x14ac:dyDescent="0.35">
      <c r="C121" t="s">
        <v>55</v>
      </c>
      <c r="D121" t="s">
        <v>73</v>
      </c>
      <c r="E121" t="s">
        <v>67</v>
      </c>
      <c r="F121" s="36">
        <v>97</v>
      </c>
      <c r="G121" s="16" t="str">
        <f>HYPERLINK("#'Data'!A671", "Percentage of school-aged children (3-17 y.o.) whose education was disrupted due to displacement/evacuation/return  broken down by gender of school-ag...")</f>
        <v>Percentage of school-aged children (3-17 y.o.) whose education was disrupted due to displacement/evacuation/return  broken down by gender of school-ag...</v>
      </c>
    </row>
    <row r="122" spans="3:7" x14ac:dyDescent="0.35">
      <c r="C122" t="s">
        <v>55</v>
      </c>
      <c r="D122" t="s">
        <v>73</v>
      </c>
      <c r="E122" t="s">
        <v>68</v>
      </c>
      <c r="F122" s="36">
        <v>98</v>
      </c>
      <c r="G122" s="16" t="str">
        <f>HYPERLINK("#'Data'!A678", "Percentage of school-aged children (3-17 y.o.) whose education was disrupted due to displacement/evacuation/return  broken down by gender and age of s...")</f>
        <v>Percentage of school-aged children (3-17 y.o.) whose education was disrupted due to displacement/evacuation/return  broken down by gender and age of s...</v>
      </c>
    </row>
    <row r="123" spans="3:7" x14ac:dyDescent="0.35">
      <c r="C123" t="s">
        <v>74</v>
      </c>
      <c r="D123" t="s">
        <v>75</v>
      </c>
      <c r="E123" t="s">
        <v>36</v>
      </c>
      <c r="F123" s="36">
        <v>99</v>
      </c>
      <c r="G123" s="16" t="str">
        <f>HYPERLINK("#'Data'!A691", "Percentage of household members who needed to access healthcare in the past 3 months on the admin of overall perc")</f>
        <v>Percentage of household members who needed to access healthcare in the past 3 months on the admin of overall perc</v>
      </c>
    </row>
    <row r="124" spans="3:7" x14ac:dyDescent="0.35">
      <c r="C124" t="s">
        <v>74</v>
      </c>
      <c r="D124" t="s">
        <v>75</v>
      </c>
      <c r="E124" t="s">
        <v>57</v>
      </c>
      <c r="F124" s="36">
        <v>100</v>
      </c>
      <c r="G124" s="16" t="str">
        <f>HYPERLINK("#'Data'!A696", "Percentage of household members who needed to access healthcare in the past 3 months broken down by households with at least one member with a reporte...")</f>
        <v>Percentage of household members who needed to access healthcare in the past 3 months broken down by households with at least one member with a reporte...</v>
      </c>
    </row>
    <row r="125" spans="3:7" x14ac:dyDescent="0.35">
      <c r="C125" t="s">
        <v>74</v>
      </c>
      <c r="D125" t="s">
        <v>75</v>
      </c>
      <c r="E125" t="s">
        <v>58</v>
      </c>
      <c r="F125" s="36">
        <v>101</v>
      </c>
      <c r="G125" s="16" t="str">
        <f>HYPERLINK("#'Data'!A702", "Percentage of household members who needed to access healthcare in the past 3 months broken down by urbanity on the admin of overall perc")</f>
        <v>Percentage of household members who needed to access healthcare in the past 3 months broken down by urbanity on the admin of overall perc</v>
      </c>
    </row>
    <row r="126" spans="3:7" x14ac:dyDescent="0.35">
      <c r="C126" t="s">
        <v>74</v>
      </c>
      <c r="D126" t="s">
        <v>75</v>
      </c>
      <c r="E126" t="s">
        <v>59</v>
      </c>
      <c r="F126" s="36">
        <v>102</v>
      </c>
      <c r="G126" s="16" t="str">
        <f>HYPERLINK("#'Data'!A708", "Percentage of household members who needed to access healthcare in the past 3 months broken down by household size on the admin of overall perc")</f>
        <v>Percentage of household members who needed to access healthcare in the past 3 months broken down by household size on the admin of overall perc</v>
      </c>
    </row>
    <row r="127" spans="3:7" x14ac:dyDescent="0.35">
      <c r="C127" t="s">
        <v>74</v>
      </c>
      <c r="D127" t="s">
        <v>75</v>
      </c>
      <c r="E127" t="s">
        <v>60</v>
      </c>
      <c r="F127" s="36">
        <v>103</v>
      </c>
      <c r="G127" s="16" t="str">
        <f>HYPERLINK("#'Data'!A715", "Percentage of household members who needed to access healthcare in the past 3 months broken down by income per capita (quartiles) on the admin of over...")</f>
        <v>Percentage of household members who needed to access healthcare in the past 3 months broken down by income per capita (quartiles) on the admin of over...</v>
      </c>
    </row>
    <row r="128" spans="3:7" x14ac:dyDescent="0.35">
      <c r="C128" t="s">
        <v>74</v>
      </c>
      <c r="D128" t="s">
        <v>75</v>
      </c>
      <c r="E128" t="s">
        <v>61</v>
      </c>
      <c r="F128" s="36">
        <v>104</v>
      </c>
      <c r="G128" s="16" t="str">
        <f>HYPERLINK("#'Data'!A723", "Percentage of household members who needed to access healthcare in the past 3 months broken down by gender of head of household on the admin of overal...")</f>
        <v>Percentage of household members who needed to access healthcare in the past 3 months broken down by gender of head of household on the admin of overal...</v>
      </c>
    </row>
    <row r="129" spans="3:7" x14ac:dyDescent="0.35">
      <c r="C129" t="s">
        <v>74</v>
      </c>
      <c r="D129" t="s">
        <v>75</v>
      </c>
      <c r="E129" t="s">
        <v>62</v>
      </c>
      <c r="F129" s="36">
        <v>105</v>
      </c>
      <c r="G129" s="16" t="str">
        <f>HYPERLINK("#'Data'!A731", "Percentage of household members who needed to access healthcare in the past 3 months broken down by age of adults in the households on the admin of ov...")</f>
        <v>Percentage of household members who needed to access healthcare in the past 3 months broken down by age of adults in the households on the admin of ov...</v>
      </c>
    </row>
    <row r="130" spans="3:7" x14ac:dyDescent="0.35">
      <c r="C130" t="s">
        <v>74</v>
      </c>
      <c r="D130" t="s">
        <v>75</v>
      </c>
      <c r="E130" t="s">
        <v>76</v>
      </c>
      <c r="F130" s="36">
        <v>106</v>
      </c>
      <c r="G130" s="16" t="str">
        <f>HYPERLINK("#'Data'!A738", "Percentage of household members who needed to access healthcare in the past 3 months broken down by households with at least one child (&lt;18 y.o.) on t...")</f>
        <v>Percentage of household members who needed to access healthcare in the past 3 months broken down by households with at least one child (&lt;18 y.o.) on t...</v>
      </c>
    </row>
    <row r="131" spans="3:7" x14ac:dyDescent="0.35">
      <c r="C131" t="s">
        <v>74</v>
      </c>
      <c r="D131" t="s">
        <v>75</v>
      </c>
      <c r="E131" t="s">
        <v>63</v>
      </c>
      <c r="F131" s="36">
        <v>107</v>
      </c>
      <c r="G131" s="16" t="str">
        <f>HYPERLINK("#'Data'!A744", "Percentage of household members who needed to access healthcare in the past 3 months broken down by displacement status of head of household on the ad...")</f>
        <v>Percentage of household members who needed to access healthcare in the past 3 months broken down by displacement status of head of household on the ad...</v>
      </c>
    </row>
    <row r="132" spans="3:7" x14ac:dyDescent="0.35">
      <c r="C132" t="s">
        <v>74</v>
      </c>
      <c r="D132" t="s">
        <v>75</v>
      </c>
      <c r="E132" t="s">
        <v>64</v>
      </c>
      <c r="F132" s="36">
        <v>108</v>
      </c>
      <c r="G132" s="16" t="str">
        <f>HYPERLINK("#'Data'!A753", "Percentage of household members who needed to access healthcare in the past 3 months broken down by IDP household on the admin of overall perc")</f>
        <v>Percentage of household members who needed to access healthcare in the past 3 months broken down by IDP household on the admin of overall perc</v>
      </c>
    </row>
    <row r="133" spans="3:7" x14ac:dyDescent="0.35">
      <c r="C133" t="s">
        <v>74</v>
      </c>
      <c r="D133" t="s">
        <v>75</v>
      </c>
      <c r="E133" t="s">
        <v>65</v>
      </c>
      <c r="F133" s="36">
        <v>109</v>
      </c>
      <c r="G133" s="16" t="str">
        <f>HYPERLINK("#'Data'!A759", "Percentage of household members who needed to access healthcare in the past 3 months broken down by proximity to frontline/border with Russian Federat...")</f>
        <v>Percentage of household members who needed to access healthcare in the past 3 months broken down by proximity to frontline/border with Russian Federat...</v>
      </c>
    </row>
    <row r="134" spans="3:7" x14ac:dyDescent="0.35">
      <c r="C134" t="s">
        <v>74</v>
      </c>
      <c r="D134" t="s">
        <v>75</v>
      </c>
      <c r="E134" t="s">
        <v>77</v>
      </c>
      <c r="F134" s="36">
        <v>110</v>
      </c>
      <c r="G134" s="16" t="str">
        <f>HYPERLINK("#'Data'!A766", "Percentage of household members who needed to access healthcare in the past 3 months broken down by caregiving status  on the admin of overall perc")</f>
        <v>Percentage of household members who needed to access healthcare in the past 3 months broken down by caregiving status  on the admin of overall perc</v>
      </c>
    </row>
    <row r="135" spans="3:7" x14ac:dyDescent="0.35">
      <c r="C135" t="s">
        <v>74</v>
      </c>
      <c r="D135" t="s">
        <v>75</v>
      </c>
      <c r="E135" t="s">
        <v>78</v>
      </c>
      <c r="F135" s="36">
        <v>111</v>
      </c>
      <c r="G135" s="16" t="str">
        <f>HYPERLINK("#'Data'!A774", "Percentage of household members who needed to access healthcare in the past 3 months broken down by age of household members on the admin of overall p...")</f>
        <v>Percentage of household members who needed to access healthcare in the past 3 months broken down by age of household members on the admin of overall p...</v>
      </c>
    </row>
    <row r="136" spans="3:7" x14ac:dyDescent="0.35">
      <c r="C136" t="s">
        <v>74</v>
      </c>
      <c r="D136" t="s">
        <v>75</v>
      </c>
      <c r="E136" t="s">
        <v>52</v>
      </c>
      <c r="F136" s="36">
        <v>112</v>
      </c>
      <c r="G136" s="16" t="str">
        <f>HYPERLINK("#'Data'!A784", "Percentage of household members who needed to access healthcare in the past 3 months broken down by gender of household members on the admin of overal...")</f>
        <v>Percentage of household members who needed to access healthcare in the past 3 months broken down by gender of household members on the admin of overal...</v>
      </c>
    </row>
    <row r="137" spans="3:7" x14ac:dyDescent="0.35">
      <c r="C137" t="s">
        <v>74</v>
      </c>
      <c r="D137" t="s">
        <v>75</v>
      </c>
      <c r="E137" t="s">
        <v>79</v>
      </c>
      <c r="F137" s="36">
        <v>113</v>
      </c>
      <c r="G137" s="16" t="str">
        <f>HYPERLINK("#'Data'!A791", "Percentage of household members who needed to access healthcare in the past 3 months broken down by age and gender of household members on the admin o...")</f>
        <v>Percentage of household members who needed to access healthcare in the past 3 months broken down by age and gender of household members on the admin o...</v>
      </c>
    </row>
    <row r="138" spans="3:7" x14ac:dyDescent="0.35">
      <c r="C138" t="s">
        <v>74</v>
      </c>
      <c r="D138" t="s">
        <v>80</v>
      </c>
      <c r="E138" t="s">
        <v>36</v>
      </c>
      <c r="F138" s="36">
        <v>114</v>
      </c>
      <c r="G138" s="16" t="str">
        <f>HYPERLINK("#'Data'!A812", "Percentage of household members able to obtain all healthcare in the past 3 months  on the admin of overall perc")</f>
        <v>Percentage of household members able to obtain all healthcare in the past 3 months  on the admin of overall perc</v>
      </c>
    </row>
    <row r="139" spans="3:7" x14ac:dyDescent="0.35">
      <c r="C139" t="s">
        <v>74</v>
      </c>
      <c r="D139" t="s">
        <v>80</v>
      </c>
      <c r="E139" t="s">
        <v>57</v>
      </c>
      <c r="F139" s="36">
        <v>115</v>
      </c>
      <c r="G139" s="16" t="str">
        <f>HYPERLINK("#'Data'!A817", "Percentage of household members able to obtain all healthcare in the past 3 months  broken down by households with at least one member with a reported...")</f>
        <v>Percentage of household members able to obtain all healthcare in the past 3 months  broken down by households with at least one member with a reported...</v>
      </c>
    </row>
    <row r="140" spans="3:7" x14ac:dyDescent="0.35">
      <c r="C140" t="s">
        <v>74</v>
      </c>
      <c r="D140" t="s">
        <v>80</v>
      </c>
      <c r="E140" t="s">
        <v>58</v>
      </c>
      <c r="F140" s="36">
        <v>116</v>
      </c>
      <c r="G140" s="16" t="str">
        <f>HYPERLINK("#'Data'!A823", "Percentage of household members able to obtain all healthcare in the past 3 months  broken down by urbanity on the admin of overall perc")</f>
        <v>Percentage of household members able to obtain all healthcare in the past 3 months  broken down by urbanity on the admin of overall perc</v>
      </c>
    </row>
    <row r="141" spans="3:7" x14ac:dyDescent="0.35">
      <c r="C141" t="s">
        <v>74</v>
      </c>
      <c r="D141" t="s">
        <v>80</v>
      </c>
      <c r="E141" t="s">
        <v>59</v>
      </c>
      <c r="F141" s="36">
        <v>117</v>
      </c>
      <c r="G141" s="16" t="str">
        <f>HYPERLINK("#'Data'!A829", "Percentage of household members able to obtain all healthcare in the past 3 months  broken down by household size on the admin of overall perc")</f>
        <v>Percentage of household members able to obtain all healthcare in the past 3 months  broken down by household size on the admin of overall perc</v>
      </c>
    </row>
    <row r="142" spans="3:7" x14ac:dyDescent="0.35">
      <c r="C142" t="s">
        <v>74</v>
      </c>
      <c r="D142" t="s">
        <v>80</v>
      </c>
      <c r="E142" t="s">
        <v>60</v>
      </c>
      <c r="F142" s="36">
        <v>118</v>
      </c>
      <c r="G142" s="16" t="str">
        <f>HYPERLINK("#'Data'!A836", "Percentage of household members able to obtain all healthcare in the past 3 months  broken down by income per capita (quartiles) on the admin of overa...")</f>
        <v>Percentage of household members able to obtain all healthcare in the past 3 months  broken down by income per capita (quartiles) on the admin of overa...</v>
      </c>
    </row>
    <row r="143" spans="3:7" x14ac:dyDescent="0.35">
      <c r="C143" t="s">
        <v>74</v>
      </c>
      <c r="D143" t="s">
        <v>80</v>
      </c>
      <c r="E143" t="s">
        <v>61</v>
      </c>
      <c r="F143" s="36">
        <v>119</v>
      </c>
      <c r="G143" s="16" t="str">
        <f>HYPERLINK("#'Data'!A844", "Percentage of household members able to obtain all healthcare in the past 3 months  broken down by gender of head of household on the admin of overall...")</f>
        <v>Percentage of household members able to obtain all healthcare in the past 3 months  broken down by gender of head of household on the admin of overall...</v>
      </c>
    </row>
    <row r="144" spans="3:7" x14ac:dyDescent="0.35">
      <c r="C144" t="s">
        <v>74</v>
      </c>
      <c r="D144" t="s">
        <v>80</v>
      </c>
      <c r="E144" t="s">
        <v>62</v>
      </c>
      <c r="F144" s="36">
        <v>120</v>
      </c>
      <c r="G144" s="16" t="str">
        <f>HYPERLINK("#'Data'!A852", "Percentage of household members able to obtain all healthcare in the past 3 months  broken down by age of adults in the households on the admin of ove...")</f>
        <v>Percentage of household members able to obtain all healthcare in the past 3 months  broken down by age of adults in the households on the admin of ove...</v>
      </c>
    </row>
    <row r="145" spans="3:7" x14ac:dyDescent="0.35">
      <c r="C145" t="s">
        <v>74</v>
      </c>
      <c r="D145" t="s">
        <v>80</v>
      </c>
      <c r="E145" t="s">
        <v>76</v>
      </c>
      <c r="F145" s="36">
        <v>121</v>
      </c>
      <c r="G145" s="16" t="str">
        <f>HYPERLINK("#'Data'!A859", "Percentage of household members able to obtain all healthcare in the past 3 months  broken down by households with at least one child (&lt;18 y.o.) on th...")</f>
        <v>Percentage of household members able to obtain all healthcare in the past 3 months  broken down by households with at least one child (&lt;18 y.o.) on th...</v>
      </c>
    </row>
    <row r="146" spans="3:7" x14ac:dyDescent="0.35">
      <c r="C146" t="s">
        <v>74</v>
      </c>
      <c r="D146" t="s">
        <v>80</v>
      </c>
      <c r="E146" t="s">
        <v>63</v>
      </c>
      <c r="F146" s="36">
        <v>122</v>
      </c>
      <c r="G146" s="16" t="str">
        <f>HYPERLINK("#'Data'!A865", "Percentage of household members able to obtain all healthcare in the past 3 months  broken down by displacement status of head of household on the adm...")</f>
        <v>Percentage of household members able to obtain all healthcare in the past 3 months  broken down by displacement status of head of household on the adm...</v>
      </c>
    </row>
    <row r="147" spans="3:7" x14ac:dyDescent="0.35">
      <c r="C147" t="s">
        <v>74</v>
      </c>
      <c r="D147" t="s">
        <v>80</v>
      </c>
      <c r="E147" t="s">
        <v>64</v>
      </c>
      <c r="F147" s="36">
        <v>123</v>
      </c>
      <c r="G147" s="16" t="str">
        <f>HYPERLINK("#'Data'!A874", "Percentage of household members able to obtain all healthcare in the past 3 months  broken down by IDP household on the admin of overall perc")</f>
        <v>Percentage of household members able to obtain all healthcare in the past 3 months  broken down by IDP household on the admin of overall perc</v>
      </c>
    </row>
    <row r="148" spans="3:7" x14ac:dyDescent="0.35">
      <c r="C148" t="s">
        <v>74</v>
      </c>
      <c r="D148" t="s">
        <v>80</v>
      </c>
      <c r="E148" t="s">
        <v>65</v>
      </c>
      <c r="F148" s="36">
        <v>124</v>
      </c>
      <c r="G148" s="16" t="str">
        <f>HYPERLINK("#'Data'!A880", "Percentage of household members able to obtain all healthcare in the past 3 months  broken down by proximity to frontline/border with Russian Federati...")</f>
        <v>Percentage of household members able to obtain all healthcare in the past 3 months  broken down by proximity to frontline/border with Russian Federati...</v>
      </c>
    </row>
    <row r="149" spans="3:7" x14ac:dyDescent="0.35">
      <c r="C149" t="s">
        <v>74</v>
      </c>
      <c r="D149" t="s">
        <v>80</v>
      </c>
      <c r="E149" t="s">
        <v>77</v>
      </c>
      <c r="F149" s="36">
        <v>125</v>
      </c>
      <c r="G149" s="16" t="str">
        <f>HYPERLINK("#'Data'!A887", "Percentage of household members able to obtain all healthcare in the past 3 months  broken down by caregiving status  on the admin of overall perc")</f>
        <v>Percentage of household members able to obtain all healthcare in the past 3 months  broken down by caregiving status  on the admin of overall perc</v>
      </c>
    </row>
    <row r="150" spans="3:7" x14ac:dyDescent="0.35">
      <c r="C150" t="s">
        <v>74</v>
      </c>
      <c r="D150" t="s">
        <v>80</v>
      </c>
      <c r="E150" t="s">
        <v>78</v>
      </c>
      <c r="F150" s="36">
        <v>126</v>
      </c>
      <c r="G150" s="16" t="str">
        <f>HYPERLINK("#'Data'!A895", "Percentage of household members able to obtain all healthcare in the past 3 months  broken down by age of household members on the admin of overall pe...")</f>
        <v>Percentage of household members able to obtain all healthcare in the past 3 months  broken down by age of household members on the admin of overall pe...</v>
      </c>
    </row>
    <row r="151" spans="3:7" x14ac:dyDescent="0.35">
      <c r="C151" t="s">
        <v>74</v>
      </c>
      <c r="D151" t="s">
        <v>80</v>
      </c>
      <c r="E151" t="s">
        <v>52</v>
      </c>
      <c r="F151" s="36">
        <v>127</v>
      </c>
      <c r="G151" s="16" t="str">
        <f>HYPERLINK("#'Data'!A905", "Percentage of household members able to obtain all healthcare in the past 3 months  broken down by gender of household members on the admin of overall...")</f>
        <v>Percentage of household members able to obtain all healthcare in the past 3 months  broken down by gender of household members on the admin of overall...</v>
      </c>
    </row>
    <row r="152" spans="3:7" x14ac:dyDescent="0.35">
      <c r="C152" t="s">
        <v>74</v>
      </c>
      <c r="D152" t="s">
        <v>80</v>
      </c>
      <c r="E152" t="s">
        <v>79</v>
      </c>
      <c r="F152" s="36">
        <v>128</v>
      </c>
      <c r="G152" s="16" t="str">
        <f>HYPERLINK("#'Data'!A912", "Percentage of household members able to obtain all healthcare in the past 3 months  broken down by age and gender of household members on the admin of...")</f>
        <v>Percentage of household members able to obtain all healthcare in the past 3 months  broken down by age and gender of household members on the admin of...</v>
      </c>
    </row>
    <row r="153" spans="3:7" x14ac:dyDescent="0.35">
      <c r="C153" t="s">
        <v>74</v>
      </c>
      <c r="D153" t="s">
        <v>81</v>
      </c>
      <c r="E153" t="s">
        <v>36</v>
      </c>
      <c r="F153" s="36">
        <v>129</v>
      </c>
      <c r="G153" s="16" t="str">
        <f>HYPERLINK("#'Data'!A931", "Percentage of household members unable to obtain all healthcare in the past 3 months, by type of need on the admin of overall perc")</f>
        <v>Percentage of household members unable to obtain all healthcare in the past 3 months, by type of need on the admin of overall perc</v>
      </c>
    </row>
    <row r="154" spans="3:7" x14ac:dyDescent="0.35">
      <c r="C154" t="s">
        <v>74</v>
      </c>
      <c r="D154" t="s">
        <v>81</v>
      </c>
      <c r="E154" t="s">
        <v>57</v>
      </c>
      <c r="F154" s="36">
        <v>130</v>
      </c>
      <c r="G154" s="16" t="str">
        <f>HYPERLINK("#'Data'!A936", "Percentage of household members unable to obtain all healthcare in the past 3 months, by type of need broken down by households with at least one memb...")</f>
        <v>Percentage of household members unable to obtain all healthcare in the past 3 months, by type of need broken down by households with at least one memb...</v>
      </c>
    </row>
    <row r="155" spans="3:7" x14ac:dyDescent="0.35">
      <c r="C155" t="s">
        <v>74</v>
      </c>
      <c r="D155" t="s">
        <v>81</v>
      </c>
      <c r="E155" t="s">
        <v>58</v>
      </c>
      <c r="F155" s="36">
        <v>131</v>
      </c>
      <c r="G155" s="16" t="str">
        <f>HYPERLINK("#'Data'!A942", "Percentage of household members unable to obtain all healthcare in the past 3 months, by type of need broken down by urbanity on the admin of overall ...")</f>
        <v>Percentage of household members unable to obtain all healthcare in the past 3 months, by type of need broken down by urbanity on the admin of overall ...</v>
      </c>
    </row>
    <row r="156" spans="3:7" x14ac:dyDescent="0.35">
      <c r="C156" t="s">
        <v>74</v>
      </c>
      <c r="D156" t="s">
        <v>81</v>
      </c>
      <c r="E156" t="s">
        <v>59</v>
      </c>
      <c r="F156" s="36">
        <v>132</v>
      </c>
      <c r="G156" s="16" t="str">
        <f>HYPERLINK("#'Data'!A948", "Percentage of household members unable to obtain all healthcare in the past 3 months, by type of need broken down by household size on the admin of ov...")</f>
        <v>Percentage of household members unable to obtain all healthcare in the past 3 months, by type of need broken down by household size on the admin of ov...</v>
      </c>
    </row>
    <row r="157" spans="3:7" x14ac:dyDescent="0.35">
      <c r="C157" t="s">
        <v>74</v>
      </c>
      <c r="D157" t="s">
        <v>81</v>
      </c>
      <c r="E157" t="s">
        <v>60</v>
      </c>
      <c r="F157" s="36">
        <v>133</v>
      </c>
      <c r="G157" s="16" t="str">
        <f>HYPERLINK("#'Data'!A955", "Percentage of household members unable to obtain all healthcare in the past 3 months, by type of need broken down by income per capita (quartiles) on ...")</f>
        <v>Percentage of household members unable to obtain all healthcare in the past 3 months, by type of need broken down by income per capita (quartiles) on ...</v>
      </c>
    </row>
    <row r="158" spans="3:7" x14ac:dyDescent="0.35">
      <c r="C158" t="s">
        <v>74</v>
      </c>
      <c r="D158" t="s">
        <v>81</v>
      </c>
      <c r="E158" t="s">
        <v>61</v>
      </c>
      <c r="F158" s="36">
        <v>134</v>
      </c>
      <c r="G158" s="16" t="str">
        <f>HYPERLINK("#'Data'!A963", "Percentage of household members unable to obtain all healthcare in the past 3 months, by type of need broken down by gender of head of household on th...")</f>
        <v>Percentage of household members unable to obtain all healthcare in the past 3 months, by type of need broken down by gender of head of household on th...</v>
      </c>
    </row>
    <row r="159" spans="3:7" x14ac:dyDescent="0.35">
      <c r="C159" t="s">
        <v>74</v>
      </c>
      <c r="D159" t="s">
        <v>81</v>
      </c>
      <c r="E159" t="s">
        <v>62</v>
      </c>
      <c r="F159" s="36">
        <v>135</v>
      </c>
      <c r="G159" s="16" t="str">
        <f>HYPERLINK("#'Data'!A970", "Percentage of household members unable to obtain all healthcare in the past 3 months, by type of need broken down by age of adults in the households o...")</f>
        <v>Percentage of household members unable to obtain all healthcare in the past 3 months, by type of need broken down by age of adults in the households o...</v>
      </c>
    </row>
    <row r="160" spans="3:7" x14ac:dyDescent="0.35">
      <c r="C160" t="s">
        <v>74</v>
      </c>
      <c r="D160" t="s">
        <v>81</v>
      </c>
      <c r="E160" t="s">
        <v>76</v>
      </c>
      <c r="F160" s="36">
        <v>136</v>
      </c>
      <c r="G160" s="16" t="str">
        <f>HYPERLINK("#'Data'!A977", "Percentage of household members unable to obtain all healthcare in the past 3 months, by type of need broken down by households with at least one chil...")</f>
        <v>Percentage of household members unable to obtain all healthcare in the past 3 months, by type of need broken down by households with at least one chil...</v>
      </c>
    </row>
    <row r="161" spans="3:7" x14ac:dyDescent="0.35">
      <c r="C161" t="s">
        <v>74</v>
      </c>
      <c r="D161" t="s">
        <v>81</v>
      </c>
      <c r="E161" t="s">
        <v>63</v>
      </c>
      <c r="F161" s="36">
        <v>137</v>
      </c>
      <c r="G161" s="16" t="str">
        <f>HYPERLINK("#'Data'!A983", "Percentage of household members unable to obtain all healthcare in the past 3 months, by type of need broken down by displacement status of head of ho...")</f>
        <v>Percentage of household members unable to obtain all healthcare in the past 3 months, by type of need broken down by displacement status of head of ho...</v>
      </c>
    </row>
    <row r="162" spans="3:7" x14ac:dyDescent="0.35">
      <c r="C162" t="s">
        <v>74</v>
      </c>
      <c r="D162" t="s">
        <v>81</v>
      </c>
      <c r="E162" t="s">
        <v>64</v>
      </c>
      <c r="F162" s="36">
        <v>138</v>
      </c>
      <c r="G162" s="16" t="str">
        <f>HYPERLINK("#'Data'!A992", "Percentage of household members unable to obtain all healthcare in the past 3 months, by type of need broken down by IDP household on the admin of ove...")</f>
        <v>Percentage of household members unable to obtain all healthcare in the past 3 months, by type of need broken down by IDP household on the admin of ove...</v>
      </c>
    </row>
    <row r="163" spans="3:7" x14ac:dyDescent="0.35">
      <c r="C163" t="s">
        <v>74</v>
      </c>
      <c r="D163" t="s">
        <v>81</v>
      </c>
      <c r="E163" t="s">
        <v>65</v>
      </c>
      <c r="F163" s="36">
        <v>139</v>
      </c>
      <c r="G163" s="16" t="str">
        <f>HYPERLINK("#'Data'!A998", "Percentage of household members unable to obtain all healthcare in the past 3 months, by type of need broken down by proximity to frontline/border wit...")</f>
        <v>Percentage of household members unable to obtain all healthcare in the past 3 months, by type of need broken down by proximity to frontline/border wit...</v>
      </c>
    </row>
    <row r="164" spans="3:7" x14ac:dyDescent="0.35">
      <c r="C164" t="s">
        <v>74</v>
      </c>
      <c r="D164" t="s">
        <v>81</v>
      </c>
      <c r="E164" t="s">
        <v>77</v>
      </c>
      <c r="F164" s="36">
        <v>140</v>
      </c>
      <c r="G164" s="16" t="str">
        <f>HYPERLINK("#'Data'!A1005", "Percentage of household members unable to obtain all healthcare in the past 3 months, by type of need broken down by caregiving status  on the admin o...")</f>
        <v>Percentage of household members unable to obtain all healthcare in the past 3 months, by type of need broken down by caregiving status  on the admin o...</v>
      </c>
    </row>
    <row r="165" spans="3:7" x14ac:dyDescent="0.35">
      <c r="C165" t="s">
        <v>74</v>
      </c>
      <c r="D165" t="s">
        <v>81</v>
      </c>
      <c r="E165" t="s">
        <v>78</v>
      </c>
      <c r="F165" s="36">
        <v>141</v>
      </c>
      <c r="G165" s="16" t="str">
        <f>HYPERLINK("#'Data'!A1012", "Percentage of household members unable to obtain all healthcare in the past 3 months, by type of need broken down by age of household members on the a...")</f>
        <v>Percentage of household members unable to obtain all healthcare in the past 3 months, by type of need broken down by age of household members on the a...</v>
      </c>
    </row>
    <row r="166" spans="3:7" x14ac:dyDescent="0.35">
      <c r="C166" t="s">
        <v>74</v>
      </c>
      <c r="D166" t="s">
        <v>81</v>
      </c>
      <c r="E166" t="s">
        <v>52</v>
      </c>
      <c r="F166" s="36">
        <v>142</v>
      </c>
      <c r="G166" s="16" t="str">
        <f>HYPERLINK("#'Data'!A1022", "Percentage of household members unable to obtain all healthcare in the past 3 months, by type of need broken down by gender of household members on th...")</f>
        <v>Percentage of household members unable to obtain all healthcare in the past 3 months, by type of need broken down by gender of household members on th...</v>
      </c>
    </row>
    <row r="167" spans="3:7" x14ac:dyDescent="0.35">
      <c r="C167" t="s">
        <v>74</v>
      </c>
      <c r="D167" t="s">
        <v>81</v>
      </c>
      <c r="E167" t="s">
        <v>79</v>
      </c>
      <c r="F167" s="36">
        <v>143</v>
      </c>
      <c r="G167" s="16" t="str">
        <f>HYPERLINK("#'Data'!A1028", "Percentage of household members unable to obtain all healthcare in the past 3 months, by type of need broken down by age and gender of household membe...")</f>
        <v>Percentage of household members unable to obtain all healthcare in the past 3 months, by type of need broken down by age and gender of household membe...</v>
      </c>
    </row>
    <row r="168" spans="3:7" x14ac:dyDescent="0.35">
      <c r="C168" t="s">
        <v>74</v>
      </c>
      <c r="D168" t="s">
        <v>82</v>
      </c>
      <c r="E168" t="s">
        <v>36</v>
      </c>
      <c r="F168" s="36">
        <v>144</v>
      </c>
      <c r="G168" s="16" t="str">
        <f>HYPERLINK("#'Data'!A1044", "Average travel time to nearest functioning health facility (minutes) on the admin of overall mean")</f>
        <v>Average travel time to nearest functioning health facility (minutes) on the admin of overall mean</v>
      </c>
    </row>
    <row r="169" spans="3:7" x14ac:dyDescent="0.35">
      <c r="C169" t="s">
        <v>74</v>
      </c>
      <c r="D169" t="s">
        <v>82</v>
      </c>
      <c r="E169" t="s">
        <v>57</v>
      </c>
      <c r="F169" s="36">
        <v>145</v>
      </c>
      <c r="G169" s="16" t="str">
        <f>HYPERLINK("#'Data'!A1049", "Average travel time to nearest functioning health facility (minutes) broken down by households with at least one member with a reported and/or registe...")</f>
        <v>Average travel time to nearest functioning health facility (minutes) broken down by households with at least one member with a reported and/or registe...</v>
      </c>
    </row>
    <row r="170" spans="3:7" x14ac:dyDescent="0.35">
      <c r="C170" t="s">
        <v>74</v>
      </c>
      <c r="D170" t="s">
        <v>82</v>
      </c>
      <c r="E170" t="s">
        <v>58</v>
      </c>
      <c r="F170" s="36">
        <v>146</v>
      </c>
      <c r="G170" s="16" t="str">
        <f>HYPERLINK("#'Data'!A1055", "Average travel time to nearest functioning health facility (minutes) broken down by urbanity on the admin of overall mean")</f>
        <v>Average travel time to nearest functioning health facility (minutes) broken down by urbanity on the admin of overall mean</v>
      </c>
    </row>
    <row r="171" spans="3:7" x14ac:dyDescent="0.35">
      <c r="C171" t="s">
        <v>74</v>
      </c>
      <c r="D171" t="s">
        <v>82</v>
      </c>
      <c r="E171" t="s">
        <v>59</v>
      </c>
      <c r="F171" s="36">
        <v>147</v>
      </c>
      <c r="G171" s="16" t="str">
        <f>HYPERLINK("#'Data'!A1061", "Average travel time to nearest functioning health facility (minutes) broken down by household size on the admin of overall mean")</f>
        <v>Average travel time to nearest functioning health facility (minutes) broken down by household size on the admin of overall mean</v>
      </c>
    </row>
    <row r="172" spans="3:7" x14ac:dyDescent="0.35">
      <c r="C172" t="s">
        <v>74</v>
      </c>
      <c r="D172" t="s">
        <v>82</v>
      </c>
      <c r="E172" t="s">
        <v>60</v>
      </c>
      <c r="F172" s="36">
        <v>148</v>
      </c>
      <c r="G172" s="16" t="str">
        <f>HYPERLINK("#'Data'!A1068", "Average travel time to nearest functioning health facility (minutes) broken down by income per capita (quartiles) on the admin of overall mean")</f>
        <v>Average travel time to nearest functioning health facility (minutes) broken down by income per capita (quartiles) on the admin of overall mean</v>
      </c>
    </row>
    <row r="173" spans="3:7" x14ac:dyDescent="0.35">
      <c r="C173" t="s">
        <v>74</v>
      </c>
      <c r="D173" t="s">
        <v>82</v>
      </c>
      <c r="E173" t="s">
        <v>61</v>
      </c>
      <c r="F173" s="36">
        <v>149</v>
      </c>
      <c r="G173" s="16" t="str">
        <f>HYPERLINK("#'Data'!A1076", "Average travel time to nearest functioning health facility (minutes) broken down by gender of head of household on the admin of overall mean")</f>
        <v>Average travel time to nearest functioning health facility (minutes) broken down by gender of head of household on the admin of overall mean</v>
      </c>
    </row>
    <row r="174" spans="3:7" x14ac:dyDescent="0.35">
      <c r="C174" t="s">
        <v>74</v>
      </c>
      <c r="D174" t="s">
        <v>82</v>
      </c>
      <c r="E174" t="s">
        <v>62</v>
      </c>
      <c r="F174" s="36">
        <v>150</v>
      </c>
      <c r="G174" s="16" t="str">
        <f>HYPERLINK("#'Data'!A1084", "Average travel time to nearest functioning health facility (minutes) broken down by age of adults in the households on the admin of overall mean")</f>
        <v>Average travel time to nearest functioning health facility (minutes) broken down by age of adults in the households on the admin of overall mean</v>
      </c>
    </row>
    <row r="175" spans="3:7" x14ac:dyDescent="0.35">
      <c r="C175" t="s">
        <v>74</v>
      </c>
      <c r="D175" t="s">
        <v>82</v>
      </c>
      <c r="E175" t="s">
        <v>76</v>
      </c>
      <c r="F175" s="36">
        <v>151</v>
      </c>
      <c r="G175" s="16" t="str">
        <f>HYPERLINK("#'Data'!A1091", "Average travel time to nearest functioning health facility (minutes) broken down by households with at least one child (&lt;18 y.o.) on the admin of over...")</f>
        <v>Average travel time to nearest functioning health facility (minutes) broken down by households with at least one child (&lt;18 y.o.) on the admin of over...</v>
      </c>
    </row>
    <row r="176" spans="3:7" x14ac:dyDescent="0.35">
      <c r="C176" t="s">
        <v>74</v>
      </c>
      <c r="D176" t="s">
        <v>82</v>
      </c>
      <c r="E176" t="s">
        <v>63</v>
      </c>
      <c r="F176" s="36">
        <v>152</v>
      </c>
      <c r="G176" s="16" t="str">
        <f>HYPERLINK("#'Data'!A1097", "Average travel time to nearest functioning health facility (minutes) broken down by displacement status of head of household on the admin of overall m...")</f>
        <v>Average travel time to nearest functioning health facility (minutes) broken down by displacement status of head of household on the admin of overall m...</v>
      </c>
    </row>
    <row r="177" spans="3:7" x14ac:dyDescent="0.35">
      <c r="C177" t="s">
        <v>74</v>
      </c>
      <c r="D177" t="s">
        <v>82</v>
      </c>
      <c r="E177" t="s">
        <v>64</v>
      </c>
      <c r="F177" s="36">
        <v>153</v>
      </c>
      <c r="G177" s="16" t="str">
        <f>HYPERLINK("#'Data'!A1106", "Average travel time to nearest functioning health facility (minutes) broken down by IDP household on the admin of overall mean")</f>
        <v>Average travel time to nearest functioning health facility (minutes) broken down by IDP household on the admin of overall mean</v>
      </c>
    </row>
    <row r="178" spans="3:7" x14ac:dyDescent="0.35">
      <c r="C178" t="s">
        <v>74</v>
      </c>
      <c r="D178" t="s">
        <v>82</v>
      </c>
      <c r="E178" t="s">
        <v>65</v>
      </c>
      <c r="F178" s="36">
        <v>154</v>
      </c>
      <c r="G178" s="16" t="str">
        <f>HYPERLINK("#'Data'!A1112", "Average travel time to nearest functioning health facility (minutes) broken down by proximity to frontline/border with Russian Federation on the admin...")</f>
        <v>Average travel time to nearest functioning health facility (minutes) broken down by proximity to frontline/border with Russian Federation on the admin...</v>
      </c>
    </row>
    <row r="179" spans="3:7" x14ac:dyDescent="0.35">
      <c r="C179" t="s">
        <v>74</v>
      </c>
      <c r="D179" t="s">
        <v>82</v>
      </c>
      <c r="E179" t="s">
        <v>77</v>
      </c>
      <c r="F179" s="36">
        <v>155</v>
      </c>
      <c r="G179" s="16" t="str">
        <f>HYPERLINK("#'Data'!A1119", "Average travel time to nearest functioning health facility (minutes) broken down by caregiving status  on the admin of overall mean")</f>
        <v>Average travel time to nearest functioning health facility (minutes) broken down by caregiving status  on the admin of overall mean</v>
      </c>
    </row>
    <row r="180" spans="3:7" x14ac:dyDescent="0.35">
      <c r="C180" t="s">
        <v>74</v>
      </c>
      <c r="D180" t="s">
        <v>83</v>
      </c>
      <c r="E180" t="s">
        <v>36</v>
      </c>
      <c r="F180" s="36">
        <v>156</v>
      </c>
      <c r="G180" s="16" t="str">
        <f>HYPERLINK("#'Data'!A1127", "Households with members with chronic conditions requiring regular medication on the admin of overall perc")</f>
        <v>Households with members with chronic conditions requiring regular medication on the admin of overall perc</v>
      </c>
    </row>
    <row r="181" spans="3:7" x14ac:dyDescent="0.35">
      <c r="C181" t="s">
        <v>74</v>
      </c>
      <c r="D181" t="s">
        <v>83</v>
      </c>
      <c r="E181" t="s">
        <v>57</v>
      </c>
      <c r="F181" s="36">
        <v>157</v>
      </c>
      <c r="G181" s="16" t="str">
        <f>HYPERLINK("#'Data'!A1132", "Households with members with chronic conditions requiring regular medication broken down by households with at least one member with a reported and/or...")</f>
        <v>Households with members with chronic conditions requiring regular medication broken down by households with at least one member with a reported and/or...</v>
      </c>
    </row>
    <row r="182" spans="3:7" x14ac:dyDescent="0.35">
      <c r="C182" t="s">
        <v>74</v>
      </c>
      <c r="D182" t="s">
        <v>83</v>
      </c>
      <c r="E182" t="s">
        <v>58</v>
      </c>
      <c r="F182" s="36">
        <v>158</v>
      </c>
      <c r="G182" s="16" t="str">
        <f>HYPERLINK("#'Data'!A1138", "Households with members with chronic conditions requiring regular medication broken down by urbanity on the admin of overall perc")</f>
        <v>Households with members with chronic conditions requiring regular medication broken down by urbanity on the admin of overall perc</v>
      </c>
    </row>
    <row r="183" spans="3:7" x14ac:dyDescent="0.35">
      <c r="C183" t="s">
        <v>74</v>
      </c>
      <c r="D183" t="s">
        <v>83</v>
      </c>
      <c r="E183" t="s">
        <v>59</v>
      </c>
      <c r="F183" s="36">
        <v>159</v>
      </c>
      <c r="G183" s="16" t="str">
        <f>HYPERLINK("#'Data'!A1144", "Households with members with chronic conditions requiring regular medication broken down by household size on the admin of overall perc")</f>
        <v>Households with members with chronic conditions requiring regular medication broken down by household size on the admin of overall perc</v>
      </c>
    </row>
    <row r="184" spans="3:7" x14ac:dyDescent="0.35">
      <c r="C184" t="s">
        <v>74</v>
      </c>
      <c r="D184" t="s">
        <v>83</v>
      </c>
      <c r="E184" t="s">
        <v>60</v>
      </c>
      <c r="F184" s="36">
        <v>160</v>
      </c>
      <c r="G184" s="16" t="str">
        <f>HYPERLINK("#'Data'!A1151", "Households with members with chronic conditions requiring regular medication broken down by income per capita (quartiles) on the admin of overall perc")</f>
        <v>Households with members with chronic conditions requiring regular medication broken down by income per capita (quartiles) on the admin of overall perc</v>
      </c>
    </row>
    <row r="185" spans="3:7" x14ac:dyDescent="0.35">
      <c r="C185" t="s">
        <v>74</v>
      </c>
      <c r="D185" t="s">
        <v>83</v>
      </c>
      <c r="E185" t="s">
        <v>61</v>
      </c>
      <c r="F185" s="36">
        <v>161</v>
      </c>
      <c r="G185" s="16" t="str">
        <f>HYPERLINK("#'Data'!A1159", "Households with members with chronic conditions requiring regular medication broken down by gender of head of household on the admin of overall perc")</f>
        <v>Households with members with chronic conditions requiring regular medication broken down by gender of head of household on the admin of overall perc</v>
      </c>
    </row>
    <row r="186" spans="3:7" x14ac:dyDescent="0.35">
      <c r="C186" t="s">
        <v>74</v>
      </c>
      <c r="D186" t="s">
        <v>83</v>
      </c>
      <c r="E186" t="s">
        <v>62</v>
      </c>
      <c r="F186" s="36">
        <v>162</v>
      </c>
      <c r="G186" s="16" t="str">
        <f>HYPERLINK("#'Data'!A1167", "Households with members with chronic conditions requiring regular medication broken down by age of adults in the households on the admin of overall pe...")</f>
        <v>Households with members with chronic conditions requiring regular medication broken down by age of adults in the households on the admin of overall pe...</v>
      </c>
    </row>
    <row r="187" spans="3:7" x14ac:dyDescent="0.35">
      <c r="C187" t="s">
        <v>74</v>
      </c>
      <c r="D187" t="s">
        <v>83</v>
      </c>
      <c r="E187" t="s">
        <v>76</v>
      </c>
      <c r="F187" s="36">
        <v>163</v>
      </c>
      <c r="G187" s="16" t="str">
        <f>HYPERLINK("#'Data'!A1174", "Households with members with chronic conditions requiring regular medication broken down by households with at least one child (&lt;18 y.o.) on the admin...")</f>
        <v>Households with members with chronic conditions requiring regular medication broken down by households with at least one child (&lt;18 y.o.) on the admin...</v>
      </c>
    </row>
    <row r="188" spans="3:7" x14ac:dyDescent="0.35">
      <c r="C188" t="s">
        <v>74</v>
      </c>
      <c r="D188" t="s">
        <v>83</v>
      </c>
      <c r="E188" t="s">
        <v>63</v>
      </c>
      <c r="F188" s="36">
        <v>164</v>
      </c>
      <c r="G188" s="16" t="str">
        <f>HYPERLINK("#'Data'!A1180", "Households with members with chronic conditions requiring regular medication broken down by displacement status of head of household on the admin of o...")</f>
        <v>Households with members with chronic conditions requiring regular medication broken down by displacement status of head of household on the admin of o...</v>
      </c>
    </row>
    <row r="189" spans="3:7" x14ac:dyDescent="0.35">
      <c r="C189" t="s">
        <v>74</v>
      </c>
      <c r="D189" t="s">
        <v>83</v>
      </c>
      <c r="E189" t="s">
        <v>64</v>
      </c>
      <c r="F189" s="36">
        <v>165</v>
      </c>
      <c r="G189" s="16" t="str">
        <f>HYPERLINK("#'Data'!A1189", "Households with members with chronic conditions requiring regular medication broken down by IDP household on the admin of overall perc")</f>
        <v>Households with members with chronic conditions requiring regular medication broken down by IDP household on the admin of overall perc</v>
      </c>
    </row>
    <row r="190" spans="3:7" x14ac:dyDescent="0.35">
      <c r="C190" t="s">
        <v>74</v>
      </c>
      <c r="D190" t="s">
        <v>83</v>
      </c>
      <c r="E190" t="s">
        <v>65</v>
      </c>
      <c r="F190" s="36">
        <v>166</v>
      </c>
      <c r="G190" s="16" t="str">
        <f>HYPERLINK("#'Data'!A1195", "Households with members with chronic conditions requiring regular medication broken down by proximity to frontline/border with Russian Federation on t...")</f>
        <v>Households with members with chronic conditions requiring regular medication broken down by proximity to frontline/border with Russian Federation on t...</v>
      </c>
    </row>
    <row r="191" spans="3:7" x14ac:dyDescent="0.35">
      <c r="C191" t="s">
        <v>74</v>
      </c>
      <c r="D191" t="s">
        <v>83</v>
      </c>
      <c r="E191" t="s">
        <v>77</v>
      </c>
      <c r="F191" s="36">
        <v>167</v>
      </c>
      <c r="G191" s="16" t="str">
        <f>HYPERLINK("#'Data'!A1202", "Households with members with chronic conditions requiring regular medication broken down by caregiving status  on the admin of overall perc")</f>
        <v>Households with members with chronic conditions requiring regular medication broken down by caregiving status  on the admin of overall perc</v>
      </c>
    </row>
    <row r="192" spans="3:7" x14ac:dyDescent="0.35">
      <c r="C192" t="s">
        <v>74</v>
      </c>
      <c r="D192" t="s">
        <v>84</v>
      </c>
      <c r="E192" t="s">
        <v>36</v>
      </c>
      <c r="F192" s="36">
        <v>168</v>
      </c>
      <c r="G192" s="16" t="str">
        <f>HYPERLINK("#'Data'!A1210", "Households with members with chronic conditions requiring regular medication, by frequency of disrupted access to healthcare for chronic conditions in...")</f>
        <v>Households with members with chronic conditions requiring regular medication, by frequency of disrupted access to healthcare for chronic conditions in...</v>
      </c>
    </row>
    <row r="193" spans="3:7" x14ac:dyDescent="0.35">
      <c r="C193" t="s">
        <v>74</v>
      </c>
      <c r="D193" t="s">
        <v>84</v>
      </c>
      <c r="E193" t="s">
        <v>57</v>
      </c>
      <c r="F193" s="36">
        <v>169</v>
      </c>
      <c r="G193" s="16" t="str">
        <f>HYPERLINK("#'Data'!A1215", "Households with members with chronic conditions requiring regular medication, by frequency of disrupted access to healthcare for chronic conditions in...")</f>
        <v>Households with members with chronic conditions requiring regular medication, by frequency of disrupted access to healthcare for chronic conditions in...</v>
      </c>
    </row>
    <row r="194" spans="3:7" x14ac:dyDescent="0.35">
      <c r="C194" t="s">
        <v>74</v>
      </c>
      <c r="D194" t="s">
        <v>84</v>
      </c>
      <c r="E194" t="s">
        <v>58</v>
      </c>
      <c r="F194" s="36">
        <v>170</v>
      </c>
      <c r="G194" s="16" t="str">
        <f>HYPERLINK("#'Data'!A1221", "Households with members with chronic conditions requiring regular medication, by frequency of disrupted access to healthcare for chronic conditions in...")</f>
        <v>Households with members with chronic conditions requiring regular medication, by frequency of disrupted access to healthcare for chronic conditions in...</v>
      </c>
    </row>
    <row r="195" spans="3:7" x14ac:dyDescent="0.35">
      <c r="C195" t="s">
        <v>74</v>
      </c>
      <c r="D195" t="s">
        <v>84</v>
      </c>
      <c r="E195" t="s">
        <v>59</v>
      </c>
      <c r="F195" s="36">
        <v>171</v>
      </c>
      <c r="G195" s="16" t="str">
        <f>HYPERLINK("#'Data'!A1227", "Households with members with chronic conditions requiring regular medication, by frequency of disrupted access to healthcare for chronic conditions in...")</f>
        <v>Households with members with chronic conditions requiring regular medication, by frequency of disrupted access to healthcare for chronic conditions in...</v>
      </c>
    </row>
    <row r="196" spans="3:7" x14ac:dyDescent="0.35">
      <c r="C196" t="s">
        <v>74</v>
      </c>
      <c r="D196" t="s">
        <v>84</v>
      </c>
      <c r="E196" t="s">
        <v>60</v>
      </c>
      <c r="F196" s="36">
        <v>172</v>
      </c>
      <c r="G196" s="16" t="str">
        <f>HYPERLINK("#'Data'!A1234", "Households with members with chronic conditions requiring regular medication, by frequency of disrupted access to healthcare for chronic conditions in...")</f>
        <v>Households with members with chronic conditions requiring regular medication, by frequency of disrupted access to healthcare for chronic conditions in...</v>
      </c>
    </row>
    <row r="197" spans="3:7" x14ac:dyDescent="0.35">
      <c r="C197" t="s">
        <v>74</v>
      </c>
      <c r="D197" t="s">
        <v>84</v>
      </c>
      <c r="E197" t="s">
        <v>61</v>
      </c>
      <c r="F197" s="36">
        <v>173</v>
      </c>
      <c r="G197" s="16" t="str">
        <f>HYPERLINK("#'Data'!A1242", "Households with members with chronic conditions requiring regular medication, by frequency of disrupted access to healthcare for chronic conditions in...")</f>
        <v>Households with members with chronic conditions requiring regular medication, by frequency of disrupted access to healthcare for chronic conditions in...</v>
      </c>
    </row>
    <row r="198" spans="3:7" x14ac:dyDescent="0.35">
      <c r="C198" t="s">
        <v>74</v>
      </c>
      <c r="D198" t="s">
        <v>84</v>
      </c>
      <c r="E198" t="s">
        <v>62</v>
      </c>
      <c r="F198" s="36">
        <v>174</v>
      </c>
      <c r="G198" s="16" t="str">
        <f>HYPERLINK("#'Data'!A1250", "Households with members with chronic conditions requiring regular medication, by frequency of disrupted access to healthcare for chronic conditions in...")</f>
        <v>Households with members with chronic conditions requiring regular medication, by frequency of disrupted access to healthcare for chronic conditions in...</v>
      </c>
    </row>
    <row r="199" spans="3:7" x14ac:dyDescent="0.35">
      <c r="C199" t="s">
        <v>74</v>
      </c>
      <c r="D199" t="s">
        <v>84</v>
      </c>
      <c r="E199" t="s">
        <v>76</v>
      </c>
      <c r="F199" s="36">
        <v>175</v>
      </c>
      <c r="G199" s="16" t="str">
        <f>HYPERLINK("#'Data'!A1257", "Households with members with chronic conditions requiring regular medication, by frequency of disrupted access to healthcare for chronic conditions in...")</f>
        <v>Households with members with chronic conditions requiring regular medication, by frequency of disrupted access to healthcare for chronic conditions in...</v>
      </c>
    </row>
    <row r="200" spans="3:7" x14ac:dyDescent="0.35">
      <c r="C200" t="s">
        <v>74</v>
      </c>
      <c r="D200" t="s">
        <v>84</v>
      </c>
      <c r="E200" t="s">
        <v>63</v>
      </c>
      <c r="F200" s="36">
        <v>176</v>
      </c>
      <c r="G200" s="16" t="str">
        <f>HYPERLINK("#'Data'!A1263", "Households with members with chronic conditions requiring regular medication, by frequency of disrupted access to healthcare for chronic conditions in...")</f>
        <v>Households with members with chronic conditions requiring regular medication, by frequency of disrupted access to healthcare for chronic conditions in...</v>
      </c>
    </row>
    <row r="201" spans="3:7" x14ac:dyDescent="0.35">
      <c r="C201" t="s">
        <v>74</v>
      </c>
      <c r="D201" t="s">
        <v>84</v>
      </c>
      <c r="E201" t="s">
        <v>64</v>
      </c>
      <c r="F201" s="36">
        <v>177</v>
      </c>
      <c r="G201" s="16" t="str">
        <f>HYPERLINK("#'Data'!A1272", "Households with members with chronic conditions requiring regular medication, by frequency of disrupted access to healthcare for chronic conditions in...")</f>
        <v>Households with members with chronic conditions requiring regular medication, by frequency of disrupted access to healthcare for chronic conditions in...</v>
      </c>
    </row>
    <row r="202" spans="3:7" x14ac:dyDescent="0.35">
      <c r="C202" t="s">
        <v>74</v>
      </c>
      <c r="D202" t="s">
        <v>84</v>
      </c>
      <c r="E202" t="s">
        <v>65</v>
      </c>
      <c r="F202" s="36">
        <v>178</v>
      </c>
      <c r="G202" s="16" t="str">
        <f>HYPERLINK("#'Data'!A1278", "Households with members with chronic conditions requiring regular medication, by frequency of disrupted access to healthcare for chronic conditions in...")</f>
        <v>Households with members with chronic conditions requiring regular medication, by frequency of disrupted access to healthcare for chronic conditions in...</v>
      </c>
    </row>
    <row r="203" spans="3:7" x14ac:dyDescent="0.35">
      <c r="C203" t="s">
        <v>74</v>
      </c>
      <c r="D203" t="s">
        <v>84</v>
      </c>
      <c r="E203" t="s">
        <v>77</v>
      </c>
      <c r="F203" s="36">
        <v>179</v>
      </c>
      <c r="G203" s="16" t="str">
        <f>HYPERLINK("#'Data'!A1285", "Households with members with chronic conditions requiring regular medication, by frequency of disrupted access to healthcare for chronic conditions in...")</f>
        <v>Households with members with chronic conditions requiring regular medication, by frequency of disrupted access to healthcare for chronic conditions in...</v>
      </c>
    </row>
    <row r="204" spans="3:7" x14ac:dyDescent="0.35">
      <c r="C204" t="s">
        <v>74</v>
      </c>
      <c r="D204" t="s">
        <v>85</v>
      </c>
      <c r="E204" t="s">
        <v>36</v>
      </c>
      <c r="F204" s="36">
        <v>180</v>
      </c>
      <c r="G204" s="16" t="str">
        <f>HYPERLINK("#'Data'!A1293", "Percentage of households by barriers preventing access to health care in the past 3 months on the admin of overall perc")</f>
        <v>Percentage of households by barriers preventing access to health care in the past 3 months on the admin of overall perc</v>
      </c>
    </row>
    <row r="205" spans="3:7" x14ac:dyDescent="0.35">
      <c r="C205" t="s">
        <v>74</v>
      </c>
      <c r="D205" t="s">
        <v>85</v>
      </c>
      <c r="E205" t="s">
        <v>57</v>
      </c>
      <c r="F205" s="36">
        <v>181</v>
      </c>
      <c r="G205" s="16" t="str">
        <f>HYPERLINK("#'Data'!A1298", "Percentage of households by barriers preventing access to health care in the past 3 months broken down by households with at least one member with a r...")</f>
        <v>Percentage of households by barriers preventing access to health care in the past 3 months broken down by households with at least one member with a r...</v>
      </c>
    </row>
    <row r="206" spans="3:7" x14ac:dyDescent="0.35">
      <c r="C206" t="s">
        <v>74</v>
      </c>
      <c r="D206" t="s">
        <v>85</v>
      </c>
      <c r="E206" t="s">
        <v>58</v>
      </c>
      <c r="F206" s="36">
        <v>182</v>
      </c>
      <c r="G206" s="16" t="str">
        <f>HYPERLINK("#'Data'!A1304", "Percentage of households by barriers preventing access to health care in the past 3 months broken down by urbanity on the admin of overall perc")</f>
        <v>Percentage of households by barriers preventing access to health care in the past 3 months broken down by urbanity on the admin of overall perc</v>
      </c>
    </row>
    <row r="207" spans="3:7" x14ac:dyDescent="0.35">
      <c r="C207" t="s">
        <v>74</v>
      </c>
      <c r="D207" t="s">
        <v>85</v>
      </c>
      <c r="E207" t="s">
        <v>59</v>
      </c>
      <c r="F207" s="36">
        <v>183</v>
      </c>
      <c r="G207" s="16" t="str">
        <f>HYPERLINK("#'Data'!A1310", "Percentage of households by barriers preventing access to health care in the past 3 months broken down by household size on the admin of overall perc")</f>
        <v>Percentage of households by barriers preventing access to health care in the past 3 months broken down by household size on the admin of overall perc</v>
      </c>
    </row>
    <row r="208" spans="3:7" x14ac:dyDescent="0.35">
      <c r="C208" t="s">
        <v>74</v>
      </c>
      <c r="D208" t="s">
        <v>85</v>
      </c>
      <c r="E208" t="s">
        <v>60</v>
      </c>
      <c r="F208" s="36">
        <v>184</v>
      </c>
      <c r="G208" s="16" t="str">
        <f>HYPERLINK("#'Data'!A1317", "Percentage of households by barriers preventing access to health care in the past 3 months broken down by income per capita (quartiles) on the admin o...")</f>
        <v>Percentage of households by barriers preventing access to health care in the past 3 months broken down by income per capita (quartiles) on the admin o...</v>
      </c>
    </row>
    <row r="209" spans="3:7" x14ac:dyDescent="0.35">
      <c r="C209" t="s">
        <v>74</v>
      </c>
      <c r="D209" t="s">
        <v>85</v>
      </c>
      <c r="E209" t="s">
        <v>61</v>
      </c>
      <c r="F209" s="36">
        <v>185</v>
      </c>
      <c r="G209" s="16" t="str">
        <f>HYPERLINK("#'Data'!A1325", "Percentage of households by barriers preventing access to health care in the past 3 months broken down by gender of head of household on the admin of ...")</f>
        <v>Percentage of households by barriers preventing access to health care in the past 3 months broken down by gender of head of household on the admin of ...</v>
      </c>
    </row>
    <row r="210" spans="3:7" x14ac:dyDescent="0.35">
      <c r="C210" t="s">
        <v>74</v>
      </c>
      <c r="D210" t="s">
        <v>85</v>
      </c>
      <c r="E210" t="s">
        <v>62</v>
      </c>
      <c r="F210" s="36">
        <v>186</v>
      </c>
      <c r="G210" s="16" t="str">
        <f>HYPERLINK("#'Data'!A1333", "Percentage of households by barriers preventing access to health care in the past 3 months broken down by age of adults in the households on the admin...")</f>
        <v>Percentage of households by barriers preventing access to health care in the past 3 months broken down by age of adults in the households on the admin...</v>
      </c>
    </row>
    <row r="211" spans="3:7" x14ac:dyDescent="0.35">
      <c r="C211" t="s">
        <v>74</v>
      </c>
      <c r="D211" t="s">
        <v>85</v>
      </c>
      <c r="E211" t="s">
        <v>76</v>
      </c>
      <c r="F211" s="36">
        <v>187</v>
      </c>
      <c r="G211" s="16" t="str">
        <f>HYPERLINK("#'Data'!A1340", "Percentage of households by barriers preventing access to health care in the past 3 months broken down by households with at least one child (&lt;18 y.o....")</f>
        <v>Percentage of households by barriers preventing access to health care in the past 3 months broken down by households with at least one child (&lt;18 y.o....</v>
      </c>
    </row>
    <row r="212" spans="3:7" x14ac:dyDescent="0.35">
      <c r="C212" t="s">
        <v>74</v>
      </c>
      <c r="D212" t="s">
        <v>85</v>
      </c>
      <c r="E212" t="s">
        <v>63</v>
      </c>
      <c r="F212" s="36">
        <v>188</v>
      </c>
      <c r="G212" s="16" t="str">
        <f>HYPERLINK("#'Data'!A1346", "Percentage of households by barriers preventing access to health care in the past 3 months broken down by displacement status of head of household on ...")</f>
        <v>Percentage of households by barriers preventing access to health care in the past 3 months broken down by displacement status of head of household on ...</v>
      </c>
    </row>
    <row r="213" spans="3:7" x14ac:dyDescent="0.35">
      <c r="C213" t="s">
        <v>74</v>
      </c>
      <c r="D213" t="s">
        <v>85</v>
      </c>
      <c r="E213" t="s">
        <v>64</v>
      </c>
      <c r="F213" s="36">
        <v>189</v>
      </c>
      <c r="G213" s="16" t="str">
        <f>HYPERLINK("#'Data'!A1355", "Percentage of households by barriers preventing access to health care in the past 3 months broken down by IDP household on the admin of overall perc")</f>
        <v>Percentage of households by barriers preventing access to health care in the past 3 months broken down by IDP household on the admin of overall perc</v>
      </c>
    </row>
    <row r="214" spans="3:7" x14ac:dyDescent="0.35">
      <c r="C214" t="s">
        <v>74</v>
      </c>
      <c r="D214" t="s">
        <v>85</v>
      </c>
      <c r="E214" t="s">
        <v>65</v>
      </c>
      <c r="F214" s="36">
        <v>190</v>
      </c>
      <c r="G214" s="16" t="str">
        <f>HYPERLINK("#'Data'!A1361", "Percentage of households by barriers preventing access to health care in the past 3 months broken down by proximity to frontline/border with Russian F...")</f>
        <v>Percentage of households by barriers preventing access to health care in the past 3 months broken down by proximity to frontline/border with Russian F...</v>
      </c>
    </row>
    <row r="215" spans="3:7" x14ac:dyDescent="0.35">
      <c r="C215" t="s">
        <v>74</v>
      </c>
      <c r="D215" t="s">
        <v>85</v>
      </c>
      <c r="E215" t="s">
        <v>77</v>
      </c>
      <c r="F215" s="36">
        <v>191</v>
      </c>
      <c r="G215" s="16" t="str">
        <f>HYPERLINK("#'Data'!A1368", "Percentage of households by barriers preventing access to health care in the past 3 months broken down by caregiving status  on the admin of overall p...")</f>
        <v>Percentage of households by barriers preventing access to health care in the past 3 months broken down by caregiving status  on the admin of overall p...</v>
      </c>
    </row>
    <row r="216" spans="3:7" x14ac:dyDescent="0.35">
      <c r="C216" t="s">
        <v>86</v>
      </c>
      <c r="D216" t="s">
        <v>87</v>
      </c>
      <c r="E216" t="s">
        <v>36</v>
      </c>
      <c r="F216" s="36">
        <v>192</v>
      </c>
      <c r="G216" s="16" t="str">
        <f>HYPERLINK("#'Data'!A1376", "Percentage of households feeling emotionally unwell (2+ weeks in the past 6 months) on the admin of overall perc")</f>
        <v>Percentage of households feeling emotionally unwell (2+ weeks in the past 6 months) on the admin of overall perc</v>
      </c>
    </row>
    <row r="217" spans="3:7" x14ac:dyDescent="0.35">
      <c r="C217" t="s">
        <v>86</v>
      </c>
      <c r="D217" t="s">
        <v>87</v>
      </c>
      <c r="E217" t="s">
        <v>57</v>
      </c>
      <c r="F217" s="36">
        <v>193</v>
      </c>
      <c r="G217" s="16" t="str">
        <f>HYPERLINK("#'Data'!A1381", "Percentage of households feeling emotionally unwell (2+ weeks in the past 6 months) broken down by households with at least one member with a reported...")</f>
        <v>Percentage of households feeling emotionally unwell (2+ weeks in the past 6 months) broken down by households with at least one member with a reported...</v>
      </c>
    </row>
    <row r="218" spans="3:7" x14ac:dyDescent="0.35">
      <c r="C218" t="s">
        <v>86</v>
      </c>
      <c r="D218" t="s">
        <v>87</v>
      </c>
      <c r="E218" t="s">
        <v>58</v>
      </c>
      <c r="F218" s="36">
        <v>194</v>
      </c>
      <c r="G218" s="16" t="str">
        <f>HYPERLINK("#'Data'!A1387", "Percentage of households feeling emotionally unwell (2+ weeks in the past 6 months) broken down by urbanity on the admin of overall perc")</f>
        <v>Percentage of households feeling emotionally unwell (2+ weeks in the past 6 months) broken down by urbanity on the admin of overall perc</v>
      </c>
    </row>
    <row r="219" spans="3:7" x14ac:dyDescent="0.35">
      <c r="C219" t="s">
        <v>86</v>
      </c>
      <c r="D219" t="s">
        <v>87</v>
      </c>
      <c r="E219" t="s">
        <v>59</v>
      </c>
      <c r="F219" s="36">
        <v>195</v>
      </c>
      <c r="G219" s="16" t="str">
        <f>HYPERLINK("#'Data'!A1393", "Percentage of households feeling emotionally unwell (2+ weeks in the past 6 months) broken down by household size on the admin of overall perc")</f>
        <v>Percentage of households feeling emotionally unwell (2+ weeks in the past 6 months) broken down by household size on the admin of overall perc</v>
      </c>
    </row>
    <row r="220" spans="3:7" x14ac:dyDescent="0.35">
      <c r="C220" t="s">
        <v>86</v>
      </c>
      <c r="D220" t="s">
        <v>87</v>
      </c>
      <c r="E220" t="s">
        <v>60</v>
      </c>
      <c r="F220" s="36">
        <v>196</v>
      </c>
      <c r="G220" s="16" t="str">
        <f>HYPERLINK("#'Data'!A1400", "Percentage of households feeling emotionally unwell (2+ weeks in the past 6 months) broken down by income per capita (quartiles) on the admin of overa...")</f>
        <v>Percentage of households feeling emotionally unwell (2+ weeks in the past 6 months) broken down by income per capita (quartiles) on the admin of overa...</v>
      </c>
    </row>
    <row r="221" spans="3:7" x14ac:dyDescent="0.35">
      <c r="C221" t="s">
        <v>86</v>
      </c>
      <c r="D221" t="s">
        <v>87</v>
      </c>
      <c r="E221" t="s">
        <v>61</v>
      </c>
      <c r="F221" s="36">
        <v>197</v>
      </c>
      <c r="G221" s="16" t="str">
        <f>HYPERLINK("#'Data'!A1408", "Percentage of households feeling emotionally unwell (2+ weeks in the past 6 months) broken down by gender of head of household on the admin of overall...")</f>
        <v>Percentage of households feeling emotionally unwell (2+ weeks in the past 6 months) broken down by gender of head of household on the admin of overall...</v>
      </c>
    </row>
    <row r="222" spans="3:7" x14ac:dyDescent="0.35">
      <c r="C222" t="s">
        <v>86</v>
      </c>
      <c r="D222" t="s">
        <v>87</v>
      </c>
      <c r="E222" t="s">
        <v>62</v>
      </c>
      <c r="F222" s="36">
        <v>198</v>
      </c>
      <c r="G222" s="16" t="str">
        <f>HYPERLINK("#'Data'!A1416", "Percentage of households feeling emotionally unwell (2+ weeks in the past 6 months) broken down by age of adults in the households on the admin of ove...")</f>
        <v>Percentage of households feeling emotionally unwell (2+ weeks in the past 6 months) broken down by age of adults in the households on the admin of ove...</v>
      </c>
    </row>
    <row r="223" spans="3:7" x14ac:dyDescent="0.35">
      <c r="C223" t="s">
        <v>86</v>
      </c>
      <c r="D223" t="s">
        <v>87</v>
      </c>
      <c r="E223" t="s">
        <v>76</v>
      </c>
      <c r="F223" s="36">
        <v>199</v>
      </c>
      <c r="G223" s="16" t="str">
        <f>HYPERLINK("#'Data'!A1423", "Percentage of households feeling emotionally unwell (2+ weeks in the past 6 months) broken down by households with at least one child (&lt;18 y.o.) on th...")</f>
        <v>Percentage of households feeling emotionally unwell (2+ weeks in the past 6 months) broken down by households with at least one child (&lt;18 y.o.) on th...</v>
      </c>
    </row>
    <row r="224" spans="3:7" x14ac:dyDescent="0.35">
      <c r="C224" t="s">
        <v>86</v>
      </c>
      <c r="D224" t="s">
        <v>87</v>
      </c>
      <c r="E224" t="s">
        <v>63</v>
      </c>
      <c r="F224" s="36">
        <v>200</v>
      </c>
      <c r="G224" s="16" t="str">
        <f>HYPERLINK("#'Data'!A1429", "Percentage of households feeling emotionally unwell (2+ weeks in the past 6 months) broken down by displacement status of head of household on the adm...")</f>
        <v>Percentage of households feeling emotionally unwell (2+ weeks in the past 6 months) broken down by displacement status of head of household on the adm...</v>
      </c>
    </row>
    <row r="225" spans="3:7" x14ac:dyDescent="0.35">
      <c r="C225" t="s">
        <v>86</v>
      </c>
      <c r="D225" t="s">
        <v>87</v>
      </c>
      <c r="E225" t="s">
        <v>64</v>
      </c>
      <c r="F225" s="36">
        <v>201</v>
      </c>
      <c r="G225" s="16" t="str">
        <f>HYPERLINK("#'Data'!A1438", "Percentage of households feeling emotionally unwell (2+ weeks in the past 6 months) broken down by IDP household on the admin of overall perc")</f>
        <v>Percentage of households feeling emotionally unwell (2+ weeks in the past 6 months) broken down by IDP household on the admin of overall perc</v>
      </c>
    </row>
    <row r="226" spans="3:7" x14ac:dyDescent="0.35">
      <c r="C226" t="s">
        <v>86</v>
      </c>
      <c r="D226" t="s">
        <v>87</v>
      </c>
      <c r="E226" t="s">
        <v>65</v>
      </c>
      <c r="F226" s="36">
        <v>202</v>
      </c>
      <c r="G226" s="16" t="str">
        <f>HYPERLINK("#'Data'!A1444", "Percentage of households feeling emotionally unwell (2+ weeks in the past 6 months) broken down by proximity to frontline/border with Russian Federati...")</f>
        <v>Percentage of households feeling emotionally unwell (2+ weeks in the past 6 months) broken down by proximity to frontline/border with Russian Federati...</v>
      </c>
    </row>
    <row r="227" spans="3:7" x14ac:dyDescent="0.35">
      <c r="C227" t="s">
        <v>86</v>
      </c>
      <c r="D227" t="s">
        <v>87</v>
      </c>
      <c r="E227" t="s">
        <v>77</v>
      </c>
      <c r="F227" s="36">
        <v>203</v>
      </c>
      <c r="G227" s="16" t="str">
        <f>HYPERLINK("#'Data'!A1451", "Percentage of households feeling emotionally unwell (2+ weeks in the past 6 months) broken down by caregiving status  on the admin of overall perc")</f>
        <v>Percentage of households feeling emotionally unwell (2+ weeks in the past 6 months) broken down by caregiving status  on the admin of overall perc</v>
      </c>
    </row>
    <row r="228" spans="3:7" x14ac:dyDescent="0.35">
      <c r="C228" t="s">
        <v>86</v>
      </c>
      <c r="D228" t="s">
        <v>88</v>
      </c>
      <c r="E228" t="s">
        <v>36</v>
      </c>
      <c r="F228" s="36">
        <v>204</v>
      </c>
      <c r="G228" s="16" t="str">
        <f>HYPERLINK("#'Data'!A1459", "Percentage of households feeling emotionally unwell (2+ weeks in the past 6 months), by experienced difficulty in completing day-to-day activities on ...")</f>
        <v>Percentage of households feeling emotionally unwell (2+ weeks in the past 6 months), by experienced difficulty in completing day-to-day activities on ...</v>
      </c>
    </row>
    <row r="229" spans="3:7" x14ac:dyDescent="0.35">
      <c r="C229" t="s">
        <v>86</v>
      </c>
      <c r="D229" t="s">
        <v>88</v>
      </c>
      <c r="E229" t="s">
        <v>57</v>
      </c>
      <c r="F229" s="36">
        <v>205</v>
      </c>
      <c r="G229" s="16" t="str">
        <f>HYPERLINK("#'Data'!A1464", "Percentage of households feeling emotionally unwell (2+ weeks in the past 6 months), by experienced difficulty in completing day-to-day activities bro...")</f>
        <v>Percentage of households feeling emotionally unwell (2+ weeks in the past 6 months), by experienced difficulty in completing day-to-day activities bro...</v>
      </c>
    </row>
    <row r="230" spans="3:7" x14ac:dyDescent="0.35">
      <c r="C230" t="s">
        <v>86</v>
      </c>
      <c r="D230" t="s">
        <v>88</v>
      </c>
      <c r="E230" t="s">
        <v>58</v>
      </c>
      <c r="F230" s="36">
        <v>206</v>
      </c>
      <c r="G230" s="16" t="str">
        <f>HYPERLINK("#'Data'!A1470", "Percentage of households feeling emotionally unwell (2+ weeks in the past 6 months), by experienced difficulty in completing day-to-day activities bro...")</f>
        <v>Percentage of households feeling emotionally unwell (2+ weeks in the past 6 months), by experienced difficulty in completing day-to-day activities bro...</v>
      </c>
    </row>
    <row r="231" spans="3:7" x14ac:dyDescent="0.35">
      <c r="C231" t="s">
        <v>86</v>
      </c>
      <c r="D231" t="s">
        <v>88</v>
      </c>
      <c r="E231" t="s">
        <v>59</v>
      </c>
      <c r="F231" s="36">
        <v>207</v>
      </c>
      <c r="G231" s="16" t="str">
        <f>HYPERLINK("#'Data'!A1476", "Percentage of households feeling emotionally unwell (2+ weeks in the past 6 months), by experienced difficulty in completing day-to-day activities bro...")</f>
        <v>Percentage of households feeling emotionally unwell (2+ weeks in the past 6 months), by experienced difficulty in completing day-to-day activities bro...</v>
      </c>
    </row>
    <row r="232" spans="3:7" x14ac:dyDescent="0.35">
      <c r="C232" t="s">
        <v>86</v>
      </c>
      <c r="D232" t="s">
        <v>88</v>
      </c>
      <c r="E232" t="s">
        <v>60</v>
      </c>
      <c r="F232" s="36">
        <v>208</v>
      </c>
      <c r="G232" s="16" t="str">
        <f>HYPERLINK("#'Data'!A1483", "Percentage of households feeling emotionally unwell (2+ weeks in the past 6 months), by experienced difficulty in completing day-to-day activities bro...")</f>
        <v>Percentage of households feeling emotionally unwell (2+ weeks in the past 6 months), by experienced difficulty in completing day-to-day activities bro...</v>
      </c>
    </row>
    <row r="233" spans="3:7" x14ac:dyDescent="0.35">
      <c r="C233" t="s">
        <v>86</v>
      </c>
      <c r="D233" t="s">
        <v>88</v>
      </c>
      <c r="E233" t="s">
        <v>61</v>
      </c>
      <c r="F233" s="36">
        <v>209</v>
      </c>
      <c r="G233" s="16" t="str">
        <f>HYPERLINK("#'Data'!A1491", "Percentage of households feeling emotionally unwell (2+ weeks in the past 6 months), by experienced difficulty in completing day-to-day activities bro...")</f>
        <v>Percentage of households feeling emotionally unwell (2+ weeks in the past 6 months), by experienced difficulty in completing day-to-day activities bro...</v>
      </c>
    </row>
    <row r="234" spans="3:7" x14ac:dyDescent="0.35">
      <c r="C234" t="s">
        <v>86</v>
      </c>
      <c r="D234" t="s">
        <v>88</v>
      </c>
      <c r="E234" t="s">
        <v>62</v>
      </c>
      <c r="F234" s="36">
        <v>210</v>
      </c>
      <c r="G234" s="16" t="str">
        <f>HYPERLINK("#'Data'!A1499", "Percentage of households feeling emotionally unwell (2+ weeks in the past 6 months), by experienced difficulty in completing day-to-day activities bro...")</f>
        <v>Percentage of households feeling emotionally unwell (2+ weeks in the past 6 months), by experienced difficulty in completing day-to-day activities bro...</v>
      </c>
    </row>
    <row r="235" spans="3:7" x14ac:dyDescent="0.35">
      <c r="C235" t="s">
        <v>86</v>
      </c>
      <c r="D235" t="s">
        <v>88</v>
      </c>
      <c r="E235" t="s">
        <v>76</v>
      </c>
      <c r="F235" s="36">
        <v>211</v>
      </c>
      <c r="G235" s="16" t="str">
        <f>HYPERLINK("#'Data'!A1506", "Percentage of households feeling emotionally unwell (2+ weeks in the past 6 months), by experienced difficulty in completing day-to-day activities bro...")</f>
        <v>Percentage of households feeling emotionally unwell (2+ weeks in the past 6 months), by experienced difficulty in completing day-to-day activities bro...</v>
      </c>
    </row>
    <row r="236" spans="3:7" x14ac:dyDescent="0.35">
      <c r="C236" t="s">
        <v>86</v>
      </c>
      <c r="D236" t="s">
        <v>88</v>
      </c>
      <c r="E236" t="s">
        <v>63</v>
      </c>
      <c r="F236" s="36">
        <v>212</v>
      </c>
      <c r="G236" s="16" t="str">
        <f>HYPERLINK("#'Data'!A1512", "Percentage of households feeling emotionally unwell (2+ weeks in the past 6 months), by experienced difficulty in completing day-to-day activities bro...")</f>
        <v>Percentage of households feeling emotionally unwell (2+ weeks in the past 6 months), by experienced difficulty in completing day-to-day activities bro...</v>
      </c>
    </row>
    <row r="237" spans="3:7" x14ac:dyDescent="0.35">
      <c r="C237" t="s">
        <v>86</v>
      </c>
      <c r="D237" t="s">
        <v>88</v>
      </c>
      <c r="E237" t="s">
        <v>64</v>
      </c>
      <c r="F237" s="36">
        <v>213</v>
      </c>
      <c r="G237" s="16" t="str">
        <f>HYPERLINK("#'Data'!A1521", "Percentage of households feeling emotionally unwell (2+ weeks in the past 6 months), by experienced difficulty in completing day-to-day activities bro...")</f>
        <v>Percentage of households feeling emotionally unwell (2+ weeks in the past 6 months), by experienced difficulty in completing day-to-day activities bro...</v>
      </c>
    </row>
    <row r="238" spans="3:7" x14ac:dyDescent="0.35">
      <c r="C238" t="s">
        <v>86</v>
      </c>
      <c r="D238" t="s">
        <v>88</v>
      </c>
      <c r="E238" t="s">
        <v>65</v>
      </c>
      <c r="F238" s="36">
        <v>214</v>
      </c>
      <c r="G238" s="16" t="str">
        <f>HYPERLINK("#'Data'!A1527", "Percentage of households feeling emotionally unwell (2+ weeks in the past 6 months), by experienced difficulty in completing day-to-day activities bro...")</f>
        <v>Percentage of households feeling emotionally unwell (2+ weeks in the past 6 months), by experienced difficulty in completing day-to-day activities bro...</v>
      </c>
    </row>
    <row r="239" spans="3:7" x14ac:dyDescent="0.35">
      <c r="C239" t="s">
        <v>86</v>
      </c>
      <c r="D239" t="s">
        <v>88</v>
      </c>
      <c r="E239" t="s">
        <v>77</v>
      </c>
      <c r="F239" s="36">
        <v>215</v>
      </c>
      <c r="G239" s="16" t="str">
        <f>HYPERLINK("#'Data'!A1534", "Percentage of households feeling emotionally unwell (2+ weeks in the past 6 months), by experienced difficulty in completing day-to-day activities bro...")</f>
        <v>Percentage of households feeling emotionally unwell (2+ weeks in the past 6 months), by experienced difficulty in completing day-to-day activities bro...</v>
      </c>
    </row>
    <row r="240" spans="3:7" x14ac:dyDescent="0.35">
      <c r="C240" t="s">
        <v>86</v>
      </c>
      <c r="D240" t="s">
        <v>89</v>
      </c>
      <c r="E240" t="s">
        <v>36</v>
      </c>
      <c r="F240" s="36">
        <v>216</v>
      </c>
      <c r="G240" s="16" t="str">
        <f>HYPERLINK("#'Data'!A1542", "Percentage of households feeling emotionally unwell that received mental health or psychosocial support/services, by type on the admin of overall perc")</f>
        <v>Percentage of households feeling emotionally unwell that received mental health or psychosocial support/services, by type on the admin of overall perc</v>
      </c>
    </row>
    <row r="241" spans="3:7" x14ac:dyDescent="0.35">
      <c r="C241" t="s">
        <v>86</v>
      </c>
      <c r="D241" t="s">
        <v>89</v>
      </c>
      <c r="E241" t="s">
        <v>57</v>
      </c>
      <c r="F241" s="36">
        <v>217</v>
      </c>
      <c r="G241" s="16" t="str">
        <f>HYPERLINK("#'Data'!A1547", "Percentage of households feeling emotionally unwell that received mental health or psychosocial support/services, by type broken down by households wi...")</f>
        <v>Percentage of households feeling emotionally unwell that received mental health or psychosocial support/services, by type broken down by households wi...</v>
      </c>
    </row>
    <row r="242" spans="3:7" x14ac:dyDescent="0.35">
      <c r="C242" t="s">
        <v>86</v>
      </c>
      <c r="D242" t="s">
        <v>89</v>
      </c>
      <c r="E242" t="s">
        <v>58</v>
      </c>
      <c r="F242" s="36">
        <v>218</v>
      </c>
      <c r="G242" s="16" t="str">
        <f>HYPERLINK("#'Data'!A1553", "Percentage of households feeling emotionally unwell that received mental health or psychosocial support/services, by type broken down by urbanity on t...")</f>
        <v>Percentage of households feeling emotionally unwell that received mental health or psychosocial support/services, by type broken down by urbanity on t...</v>
      </c>
    </row>
    <row r="243" spans="3:7" x14ac:dyDescent="0.35">
      <c r="C243" t="s">
        <v>86</v>
      </c>
      <c r="D243" t="s">
        <v>89</v>
      </c>
      <c r="E243" t="s">
        <v>59</v>
      </c>
      <c r="F243" s="36">
        <v>219</v>
      </c>
      <c r="G243" s="16" t="str">
        <f>HYPERLINK("#'Data'!A1559", "Percentage of households feeling emotionally unwell that received mental health or psychosocial support/services, by type broken down by household siz...")</f>
        <v>Percentage of households feeling emotionally unwell that received mental health or psychosocial support/services, by type broken down by household siz...</v>
      </c>
    </row>
    <row r="244" spans="3:7" x14ac:dyDescent="0.35">
      <c r="C244" t="s">
        <v>86</v>
      </c>
      <c r="D244" t="s">
        <v>89</v>
      </c>
      <c r="E244" t="s">
        <v>60</v>
      </c>
      <c r="F244" s="36">
        <v>220</v>
      </c>
      <c r="G244" s="16" t="str">
        <f>HYPERLINK("#'Data'!A1566", "Percentage of households feeling emotionally unwell that received mental health or psychosocial support/services, by type broken down by income per ca...")</f>
        <v>Percentage of households feeling emotionally unwell that received mental health or psychosocial support/services, by type broken down by income per ca...</v>
      </c>
    </row>
    <row r="245" spans="3:7" x14ac:dyDescent="0.35">
      <c r="C245" t="s">
        <v>86</v>
      </c>
      <c r="D245" t="s">
        <v>89</v>
      </c>
      <c r="E245" t="s">
        <v>61</v>
      </c>
      <c r="F245" s="36">
        <v>221</v>
      </c>
      <c r="G245" s="16" t="str">
        <f>HYPERLINK("#'Data'!A1574", "Percentage of households feeling emotionally unwell that received mental health or psychosocial support/services, by type broken down by gender of hea...")</f>
        <v>Percentage of households feeling emotionally unwell that received mental health or psychosocial support/services, by type broken down by gender of hea...</v>
      </c>
    </row>
    <row r="246" spans="3:7" x14ac:dyDescent="0.35">
      <c r="C246" t="s">
        <v>86</v>
      </c>
      <c r="D246" t="s">
        <v>89</v>
      </c>
      <c r="E246" t="s">
        <v>62</v>
      </c>
      <c r="F246" s="36">
        <v>222</v>
      </c>
      <c r="G246" s="16" t="str">
        <f>HYPERLINK("#'Data'!A1582", "Percentage of households feeling emotionally unwell that received mental health or psychosocial support/services, by type broken down by age of adults...")</f>
        <v>Percentage of households feeling emotionally unwell that received mental health or psychosocial support/services, by type broken down by age of adults...</v>
      </c>
    </row>
    <row r="247" spans="3:7" x14ac:dyDescent="0.35">
      <c r="C247" t="s">
        <v>86</v>
      </c>
      <c r="D247" t="s">
        <v>89</v>
      </c>
      <c r="E247" t="s">
        <v>76</v>
      </c>
      <c r="F247" s="36">
        <v>223</v>
      </c>
      <c r="G247" s="16" t="str">
        <f>HYPERLINK("#'Data'!A1589", "Percentage of households feeling emotionally unwell that received mental health or psychosocial support/services, by type broken down by households wi...")</f>
        <v>Percentage of households feeling emotionally unwell that received mental health or psychosocial support/services, by type broken down by households wi...</v>
      </c>
    </row>
    <row r="248" spans="3:7" x14ac:dyDescent="0.35">
      <c r="C248" t="s">
        <v>86</v>
      </c>
      <c r="D248" t="s">
        <v>89</v>
      </c>
      <c r="E248" t="s">
        <v>63</v>
      </c>
      <c r="F248" s="36">
        <v>224</v>
      </c>
      <c r="G248" s="16" t="str">
        <f>HYPERLINK("#'Data'!A1595", "Percentage of households feeling emotionally unwell that received mental health or psychosocial support/services, by type broken down by displacement ...")</f>
        <v>Percentage of households feeling emotionally unwell that received mental health or psychosocial support/services, by type broken down by displacement ...</v>
      </c>
    </row>
    <row r="249" spans="3:7" x14ac:dyDescent="0.35">
      <c r="C249" t="s">
        <v>86</v>
      </c>
      <c r="D249" t="s">
        <v>89</v>
      </c>
      <c r="E249" t="s">
        <v>64</v>
      </c>
      <c r="F249" s="36">
        <v>225</v>
      </c>
      <c r="G249" s="16" t="str">
        <f>HYPERLINK("#'Data'!A1604", "Percentage of households feeling emotionally unwell that received mental health or psychosocial support/services, by type broken down by IDP household...")</f>
        <v>Percentage of households feeling emotionally unwell that received mental health or psychosocial support/services, by type broken down by IDP household...</v>
      </c>
    </row>
    <row r="250" spans="3:7" x14ac:dyDescent="0.35">
      <c r="C250" t="s">
        <v>86</v>
      </c>
      <c r="D250" t="s">
        <v>89</v>
      </c>
      <c r="E250" t="s">
        <v>65</v>
      </c>
      <c r="F250" s="36">
        <v>226</v>
      </c>
      <c r="G250" s="16" t="str">
        <f>HYPERLINK("#'Data'!A1610", "Percentage of households feeling emotionally unwell that received mental health or psychosocial support/services, by type broken down by proximity to ...")</f>
        <v>Percentage of households feeling emotionally unwell that received mental health or psychosocial support/services, by type broken down by proximity to ...</v>
      </c>
    </row>
    <row r="251" spans="3:7" x14ac:dyDescent="0.35">
      <c r="C251" t="s">
        <v>86</v>
      </c>
      <c r="D251" t="s">
        <v>89</v>
      </c>
      <c r="E251" t="s">
        <v>77</v>
      </c>
      <c r="F251" s="36">
        <v>227</v>
      </c>
      <c r="G251" s="16" t="str">
        <f>HYPERLINK("#'Data'!A1617", "Percentage of households feeling emotionally unwell that received mental health or psychosocial support/services, by type broken down by caregiving st...")</f>
        <v>Percentage of households feeling emotionally unwell that received mental health or psychosocial support/services, by type broken down by caregiving st...</v>
      </c>
    </row>
    <row r="252" spans="3:7" x14ac:dyDescent="0.35">
      <c r="C252" t="s">
        <v>74</v>
      </c>
      <c r="D252" t="s">
        <v>90</v>
      </c>
      <c r="E252" t="s">
        <v>36</v>
      </c>
      <c r="F252" s="36">
        <v>228</v>
      </c>
      <c r="G252" s="16" t="str">
        <f>HYPERLINK("#'Data'!A1625", "Percentage of households with at least one member with registered disability, by type on the admin of overall perc")</f>
        <v>Percentage of households with at least one member with registered disability, by type on the admin of overall perc</v>
      </c>
    </row>
    <row r="253" spans="3:7" x14ac:dyDescent="0.35">
      <c r="C253" t="s">
        <v>74</v>
      </c>
      <c r="D253" t="s">
        <v>90</v>
      </c>
      <c r="E253" t="s">
        <v>57</v>
      </c>
      <c r="F253" s="36">
        <v>229</v>
      </c>
      <c r="G253" s="16" t="str">
        <f>HYPERLINK("#'Data'!A1630", "Percentage of households with at least one member with registered disability, by type broken down by households with at least one member with a report...")</f>
        <v>Percentage of households with at least one member with registered disability, by type broken down by households with at least one member with a report...</v>
      </c>
    </row>
    <row r="254" spans="3:7" x14ac:dyDescent="0.35">
      <c r="C254" t="s">
        <v>74</v>
      </c>
      <c r="D254" t="s">
        <v>90</v>
      </c>
      <c r="E254" t="s">
        <v>58</v>
      </c>
      <c r="F254" s="36">
        <v>230</v>
      </c>
      <c r="G254" s="16" t="str">
        <f>HYPERLINK("#'Data'!A1636", "Percentage of households with at least one member with registered disability, by type broken down by urbanity on the admin of overall perc")</f>
        <v>Percentage of households with at least one member with registered disability, by type broken down by urbanity on the admin of overall perc</v>
      </c>
    </row>
    <row r="255" spans="3:7" x14ac:dyDescent="0.35">
      <c r="C255" t="s">
        <v>74</v>
      </c>
      <c r="D255" t="s">
        <v>90</v>
      </c>
      <c r="E255" t="s">
        <v>59</v>
      </c>
      <c r="F255" s="36">
        <v>231</v>
      </c>
      <c r="G255" s="16" t="str">
        <f>HYPERLINK("#'Data'!A1642", "Percentage of households with at least one member with registered disability, by type broken down by household size on the admin of overall perc")</f>
        <v>Percentage of households with at least one member with registered disability, by type broken down by household size on the admin of overall perc</v>
      </c>
    </row>
    <row r="256" spans="3:7" x14ac:dyDescent="0.35">
      <c r="C256" t="s">
        <v>74</v>
      </c>
      <c r="D256" t="s">
        <v>90</v>
      </c>
      <c r="E256" t="s">
        <v>60</v>
      </c>
      <c r="F256" s="36">
        <v>232</v>
      </c>
      <c r="G256" s="16" t="str">
        <f>HYPERLINK("#'Data'!A1649", "Percentage of households with at least one member with registered disability, by type broken down by income per capita (quartiles) on the admin of ove...")</f>
        <v>Percentage of households with at least one member with registered disability, by type broken down by income per capita (quartiles) on the admin of ove...</v>
      </c>
    </row>
    <row r="257" spans="3:7" x14ac:dyDescent="0.35">
      <c r="C257" t="s">
        <v>74</v>
      </c>
      <c r="D257" t="s">
        <v>90</v>
      </c>
      <c r="E257" t="s">
        <v>61</v>
      </c>
      <c r="F257" s="36">
        <v>233</v>
      </c>
      <c r="G257" s="16" t="str">
        <f>HYPERLINK("#'Data'!A1657", "Percentage of households with at least one member with registered disability, by type broken down by gender of head of household on the admin of overa...")</f>
        <v>Percentage of households with at least one member with registered disability, by type broken down by gender of head of household on the admin of overa...</v>
      </c>
    </row>
    <row r="258" spans="3:7" x14ac:dyDescent="0.35">
      <c r="C258" t="s">
        <v>74</v>
      </c>
      <c r="D258" t="s">
        <v>90</v>
      </c>
      <c r="E258" t="s">
        <v>62</v>
      </c>
      <c r="F258" s="36">
        <v>234</v>
      </c>
      <c r="G258" s="16" t="str">
        <f>HYPERLINK("#'Data'!A1665", "Percentage of households with at least one member with registered disability, by type broken down by age of adults in the households on the admin of o...")</f>
        <v>Percentage of households with at least one member with registered disability, by type broken down by age of adults in the households on the admin of o...</v>
      </c>
    </row>
    <row r="259" spans="3:7" x14ac:dyDescent="0.35">
      <c r="C259" t="s">
        <v>74</v>
      </c>
      <c r="D259" t="s">
        <v>90</v>
      </c>
      <c r="E259" t="s">
        <v>76</v>
      </c>
      <c r="F259" s="36">
        <v>235</v>
      </c>
      <c r="G259" s="16" t="str">
        <f>HYPERLINK("#'Data'!A1672", "Percentage of households with at least one member with registered disability, by type broken down by households with at least one child (&lt;18 y.o.) on ...")</f>
        <v>Percentage of households with at least one member with registered disability, by type broken down by households with at least one child (&lt;18 y.o.) on ...</v>
      </c>
    </row>
    <row r="260" spans="3:7" x14ac:dyDescent="0.35">
      <c r="C260" t="s">
        <v>74</v>
      </c>
      <c r="D260" t="s">
        <v>90</v>
      </c>
      <c r="E260" t="s">
        <v>63</v>
      </c>
      <c r="F260" s="36">
        <v>236</v>
      </c>
      <c r="G260" s="16" t="str">
        <f>HYPERLINK("#'Data'!A1678", "Percentage of households with at least one member with registered disability, by type broken down by displacement status of head of household on the a...")</f>
        <v>Percentage of households with at least one member with registered disability, by type broken down by displacement status of head of household on the a...</v>
      </c>
    </row>
    <row r="261" spans="3:7" x14ac:dyDescent="0.35">
      <c r="C261" t="s">
        <v>74</v>
      </c>
      <c r="D261" t="s">
        <v>90</v>
      </c>
      <c r="E261" t="s">
        <v>64</v>
      </c>
      <c r="F261" s="36">
        <v>237</v>
      </c>
      <c r="G261" s="16" t="str">
        <f>HYPERLINK("#'Data'!A1687", "Percentage of households with at least one member with registered disability, by type broken down by IDP household on the admin of overall perc")</f>
        <v>Percentage of households with at least one member with registered disability, by type broken down by IDP household on the admin of overall perc</v>
      </c>
    </row>
    <row r="262" spans="3:7" x14ac:dyDescent="0.35">
      <c r="C262" t="s">
        <v>74</v>
      </c>
      <c r="D262" t="s">
        <v>90</v>
      </c>
      <c r="E262" t="s">
        <v>65</v>
      </c>
      <c r="F262" s="36">
        <v>238</v>
      </c>
      <c r="G262" s="16" t="str">
        <f>HYPERLINK("#'Data'!A1693", "Percentage of households with at least one member with registered disability, by type broken down by proximity to frontline/border with Russian Federa...")</f>
        <v>Percentage of households with at least one member with registered disability, by type broken down by proximity to frontline/border with Russian Federa...</v>
      </c>
    </row>
    <row r="263" spans="3:7" x14ac:dyDescent="0.35">
      <c r="C263" t="s">
        <v>74</v>
      </c>
      <c r="D263" t="s">
        <v>90</v>
      </c>
      <c r="E263" t="s">
        <v>77</v>
      </c>
      <c r="F263" s="36">
        <v>239</v>
      </c>
      <c r="G263" s="16" t="str">
        <f>HYPERLINK("#'Data'!A1700", "Percentage of households with at least one member with registered disability, by type broken down by caregiving status  on the admin of overall perc")</f>
        <v>Percentage of households with at least one member with registered disability, by type broken down by caregiving status  on the admin of overall perc</v>
      </c>
    </row>
    <row r="264" spans="3:7" x14ac:dyDescent="0.35">
      <c r="C264" t="s">
        <v>74</v>
      </c>
      <c r="D264" t="s">
        <v>91</v>
      </c>
      <c r="E264" t="s">
        <v>36</v>
      </c>
      <c r="F264" s="36">
        <v>240</v>
      </c>
      <c r="G264" s="16" t="str">
        <f>HYPERLINK("#'Data'!A1708", "Percentage of households with at least one member that has difficulties seeing on the admin of overall perc")</f>
        <v>Percentage of households with at least one member that has difficulties seeing on the admin of overall perc</v>
      </c>
    </row>
    <row r="265" spans="3:7" x14ac:dyDescent="0.35">
      <c r="C265" t="s">
        <v>74</v>
      </c>
      <c r="D265" t="s">
        <v>91</v>
      </c>
      <c r="E265" t="s">
        <v>57</v>
      </c>
      <c r="F265" s="36">
        <v>241</v>
      </c>
      <c r="G265" s="16" t="str">
        <f>HYPERLINK("#'Data'!A1713", "Percentage of households with at least one member that has difficulties seeing broken down by households with at least one member with a reported and/...")</f>
        <v>Percentage of households with at least one member that has difficulties seeing broken down by households with at least one member with a reported and/...</v>
      </c>
    </row>
    <row r="266" spans="3:7" x14ac:dyDescent="0.35">
      <c r="C266" t="s">
        <v>74</v>
      </c>
      <c r="D266" t="s">
        <v>91</v>
      </c>
      <c r="E266" t="s">
        <v>58</v>
      </c>
      <c r="F266" s="36">
        <v>242</v>
      </c>
      <c r="G266" s="16" t="str">
        <f>HYPERLINK("#'Data'!A1719", "Percentage of households with at least one member that has difficulties seeing broken down by urbanity on the admin of overall perc")</f>
        <v>Percentage of households with at least one member that has difficulties seeing broken down by urbanity on the admin of overall perc</v>
      </c>
    </row>
    <row r="267" spans="3:7" x14ac:dyDescent="0.35">
      <c r="C267" t="s">
        <v>74</v>
      </c>
      <c r="D267" t="s">
        <v>91</v>
      </c>
      <c r="E267" t="s">
        <v>59</v>
      </c>
      <c r="F267" s="36">
        <v>243</v>
      </c>
      <c r="G267" s="16" t="str">
        <f>HYPERLINK("#'Data'!A1725", "Percentage of households with at least one member that has difficulties seeing broken down by household size on the admin of overall perc")</f>
        <v>Percentage of households with at least one member that has difficulties seeing broken down by household size on the admin of overall perc</v>
      </c>
    </row>
    <row r="268" spans="3:7" x14ac:dyDescent="0.35">
      <c r="C268" t="s">
        <v>74</v>
      </c>
      <c r="D268" t="s">
        <v>91</v>
      </c>
      <c r="E268" t="s">
        <v>60</v>
      </c>
      <c r="F268" s="36">
        <v>244</v>
      </c>
      <c r="G268" s="16" t="str">
        <f>HYPERLINK("#'Data'!A1732", "Percentage of households with at least one member that has difficulties seeing broken down by income per capita (quartiles) on the admin of overall pe...")</f>
        <v>Percentage of households with at least one member that has difficulties seeing broken down by income per capita (quartiles) on the admin of overall pe...</v>
      </c>
    </row>
    <row r="269" spans="3:7" x14ac:dyDescent="0.35">
      <c r="C269" t="s">
        <v>74</v>
      </c>
      <c r="D269" t="s">
        <v>91</v>
      </c>
      <c r="E269" t="s">
        <v>61</v>
      </c>
      <c r="F269" s="36">
        <v>245</v>
      </c>
      <c r="G269" s="16" t="str">
        <f>HYPERLINK("#'Data'!A1740", "Percentage of households with at least one member that has difficulties seeing broken down by gender of head of household on the admin of overall perc")</f>
        <v>Percentage of households with at least one member that has difficulties seeing broken down by gender of head of household on the admin of overall perc</v>
      </c>
    </row>
    <row r="270" spans="3:7" x14ac:dyDescent="0.35">
      <c r="C270" t="s">
        <v>74</v>
      </c>
      <c r="D270" t="s">
        <v>91</v>
      </c>
      <c r="E270" t="s">
        <v>62</v>
      </c>
      <c r="F270" s="36">
        <v>246</v>
      </c>
      <c r="G270" s="16" t="str">
        <f>HYPERLINK("#'Data'!A1748", "Percentage of households with at least one member that has difficulties seeing broken down by age of adults in the households on the admin of overall ...")</f>
        <v>Percentage of households with at least one member that has difficulties seeing broken down by age of adults in the households on the admin of overall ...</v>
      </c>
    </row>
    <row r="271" spans="3:7" x14ac:dyDescent="0.35">
      <c r="C271" t="s">
        <v>74</v>
      </c>
      <c r="D271" t="s">
        <v>91</v>
      </c>
      <c r="E271" t="s">
        <v>76</v>
      </c>
      <c r="F271" s="36">
        <v>247</v>
      </c>
      <c r="G271" s="16" t="str">
        <f>HYPERLINK("#'Data'!A1755", "Percentage of households with at least one member that has difficulties seeing broken down by households with at least one child (&lt;18 y.o.) on the adm...")</f>
        <v>Percentage of households with at least one member that has difficulties seeing broken down by households with at least one child (&lt;18 y.o.) on the adm...</v>
      </c>
    </row>
    <row r="272" spans="3:7" x14ac:dyDescent="0.35">
      <c r="C272" t="s">
        <v>74</v>
      </c>
      <c r="D272" t="s">
        <v>91</v>
      </c>
      <c r="E272" t="s">
        <v>63</v>
      </c>
      <c r="F272" s="36">
        <v>248</v>
      </c>
      <c r="G272" s="16" t="str">
        <f>HYPERLINK("#'Data'!A1761", "Percentage of households with at least one member that has difficulties seeing broken down by displacement status of head of household on the admin of...")</f>
        <v>Percentage of households with at least one member that has difficulties seeing broken down by displacement status of head of household on the admin of...</v>
      </c>
    </row>
    <row r="273" spans="3:7" x14ac:dyDescent="0.35">
      <c r="C273" t="s">
        <v>74</v>
      </c>
      <c r="D273" t="s">
        <v>91</v>
      </c>
      <c r="E273" t="s">
        <v>64</v>
      </c>
      <c r="F273" s="36">
        <v>249</v>
      </c>
      <c r="G273" s="16" t="str">
        <f>HYPERLINK("#'Data'!A1770", "Percentage of households with at least one member that has difficulties seeing broken down by IDP household on the admin of overall perc")</f>
        <v>Percentage of households with at least one member that has difficulties seeing broken down by IDP household on the admin of overall perc</v>
      </c>
    </row>
    <row r="274" spans="3:7" x14ac:dyDescent="0.35">
      <c r="C274" t="s">
        <v>74</v>
      </c>
      <c r="D274" t="s">
        <v>91</v>
      </c>
      <c r="E274" t="s">
        <v>65</v>
      </c>
      <c r="F274" s="36">
        <v>250</v>
      </c>
      <c r="G274" s="16" t="str">
        <f>HYPERLINK("#'Data'!A1776", "Percentage of households with at least one member that has difficulties seeing broken down by proximity to frontline/border with Russian Federation on...")</f>
        <v>Percentage of households with at least one member that has difficulties seeing broken down by proximity to frontline/border with Russian Federation on...</v>
      </c>
    </row>
    <row r="275" spans="3:7" x14ac:dyDescent="0.35">
      <c r="C275" t="s">
        <v>74</v>
      </c>
      <c r="D275" t="s">
        <v>91</v>
      </c>
      <c r="E275" t="s">
        <v>77</v>
      </c>
      <c r="F275" s="36">
        <v>251</v>
      </c>
      <c r="G275" s="16" t="str">
        <f>HYPERLINK("#'Data'!A1783", "Percentage of households with at least one member that has difficulties seeing broken down by caregiving status  on the admin of overall perc")</f>
        <v>Percentage of households with at least one member that has difficulties seeing broken down by caregiving status  on the admin of overall perc</v>
      </c>
    </row>
    <row r="276" spans="3:7" x14ac:dyDescent="0.35">
      <c r="C276" t="s">
        <v>74</v>
      </c>
      <c r="D276" t="s">
        <v>92</v>
      </c>
      <c r="E276" t="s">
        <v>36</v>
      </c>
      <c r="F276" s="36">
        <v>252</v>
      </c>
      <c r="G276" s="16" t="str">
        <f>HYPERLINK("#'Data'!A1791", "Percentage of households with at least one member that has difficulties hearing on the admin of overall perc")</f>
        <v>Percentage of households with at least one member that has difficulties hearing on the admin of overall perc</v>
      </c>
    </row>
    <row r="277" spans="3:7" x14ac:dyDescent="0.35">
      <c r="C277" t="s">
        <v>74</v>
      </c>
      <c r="D277" t="s">
        <v>92</v>
      </c>
      <c r="E277" t="s">
        <v>57</v>
      </c>
      <c r="F277" s="36">
        <v>253</v>
      </c>
      <c r="G277" s="16" t="str">
        <f>HYPERLINK("#'Data'!A1796", "Percentage of households with at least one member that has difficulties hearing broken down by households with at least one member with a reported and...")</f>
        <v>Percentage of households with at least one member that has difficulties hearing broken down by households with at least one member with a reported and...</v>
      </c>
    </row>
    <row r="278" spans="3:7" x14ac:dyDescent="0.35">
      <c r="C278" t="s">
        <v>74</v>
      </c>
      <c r="D278" t="s">
        <v>92</v>
      </c>
      <c r="E278" t="s">
        <v>58</v>
      </c>
      <c r="F278" s="36">
        <v>254</v>
      </c>
      <c r="G278" s="16" t="str">
        <f>HYPERLINK("#'Data'!A1802", "Percentage of households with at least one member that has difficulties hearing broken down by urbanity on the admin of overall perc")</f>
        <v>Percentage of households with at least one member that has difficulties hearing broken down by urbanity on the admin of overall perc</v>
      </c>
    </row>
    <row r="279" spans="3:7" x14ac:dyDescent="0.35">
      <c r="C279" t="s">
        <v>74</v>
      </c>
      <c r="D279" t="s">
        <v>92</v>
      </c>
      <c r="E279" t="s">
        <v>59</v>
      </c>
      <c r="F279" s="36">
        <v>255</v>
      </c>
      <c r="G279" s="16" t="str">
        <f>HYPERLINK("#'Data'!A1808", "Percentage of households with at least one member that has difficulties hearing broken down by household size on the admin of overall perc")</f>
        <v>Percentage of households with at least one member that has difficulties hearing broken down by household size on the admin of overall perc</v>
      </c>
    </row>
    <row r="280" spans="3:7" x14ac:dyDescent="0.35">
      <c r="C280" t="s">
        <v>74</v>
      </c>
      <c r="D280" t="s">
        <v>92</v>
      </c>
      <c r="E280" t="s">
        <v>60</v>
      </c>
      <c r="F280" s="36">
        <v>256</v>
      </c>
      <c r="G280" s="16" t="str">
        <f>HYPERLINK("#'Data'!A1815", "Percentage of households with at least one member that has difficulties hearing broken down by income per capita (quartiles) on the admin of overall p...")</f>
        <v>Percentage of households with at least one member that has difficulties hearing broken down by income per capita (quartiles) on the admin of overall p...</v>
      </c>
    </row>
    <row r="281" spans="3:7" x14ac:dyDescent="0.35">
      <c r="C281" t="s">
        <v>74</v>
      </c>
      <c r="D281" t="s">
        <v>92</v>
      </c>
      <c r="E281" t="s">
        <v>61</v>
      </c>
      <c r="F281" s="36">
        <v>257</v>
      </c>
      <c r="G281" s="16" t="str">
        <f>HYPERLINK("#'Data'!A1823", "Percentage of households with at least one member that has difficulties hearing broken down by gender of head of household on the admin of overall per...")</f>
        <v>Percentage of households with at least one member that has difficulties hearing broken down by gender of head of household on the admin of overall per...</v>
      </c>
    </row>
    <row r="282" spans="3:7" x14ac:dyDescent="0.35">
      <c r="C282" t="s">
        <v>74</v>
      </c>
      <c r="D282" t="s">
        <v>92</v>
      </c>
      <c r="E282" t="s">
        <v>62</v>
      </c>
      <c r="F282" s="36">
        <v>258</v>
      </c>
      <c r="G282" s="16" t="str">
        <f>HYPERLINK("#'Data'!A1831", "Percentage of households with at least one member that has difficulties hearing broken down by age of adults in the households on the admin of overall...")</f>
        <v>Percentage of households with at least one member that has difficulties hearing broken down by age of adults in the households on the admin of overall...</v>
      </c>
    </row>
    <row r="283" spans="3:7" x14ac:dyDescent="0.35">
      <c r="C283" t="s">
        <v>74</v>
      </c>
      <c r="D283" t="s">
        <v>92</v>
      </c>
      <c r="E283" t="s">
        <v>76</v>
      </c>
      <c r="F283" s="36">
        <v>259</v>
      </c>
      <c r="G283" s="16" t="str">
        <f>HYPERLINK("#'Data'!A1838", "Percentage of households with at least one member that has difficulties hearing broken down by households with at least one child (&lt;18 y.o.) on the ad...")</f>
        <v>Percentage of households with at least one member that has difficulties hearing broken down by households with at least one child (&lt;18 y.o.) on the ad...</v>
      </c>
    </row>
    <row r="284" spans="3:7" x14ac:dyDescent="0.35">
      <c r="C284" t="s">
        <v>74</v>
      </c>
      <c r="D284" t="s">
        <v>92</v>
      </c>
      <c r="E284" t="s">
        <v>63</v>
      </c>
      <c r="F284" s="36">
        <v>260</v>
      </c>
      <c r="G284" s="16" t="str">
        <f>HYPERLINK("#'Data'!A1844", "Percentage of households with at least one member that has difficulties hearing broken down by displacement status of head of household on the admin o...")</f>
        <v>Percentage of households with at least one member that has difficulties hearing broken down by displacement status of head of household on the admin o...</v>
      </c>
    </row>
    <row r="285" spans="3:7" x14ac:dyDescent="0.35">
      <c r="C285" t="s">
        <v>74</v>
      </c>
      <c r="D285" t="s">
        <v>92</v>
      </c>
      <c r="E285" t="s">
        <v>64</v>
      </c>
      <c r="F285" s="36">
        <v>261</v>
      </c>
      <c r="G285" s="16" t="str">
        <f>HYPERLINK("#'Data'!A1853", "Percentage of households with at least one member that has difficulties hearing broken down by IDP household on the admin of overall perc")</f>
        <v>Percentage of households with at least one member that has difficulties hearing broken down by IDP household on the admin of overall perc</v>
      </c>
    </row>
    <row r="286" spans="3:7" x14ac:dyDescent="0.35">
      <c r="C286" t="s">
        <v>74</v>
      </c>
      <c r="D286" t="s">
        <v>92</v>
      </c>
      <c r="E286" t="s">
        <v>65</v>
      </c>
      <c r="F286" s="36">
        <v>262</v>
      </c>
      <c r="G286" s="16" t="str">
        <f>HYPERLINK("#'Data'!A1859", "Percentage of households with at least one member that has difficulties hearing broken down by proximity to frontline/border with Russian Federation o...")</f>
        <v>Percentage of households with at least one member that has difficulties hearing broken down by proximity to frontline/border with Russian Federation o...</v>
      </c>
    </row>
    <row r="287" spans="3:7" x14ac:dyDescent="0.35">
      <c r="C287" t="s">
        <v>74</v>
      </c>
      <c r="D287" t="s">
        <v>92</v>
      </c>
      <c r="E287" t="s">
        <v>77</v>
      </c>
      <c r="F287" s="36">
        <v>263</v>
      </c>
      <c r="G287" s="16" t="str">
        <f>HYPERLINK("#'Data'!A1866", "Percentage of households with at least one member that has difficulties hearing broken down by caregiving status  on the admin of overall perc")</f>
        <v>Percentage of households with at least one member that has difficulties hearing broken down by caregiving status  on the admin of overall perc</v>
      </c>
    </row>
    <row r="288" spans="3:7" x14ac:dyDescent="0.35">
      <c r="C288" t="s">
        <v>74</v>
      </c>
      <c r="D288" t="s">
        <v>93</v>
      </c>
      <c r="E288" t="s">
        <v>36</v>
      </c>
      <c r="F288" s="36">
        <v>264</v>
      </c>
      <c r="G288" s="16" t="str">
        <f>HYPERLINK("#'Data'!A1874", "Percentage of households with at least one member that has difficulties walking on the admin of overall perc")</f>
        <v>Percentage of households with at least one member that has difficulties walking on the admin of overall perc</v>
      </c>
    </row>
    <row r="289" spans="3:7" x14ac:dyDescent="0.35">
      <c r="C289" t="s">
        <v>74</v>
      </c>
      <c r="D289" t="s">
        <v>93</v>
      </c>
      <c r="E289" t="s">
        <v>57</v>
      </c>
      <c r="F289" s="36">
        <v>265</v>
      </c>
      <c r="G289" s="16" t="str">
        <f>HYPERLINK("#'Data'!A1879", "Percentage of households with at least one member that has difficulties walking broken down by households with at least one member with a reported and...")</f>
        <v>Percentage of households with at least one member that has difficulties walking broken down by households with at least one member with a reported and...</v>
      </c>
    </row>
    <row r="290" spans="3:7" x14ac:dyDescent="0.35">
      <c r="C290" t="s">
        <v>74</v>
      </c>
      <c r="D290" t="s">
        <v>93</v>
      </c>
      <c r="E290" t="s">
        <v>58</v>
      </c>
      <c r="F290" s="36">
        <v>266</v>
      </c>
      <c r="G290" s="16" t="str">
        <f>HYPERLINK("#'Data'!A1885", "Percentage of households with at least one member that has difficulties walking broken down by urbanity on the admin of overall perc")</f>
        <v>Percentage of households with at least one member that has difficulties walking broken down by urbanity on the admin of overall perc</v>
      </c>
    </row>
    <row r="291" spans="3:7" x14ac:dyDescent="0.35">
      <c r="C291" t="s">
        <v>74</v>
      </c>
      <c r="D291" t="s">
        <v>93</v>
      </c>
      <c r="E291" t="s">
        <v>59</v>
      </c>
      <c r="F291" s="36">
        <v>267</v>
      </c>
      <c r="G291" s="16" t="str">
        <f>HYPERLINK("#'Data'!A1891", "Percentage of households with at least one member that has difficulties walking broken down by household size on the admin of overall perc")</f>
        <v>Percentage of households with at least one member that has difficulties walking broken down by household size on the admin of overall perc</v>
      </c>
    </row>
    <row r="292" spans="3:7" x14ac:dyDescent="0.35">
      <c r="C292" t="s">
        <v>74</v>
      </c>
      <c r="D292" t="s">
        <v>93</v>
      </c>
      <c r="E292" t="s">
        <v>60</v>
      </c>
      <c r="F292" s="36">
        <v>268</v>
      </c>
      <c r="G292" s="16" t="str">
        <f>HYPERLINK("#'Data'!A1898", "Percentage of households with at least one member that has difficulties walking broken down by income per capita (quartiles) on the admin of overall p...")</f>
        <v>Percentage of households with at least one member that has difficulties walking broken down by income per capita (quartiles) on the admin of overall p...</v>
      </c>
    </row>
    <row r="293" spans="3:7" x14ac:dyDescent="0.35">
      <c r="C293" t="s">
        <v>74</v>
      </c>
      <c r="D293" t="s">
        <v>93</v>
      </c>
      <c r="E293" t="s">
        <v>61</v>
      </c>
      <c r="F293" s="36">
        <v>269</v>
      </c>
      <c r="G293" s="16" t="str">
        <f>HYPERLINK("#'Data'!A1906", "Percentage of households with at least one member that has difficulties walking broken down by gender of head of household on the admin of overall per...")</f>
        <v>Percentage of households with at least one member that has difficulties walking broken down by gender of head of household on the admin of overall per...</v>
      </c>
    </row>
    <row r="294" spans="3:7" x14ac:dyDescent="0.35">
      <c r="C294" t="s">
        <v>74</v>
      </c>
      <c r="D294" t="s">
        <v>93</v>
      </c>
      <c r="E294" t="s">
        <v>62</v>
      </c>
      <c r="F294" s="36">
        <v>270</v>
      </c>
      <c r="G294" s="16" t="str">
        <f>HYPERLINK("#'Data'!A1914", "Percentage of households with at least one member that has difficulties walking broken down by age of adults in the households on the admin of overall...")</f>
        <v>Percentage of households with at least one member that has difficulties walking broken down by age of adults in the households on the admin of overall...</v>
      </c>
    </row>
    <row r="295" spans="3:7" x14ac:dyDescent="0.35">
      <c r="C295" t="s">
        <v>74</v>
      </c>
      <c r="D295" t="s">
        <v>93</v>
      </c>
      <c r="E295" t="s">
        <v>76</v>
      </c>
      <c r="F295" s="36">
        <v>271</v>
      </c>
      <c r="G295" s="16" t="str">
        <f>HYPERLINK("#'Data'!A1921", "Percentage of households with at least one member that has difficulties walking broken down by households with at least one child (&lt;18 y.o.) on the ad...")</f>
        <v>Percentage of households with at least one member that has difficulties walking broken down by households with at least one child (&lt;18 y.o.) on the ad...</v>
      </c>
    </row>
    <row r="296" spans="3:7" x14ac:dyDescent="0.35">
      <c r="C296" t="s">
        <v>74</v>
      </c>
      <c r="D296" t="s">
        <v>93</v>
      </c>
      <c r="E296" t="s">
        <v>63</v>
      </c>
      <c r="F296" s="36">
        <v>272</v>
      </c>
      <c r="G296" s="16" t="str">
        <f>HYPERLINK("#'Data'!A1927", "Percentage of households with at least one member that has difficulties walking broken down by displacement status of head of household on the admin o...")</f>
        <v>Percentage of households with at least one member that has difficulties walking broken down by displacement status of head of household on the admin o...</v>
      </c>
    </row>
    <row r="297" spans="3:7" x14ac:dyDescent="0.35">
      <c r="C297" t="s">
        <v>74</v>
      </c>
      <c r="D297" t="s">
        <v>93</v>
      </c>
      <c r="E297" t="s">
        <v>64</v>
      </c>
      <c r="F297" s="36">
        <v>273</v>
      </c>
      <c r="G297" s="16" t="str">
        <f>HYPERLINK("#'Data'!A1936", "Percentage of households with at least one member that has difficulties walking broken down by IDP household on the admin of overall perc")</f>
        <v>Percentage of households with at least one member that has difficulties walking broken down by IDP household on the admin of overall perc</v>
      </c>
    </row>
    <row r="298" spans="3:7" x14ac:dyDescent="0.35">
      <c r="C298" t="s">
        <v>74</v>
      </c>
      <c r="D298" t="s">
        <v>93</v>
      </c>
      <c r="E298" t="s">
        <v>65</v>
      </c>
      <c r="F298" s="36">
        <v>274</v>
      </c>
      <c r="G298" s="16" t="str">
        <f>HYPERLINK("#'Data'!A1942", "Percentage of households with at least one member that has difficulties walking broken down by proximity to frontline/border with Russian Federation o...")</f>
        <v>Percentage of households with at least one member that has difficulties walking broken down by proximity to frontline/border with Russian Federation o...</v>
      </c>
    </row>
    <row r="299" spans="3:7" x14ac:dyDescent="0.35">
      <c r="C299" t="s">
        <v>74</v>
      </c>
      <c r="D299" t="s">
        <v>93</v>
      </c>
      <c r="E299" t="s">
        <v>77</v>
      </c>
      <c r="F299" s="36">
        <v>275</v>
      </c>
      <c r="G299" s="16" t="str">
        <f>HYPERLINK("#'Data'!A1949", "Percentage of households with at least one member that has difficulties walking broken down by caregiving status  on the admin of overall perc")</f>
        <v>Percentage of households with at least one member that has difficulties walking broken down by caregiving status  on the admin of overall perc</v>
      </c>
    </row>
    <row r="300" spans="3:7" x14ac:dyDescent="0.35">
      <c r="C300" t="s">
        <v>74</v>
      </c>
      <c r="D300" t="s">
        <v>94</v>
      </c>
      <c r="E300" t="s">
        <v>36</v>
      </c>
      <c r="F300" s="36">
        <v>276</v>
      </c>
      <c r="G300" s="16" t="str">
        <f>HYPERLINK("#'Data'!A1957", "Percentage of households with at least one member that has difficulties concentrating on the admin of overall perc")</f>
        <v>Percentage of households with at least one member that has difficulties concentrating on the admin of overall perc</v>
      </c>
    </row>
    <row r="301" spans="3:7" x14ac:dyDescent="0.35">
      <c r="C301" t="s">
        <v>74</v>
      </c>
      <c r="D301" t="s">
        <v>94</v>
      </c>
      <c r="E301" t="s">
        <v>57</v>
      </c>
      <c r="F301" s="36">
        <v>277</v>
      </c>
      <c r="G301" s="16" t="str">
        <f>HYPERLINK("#'Data'!A1962", "Percentage of households with at least one member that has difficulties concentrating broken down by households with at least one member with a report...")</f>
        <v>Percentage of households with at least one member that has difficulties concentrating broken down by households with at least one member with a report...</v>
      </c>
    </row>
    <row r="302" spans="3:7" x14ac:dyDescent="0.35">
      <c r="C302" t="s">
        <v>74</v>
      </c>
      <c r="D302" t="s">
        <v>94</v>
      </c>
      <c r="E302" t="s">
        <v>58</v>
      </c>
      <c r="F302" s="36">
        <v>278</v>
      </c>
      <c r="G302" s="16" t="str">
        <f>HYPERLINK("#'Data'!A1968", "Percentage of households with at least one member that has difficulties concentrating broken down by urbanity on the admin of overall perc")</f>
        <v>Percentage of households with at least one member that has difficulties concentrating broken down by urbanity on the admin of overall perc</v>
      </c>
    </row>
    <row r="303" spans="3:7" x14ac:dyDescent="0.35">
      <c r="C303" t="s">
        <v>74</v>
      </c>
      <c r="D303" t="s">
        <v>94</v>
      </c>
      <c r="E303" t="s">
        <v>59</v>
      </c>
      <c r="F303" s="36">
        <v>279</v>
      </c>
      <c r="G303" s="16" t="str">
        <f>HYPERLINK("#'Data'!A1974", "Percentage of households with at least one member that has difficulties concentrating broken down by household size on the admin of overall perc")</f>
        <v>Percentage of households with at least one member that has difficulties concentrating broken down by household size on the admin of overall perc</v>
      </c>
    </row>
    <row r="304" spans="3:7" x14ac:dyDescent="0.35">
      <c r="C304" t="s">
        <v>74</v>
      </c>
      <c r="D304" t="s">
        <v>94</v>
      </c>
      <c r="E304" t="s">
        <v>60</v>
      </c>
      <c r="F304" s="36">
        <v>280</v>
      </c>
      <c r="G304" s="16" t="str">
        <f>HYPERLINK("#'Data'!A1981", "Percentage of households with at least one member that has difficulties concentrating broken down by income per capita (quartiles) on the admin of ove...")</f>
        <v>Percentage of households with at least one member that has difficulties concentrating broken down by income per capita (quartiles) on the admin of ove...</v>
      </c>
    </row>
    <row r="305" spans="3:7" x14ac:dyDescent="0.35">
      <c r="C305" t="s">
        <v>74</v>
      </c>
      <c r="D305" t="s">
        <v>94</v>
      </c>
      <c r="E305" t="s">
        <v>61</v>
      </c>
      <c r="F305" s="36">
        <v>281</v>
      </c>
      <c r="G305" s="16" t="str">
        <f>HYPERLINK("#'Data'!A1989", "Percentage of households with at least one member that has difficulties concentrating broken down by gender of head of household on the admin of overa...")</f>
        <v>Percentage of households with at least one member that has difficulties concentrating broken down by gender of head of household on the admin of overa...</v>
      </c>
    </row>
    <row r="306" spans="3:7" x14ac:dyDescent="0.35">
      <c r="C306" t="s">
        <v>74</v>
      </c>
      <c r="D306" t="s">
        <v>94</v>
      </c>
      <c r="E306" t="s">
        <v>62</v>
      </c>
      <c r="F306" s="36">
        <v>282</v>
      </c>
      <c r="G306" s="16" t="str">
        <f>HYPERLINK("#'Data'!A1997", "Percentage of households with at least one member that has difficulties concentrating broken down by age of adults in the households on the admin of o...")</f>
        <v>Percentage of households with at least one member that has difficulties concentrating broken down by age of adults in the households on the admin of o...</v>
      </c>
    </row>
    <row r="307" spans="3:7" x14ac:dyDescent="0.35">
      <c r="C307" t="s">
        <v>74</v>
      </c>
      <c r="D307" t="s">
        <v>94</v>
      </c>
      <c r="E307" t="s">
        <v>76</v>
      </c>
      <c r="F307" s="36">
        <v>283</v>
      </c>
      <c r="G307" s="16" t="str">
        <f>HYPERLINK("#'Data'!A2004", "Percentage of households with at least one member that has difficulties concentrating broken down by households with at least one child (&lt;18 y.o.) on ...")</f>
        <v>Percentage of households with at least one member that has difficulties concentrating broken down by households with at least one child (&lt;18 y.o.) on ...</v>
      </c>
    </row>
    <row r="308" spans="3:7" x14ac:dyDescent="0.35">
      <c r="C308" t="s">
        <v>74</v>
      </c>
      <c r="D308" t="s">
        <v>94</v>
      </c>
      <c r="E308" t="s">
        <v>63</v>
      </c>
      <c r="F308" s="36">
        <v>284</v>
      </c>
      <c r="G308" s="16" t="str">
        <f>HYPERLINK("#'Data'!A2010", "Percentage of households with at least one member that has difficulties concentrating broken down by displacement status of head of household on the a...")</f>
        <v>Percentage of households with at least one member that has difficulties concentrating broken down by displacement status of head of household on the a...</v>
      </c>
    </row>
    <row r="309" spans="3:7" x14ac:dyDescent="0.35">
      <c r="C309" t="s">
        <v>74</v>
      </c>
      <c r="D309" t="s">
        <v>94</v>
      </c>
      <c r="E309" t="s">
        <v>64</v>
      </c>
      <c r="F309" s="36">
        <v>285</v>
      </c>
      <c r="G309" s="16" t="str">
        <f>HYPERLINK("#'Data'!A2019", "Percentage of households with at least one member that has difficulties concentrating broken down by IDP household on the admin of overall perc")</f>
        <v>Percentage of households with at least one member that has difficulties concentrating broken down by IDP household on the admin of overall perc</v>
      </c>
    </row>
    <row r="310" spans="3:7" x14ac:dyDescent="0.35">
      <c r="C310" t="s">
        <v>74</v>
      </c>
      <c r="D310" t="s">
        <v>94</v>
      </c>
      <c r="E310" t="s">
        <v>65</v>
      </c>
      <c r="F310" s="36">
        <v>286</v>
      </c>
      <c r="G310" s="16" t="str">
        <f>HYPERLINK("#'Data'!A2025", "Percentage of households with at least one member that has difficulties concentrating broken down by proximity to frontline/border with Russian Federa...")</f>
        <v>Percentage of households with at least one member that has difficulties concentrating broken down by proximity to frontline/border with Russian Federa...</v>
      </c>
    </row>
    <row r="311" spans="3:7" x14ac:dyDescent="0.35">
      <c r="C311" t="s">
        <v>74</v>
      </c>
      <c r="D311" t="s">
        <v>94</v>
      </c>
      <c r="E311" t="s">
        <v>77</v>
      </c>
      <c r="F311" s="36">
        <v>287</v>
      </c>
      <c r="G311" s="16" t="str">
        <f>HYPERLINK("#'Data'!A2032", "Percentage of households with at least one member that has difficulties concentrating broken down by caregiving status  on the admin of overall perc")</f>
        <v>Percentage of households with at least one member that has difficulties concentrating broken down by caregiving status  on the admin of overall perc</v>
      </c>
    </row>
    <row r="312" spans="3:7" x14ac:dyDescent="0.35">
      <c r="C312" t="s">
        <v>74</v>
      </c>
      <c r="D312" t="s">
        <v>95</v>
      </c>
      <c r="E312" t="s">
        <v>36</v>
      </c>
      <c r="F312" s="36">
        <v>288</v>
      </c>
      <c r="G312" s="16" t="str">
        <f>HYPERLINK("#'Data'!A2040", "Percentage of households with at least one member that has difficulties performing self-care on the admin of overall perc")</f>
        <v>Percentage of households with at least one member that has difficulties performing self-care on the admin of overall perc</v>
      </c>
    </row>
    <row r="313" spans="3:7" x14ac:dyDescent="0.35">
      <c r="C313" t="s">
        <v>74</v>
      </c>
      <c r="D313" t="s">
        <v>95</v>
      </c>
      <c r="E313" t="s">
        <v>57</v>
      </c>
      <c r="F313" s="36">
        <v>289</v>
      </c>
      <c r="G313" s="16" t="str">
        <f>HYPERLINK("#'Data'!A2045", "Percentage of households with at least one member that has difficulties performing self-care broken down by households with at least one member with a...")</f>
        <v>Percentage of households with at least one member that has difficulties performing self-care broken down by households with at least one member with a...</v>
      </c>
    </row>
    <row r="314" spans="3:7" x14ac:dyDescent="0.35">
      <c r="C314" t="s">
        <v>74</v>
      </c>
      <c r="D314" t="s">
        <v>95</v>
      </c>
      <c r="E314" t="s">
        <v>58</v>
      </c>
      <c r="F314" s="36">
        <v>290</v>
      </c>
      <c r="G314" s="16" t="str">
        <f>HYPERLINK("#'Data'!A2051", "Percentage of households with at least one member that has difficulties performing self-care broken down by urbanity on the admin of overall perc")</f>
        <v>Percentage of households with at least one member that has difficulties performing self-care broken down by urbanity on the admin of overall perc</v>
      </c>
    </row>
    <row r="315" spans="3:7" x14ac:dyDescent="0.35">
      <c r="C315" t="s">
        <v>74</v>
      </c>
      <c r="D315" t="s">
        <v>95</v>
      </c>
      <c r="E315" t="s">
        <v>59</v>
      </c>
      <c r="F315" s="36">
        <v>291</v>
      </c>
      <c r="G315" s="16" t="str">
        <f>HYPERLINK("#'Data'!A2057", "Percentage of households with at least one member that has difficulties performing self-care broken down by household size on the admin of overall per...")</f>
        <v>Percentage of households with at least one member that has difficulties performing self-care broken down by household size on the admin of overall per...</v>
      </c>
    </row>
    <row r="316" spans="3:7" x14ac:dyDescent="0.35">
      <c r="C316" t="s">
        <v>74</v>
      </c>
      <c r="D316" t="s">
        <v>95</v>
      </c>
      <c r="E316" t="s">
        <v>60</v>
      </c>
      <c r="F316" s="36">
        <v>292</v>
      </c>
      <c r="G316" s="16" t="str">
        <f>HYPERLINK("#'Data'!A2064", "Percentage of households with at least one member that has difficulties performing self-care broken down by income per capita (quartiles) on the admin...")</f>
        <v>Percentage of households with at least one member that has difficulties performing self-care broken down by income per capita (quartiles) on the admin...</v>
      </c>
    </row>
    <row r="317" spans="3:7" x14ac:dyDescent="0.35">
      <c r="C317" t="s">
        <v>74</v>
      </c>
      <c r="D317" t="s">
        <v>95</v>
      </c>
      <c r="E317" t="s">
        <v>61</v>
      </c>
      <c r="F317" s="36">
        <v>293</v>
      </c>
      <c r="G317" s="16" t="str">
        <f>HYPERLINK("#'Data'!A2072", "Percentage of households with at least one member that has difficulties performing self-care broken down by gender of head of household on the admin o...")</f>
        <v>Percentage of households with at least one member that has difficulties performing self-care broken down by gender of head of household on the admin o...</v>
      </c>
    </row>
    <row r="318" spans="3:7" x14ac:dyDescent="0.35">
      <c r="C318" t="s">
        <v>74</v>
      </c>
      <c r="D318" t="s">
        <v>95</v>
      </c>
      <c r="E318" t="s">
        <v>62</v>
      </c>
      <c r="F318" s="36">
        <v>294</v>
      </c>
      <c r="G318" s="16" t="str">
        <f>HYPERLINK("#'Data'!A2080", "Percentage of households with at least one member that has difficulties performing self-care broken down by age of adults in the households on the adm...")</f>
        <v>Percentage of households with at least one member that has difficulties performing self-care broken down by age of adults in the households on the adm...</v>
      </c>
    </row>
    <row r="319" spans="3:7" x14ac:dyDescent="0.35">
      <c r="C319" t="s">
        <v>74</v>
      </c>
      <c r="D319" t="s">
        <v>95</v>
      </c>
      <c r="E319" t="s">
        <v>76</v>
      </c>
      <c r="F319" s="36">
        <v>295</v>
      </c>
      <c r="G319" s="16" t="str">
        <f>HYPERLINK("#'Data'!A2087", "Percentage of households with at least one member that has difficulties performing self-care broken down by households with at least one child (&lt;18 y....")</f>
        <v>Percentage of households with at least one member that has difficulties performing self-care broken down by households with at least one child (&lt;18 y....</v>
      </c>
    </row>
    <row r="320" spans="3:7" x14ac:dyDescent="0.35">
      <c r="C320" t="s">
        <v>74</v>
      </c>
      <c r="D320" t="s">
        <v>95</v>
      </c>
      <c r="E320" t="s">
        <v>63</v>
      </c>
      <c r="F320" s="36">
        <v>296</v>
      </c>
      <c r="G320" s="16" t="str">
        <f>HYPERLINK("#'Data'!A2093", "Percentage of households with at least one member that has difficulties performing self-care broken down by displacement status of head of household o...")</f>
        <v>Percentage of households with at least one member that has difficulties performing self-care broken down by displacement status of head of household o...</v>
      </c>
    </row>
    <row r="321" spans="3:7" x14ac:dyDescent="0.35">
      <c r="C321" t="s">
        <v>74</v>
      </c>
      <c r="D321" t="s">
        <v>95</v>
      </c>
      <c r="E321" t="s">
        <v>64</v>
      </c>
      <c r="F321" s="36">
        <v>297</v>
      </c>
      <c r="G321" s="16" t="str">
        <f>HYPERLINK("#'Data'!A2102", "Percentage of households with at least one member that has difficulties performing self-care broken down by IDP household on the admin of overall perc")</f>
        <v>Percentage of households with at least one member that has difficulties performing self-care broken down by IDP household on the admin of overall perc</v>
      </c>
    </row>
    <row r="322" spans="3:7" x14ac:dyDescent="0.35">
      <c r="C322" t="s">
        <v>74</v>
      </c>
      <c r="D322" t="s">
        <v>95</v>
      </c>
      <c r="E322" t="s">
        <v>65</v>
      </c>
      <c r="F322" s="36">
        <v>298</v>
      </c>
      <c r="G322" s="16" t="str">
        <f>HYPERLINK("#'Data'!A2108", "Percentage of households with at least one member that has difficulties performing self-care broken down by proximity to frontline/border with Russian...")</f>
        <v>Percentage of households with at least one member that has difficulties performing self-care broken down by proximity to frontline/border with Russian...</v>
      </c>
    </row>
    <row r="323" spans="3:7" x14ac:dyDescent="0.35">
      <c r="C323" t="s">
        <v>74</v>
      </c>
      <c r="D323" t="s">
        <v>95</v>
      </c>
      <c r="E323" t="s">
        <v>77</v>
      </c>
      <c r="F323" s="36">
        <v>299</v>
      </c>
      <c r="G323" s="16" t="str">
        <f>HYPERLINK("#'Data'!A2115", "Percentage of households with at least one member that has difficulties performing self-care broken down by caregiving status  on the admin of overall...")</f>
        <v>Percentage of households with at least one member that has difficulties performing self-care broken down by caregiving status  on the admin of overall...</v>
      </c>
    </row>
    <row r="324" spans="3:7" x14ac:dyDescent="0.35">
      <c r="C324" t="s">
        <v>74</v>
      </c>
      <c r="D324" t="s">
        <v>96</v>
      </c>
      <c r="E324" t="s">
        <v>36</v>
      </c>
      <c r="F324" s="36">
        <v>300</v>
      </c>
      <c r="G324" s="16" t="str">
        <f>HYPERLINK("#'Data'!A2123", "Percentage of households with at least one member that has difficulties communicating on the admin of overall perc")</f>
        <v>Percentage of households with at least one member that has difficulties communicating on the admin of overall perc</v>
      </c>
    </row>
    <row r="325" spans="3:7" x14ac:dyDescent="0.35">
      <c r="C325" t="s">
        <v>74</v>
      </c>
      <c r="D325" t="s">
        <v>96</v>
      </c>
      <c r="E325" t="s">
        <v>57</v>
      </c>
      <c r="F325" s="36">
        <v>301</v>
      </c>
      <c r="G325" s="16" t="str">
        <f>HYPERLINK("#'Data'!A2128", "Percentage of households with at least one member that has difficulties communicating broken down by households with at least one member with a report...")</f>
        <v>Percentage of households with at least one member that has difficulties communicating broken down by households with at least one member with a report...</v>
      </c>
    </row>
    <row r="326" spans="3:7" x14ac:dyDescent="0.35">
      <c r="C326" t="s">
        <v>74</v>
      </c>
      <c r="D326" t="s">
        <v>96</v>
      </c>
      <c r="E326" t="s">
        <v>58</v>
      </c>
      <c r="F326" s="36">
        <v>302</v>
      </c>
      <c r="G326" s="16" t="str">
        <f>HYPERLINK("#'Data'!A2134", "Percentage of households with at least one member that has difficulties communicating broken down by urbanity on the admin of overall perc")</f>
        <v>Percentage of households with at least one member that has difficulties communicating broken down by urbanity on the admin of overall perc</v>
      </c>
    </row>
    <row r="327" spans="3:7" x14ac:dyDescent="0.35">
      <c r="C327" t="s">
        <v>74</v>
      </c>
      <c r="D327" t="s">
        <v>96</v>
      </c>
      <c r="E327" t="s">
        <v>59</v>
      </c>
      <c r="F327" s="36">
        <v>303</v>
      </c>
      <c r="G327" s="16" t="str">
        <f>HYPERLINK("#'Data'!A2140", "Percentage of households with at least one member that has difficulties communicating broken down by household size on the admin of overall perc")</f>
        <v>Percentage of households with at least one member that has difficulties communicating broken down by household size on the admin of overall perc</v>
      </c>
    </row>
    <row r="328" spans="3:7" x14ac:dyDescent="0.35">
      <c r="C328" t="s">
        <v>74</v>
      </c>
      <c r="D328" t="s">
        <v>96</v>
      </c>
      <c r="E328" t="s">
        <v>60</v>
      </c>
      <c r="F328" s="36">
        <v>304</v>
      </c>
      <c r="G328" s="16" t="str">
        <f>HYPERLINK("#'Data'!A2147", "Percentage of households with at least one member that has difficulties communicating broken down by income per capita (quartiles) on the admin of ove...")</f>
        <v>Percentage of households with at least one member that has difficulties communicating broken down by income per capita (quartiles) on the admin of ove...</v>
      </c>
    </row>
    <row r="329" spans="3:7" x14ac:dyDescent="0.35">
      <c r="C329" t="s">
        <v>74</v>
      </c>
      <c r="D329" t="s">
        <v>96</v>
      </c>
      <c r="E329" t="s">
        <v>61</v>
      </c>
      <c r="F329" s="36">
        <v>305</v>
      </c>
      <c r="G329" s="16" t="str">
        <f>HYPERLINK("#'Data'!A2155", "Percentage of households with at least one member that has difficulties communicating broken down by gender of head of household on the admin of overa...")</f>
        <v>Percentage of households with at least one member that has difficulties communicating broken down by gender of head of household on the admin of overa...</v>
      </c>
    </row>
    <row r="330" spans="3:7" x14ac:dyDescent="0.35">
      <c r="C330" t="s">
        <v>74</v>
      </c>
      <c r="D330" t="s">
        <v>96</v>
      </c>
      <c r="E330" t="s">
        <v>62</v>
      </c>
      <c r="F330" s="36">
        <v>306</v>
      </c>
      <c r="G330" s="16" t="str">
        <f>HYPERLINK("#'Data'!A2163", "Percentage of households with at least one member that has difficulties communicating broken down by age of adults in the households on the admin of o...")</f>
        <v>Percentage of households with at least one member that has difficulties communicating broken down by age of adults in the households on the admin of o...</v>
      </c>
    </row>
    <row r="331" spans="3:7" x14ac:dyDescent="0.35">
      <c r="C331" t="s">
        <v>74</v>
      </c>
      <c r="D331" t="s">
        <v>96</v>
      </c>
      <c r="E331" t="s">
        <v>76</v>
      </c>
      <c r="F331" s="36">
        <v>307</v>
      </c>
      <c r="G331" s="16" t="str">
        <f>HYPERLINK("#'Data'!A2170", "Percentage of households with at least one member that has difficulties communicating broken down by households with at least one child (&lt;18 y.o.) on ...")</f>
        <v>Percentage of households with at least one member that has difficulties communicating broken down by households with at least one child (&lt;18 y.o.) on ...</v>
      </c>
    </row>
    <row r="332" spans="3:7" x14ac:dyDescent="0.35">
      <c r="C332" t="s">
        <v>74</v>
      </c>
      <c r="D332" t="s">
        <v>96</v>
      </c>
      <c r="E332" t="s">
        <v>63</v>
      </c>
      <c r="F332" s="36">
        <v>308</v>
      </c>
      <c r="G332" s="16" t="str">
        <f>HYPERLINK("#'Data'!A2176", "Percentage of households with at least one member that has difficulties communicating broken down by displacement status of head of household on the a...")</f>
        <v>Percentage of households with at least one member that has difficulties communicating broken down by displacement status of head of household on the a...</v>
      </c>
    </row>
    <row r="333" spans="3:7" x14ac:dyDescent="0.35">
      <c r="C333" t="s">
        <v>74</v>
      </c>
      <c r="D333" t="s">
        <v>96</v>
      </c>
      <c r="E333" t="s">
        <v>64</v>
      </c>
      <c r="F333" s="36">
        <v>309</v>
      </c>
      <c r="G333" s="16" t="str">
        <f>HYPERLINK("#'Data'!A2185", "Percentage of households with at least one member that has difficulties communicating broken down by IDP household on the admin of overall perc")</f>
        <v>Percentage of households with at least one member that has difficulties communicating broken down by IDP household on the admin of overall perc</v>
      </c>
    </row>
    <row r="334" spans="3:7" x14ac:dyDescent="0.35">
      <c r="C334" t="s">
        <v>74</v>
      </c>
      <c r="D334" t="s">
        <v>96</v>
      </c>
      <c r="E334" t="s">
        <v>65</v>
      </c>
      <c r="F334" s="36">
        <v>310</v>
      </c>
      <c r="G334" s="16" t="str">
        <f>HYPERLINK("#'Data'!A2191", "Percentage of households with at least one member that has difficulties communicating broken down by proximity to frontline/border with Russian Federa...")</f>
        <v>Percentage of households with at least one member that has difficulties communicating broken down by proximity to frontline/border with Russian Federa...</v>
      </c>
    </row>
    <row r="335" spans="3:7" x14ac:dyDescent="0.35">
      <c r="C335" t="s">
        <v>74</v>
      </c>
      <c r="D335" t="s">
        <v>96</v>
      </c>
      <c r="E335" t="s">
        <v>77</v>
      </c>
      <c r="F335" s="36">
        <v>311</v>
      </c>
      <c r="G335" s="16" t="str">
        <f>HYPERLINK("#'Data'!A2198", "Percentage of households with at least one member that has difficulties communicating broken down by caregiving status  on the admin of overall perc")</f>
        <v>Percentage of households with at least one member that has difficulties communicating broken down by caregiving status  on the admin of overall perc</v>
      </c>
    </row>
    <row r="336" spans="3:7" x14ac:dyDescent="0.35">
      <c r="C336" t="s">
        <v>55</v>
      </c>
      <c r="D336" t="s">
        <v>97</v>
      </c>
      <c r="E336" t="s">
        <v>36</v>
      </c>
      <c r="F336" s="36">
        <v>312</v>
      </c>
      <c r="G336" s="16" t="str">
        <f>HYPERLINK("#'Data'!A2206", "Percentage of households with school-aged children (3-17 y.o.) whose education was disrupted monthly by prolonged or repetitive air alerts during the ...")</f>
        <v>Percentage of households with school-aged children (3-17 y.o.) whose education was disrupted monthly by prolonged or repetitive air alerts during the ...</v>
      </c>
    </row>
    <row r="337" spans="3:7" x14ac:dyDescent="0.35">
      <c r="C337" t="s">
        <v>55</v>
      </c>
      <c r="D337" t="s">
        <v>97</v>
      </c>
      <c r="E337" t="s">
        <v>57</v>
      </c>
      <c r="F337" s="36">
        <v>313</v>
      </c>
      <c r="G337" s="16" t="str">
        <f>HYPERLINK("#'Data'!A2211", "Percentage of households with school-aged children (3-17 y.o.) whose education was disrupted monthly by prolonged or repetitive air alerts during the ...")</f>
        <v>Percentage of households with school-aged children (3-17 y.o.) whose education was disrupted monthly by prolonged or repetitive air alerts during the ...</v>
      </c>
    </row>
    <row r="338" spans="3:7" x14ac:dyDescent="0.35">
      <c r="C338" t="s">
        <v>55</v>
      </c>
      <c r="D338" t="s">
        <v>97</v>
      </c>
      <c r="E338" t="s">
        <v>58</v>
      </c>
      <c r="F338" s="36">
        <v>314</v>
      </c>
      <c r="G338" s="16" t="str">
        <f>HYPERLINK("#'Data'!A2217", "Percentage of households with school-aged children (3-17 y.o.) whose education was disrupted monthly by prolonged or repetitive air alerts during the ...")</f>
        <v>Percentage of households with school-aged children (3-17 y.o.) whose education was disrupted monthly by prolonged or repetitive air alerts during the ...</v>
      </c>
    </row>
    <row r="339" spans="3:7" x14ac:dyDescent="0.35">
      <c r="C339" t="s">
        <v>55</v>
      </c>
      <c r="D339" t="s">
        <v>97</v>
      </c>
      <c r="E339" t="s">
        <v>59</v>
      </c>
      <c r="F339" s="36">
        <v>315</v>
      </c>
      <c r="G339" s="16" t="str">
        <f>HYPERLINK("#'Data'!A2223", "Percentage of households with school-aged children (3-17 y.o.) whose education was disrupted monthly by prolonged or repetitive air alerts during the ...")</f>
        <v>Percentage of households with school-aged children (3-17 y.o.) whose education was disrupted monthly by prolonged or repetitive air alerts during the ...</v>
      </c>
    </row>
    <row r="340" spans="3:7" x14ac:dyDescent="0.35">
      <c r="C340" t="s">
        <v>55</v>
      </c>
      <c r="D340" t="s">
        <v>97</v>
      </c>
      <c r="E340" t="s">
        <v>60</v>
      </c>
      <c r="F340" s="36">
        <v>316</v>
      </c>
      <c r="G340" s="16" t="str">
        <f>HYPERLINK("#'Data'!A2229", "Percentage of households with school-aged children (3-17 y.o.) whose education was disrupted monthly by prolonged or repetitive air alerts during the ...")</f>
        <v>Percentage of households with school-aged children (3-17 y.o.) whose education was disrupted monthly by prolonged or repetitive air alerts during the ...</v>
      </c>
    </row>
    <row r="341" spans="3:7" x14ac:dyDescent="0.35">
      <c r="C341" t="s">
        <v>55</v>
      </c>
      <c r="D341" t="s">
        <v>97</v>
      </c>
      <c r="E341" t="s">
        <v>61</v>
      </c>
      <c r="F341" s="36">
        <v>317</v>
      </c>
      <c r="G341" s="16" t="str">
        <f>HYPERLINK("#'Data'!A2237", "Percentage of households with school-aged children (3-17 y.o.) whose education was disrupted monthly by prolonged or repetitive air alerts during the ...")</f>
        <v>Percentage of households with school-aged children (3-17 y.o.) whose education was disrupted monthly by prolonged or repetitive air alerts during the ...</v>
      </c>
    </row>
    <row r="342" spans="3:7" x14ac:dyDescent="0.35">
      <c r="C342" t="s">
        <v>55</v>
      </c>
      <c r="D342" t="s">
        <v>97</v>
      </c>
      <c r="E342" t="s">
        <v>62</v>
      </c>
      <c r="F342" s="36">
        <v>318</v>
      </c>
      <c r="G342" s="16" t="str">
        <f>HYPERLINK("#'Data'!A2244", "Percentage of households with school-aged children (3-17 y.o.) whose education was disrupted monthly by prolonged or repetitive air alerts during the ...")</f>
        <v>Percentage of households with school-aged children (3-17 y.o.) whose education was disrupted monthly by prolonged or repetitive air alerts during the ...</v>
      </c>
    </row>
    <row r="343" spans="3:7" x14ac:dyDescent="0.35">
      <c r="C343" t="s">
        <v>55</v>
      </c>
      <c r="D343" t="s">
        <v>97</v>
      </c>
      <c r="E343" t="s">
        <v>63</v>
      </c>
      <c r="F343" s="36">
        <v>319</v>
      </c>
      <c r="G343" s="16" t="str">
        <f>HYPERLINK("#'Data'!A2251", "Percentage of households with school-aged children (3-17 y.o.) whose education was disrupted monthly by prolonged or repetitive air alerts during the ...")</f>
        <v>Percentage of households with school-aged children (3-17 y.o.) whose education was disrupted monthly by prolonged or repetitive air alerts during the ...</v>
      </c>
    </row>
    <row r="344" spans="3:7" x14ac:dyDescent="0.35">
      <c r="C344" t="s">
        <v>55</v>
      </c>
      <c r="D344" t="s">
        <v>97</v>
      </c>
      <c r="E344" t="s">
        <v>64</v>
      </c>
      <c r="F344" s="36">
        <v>320</v>
      </c>
      <c r="G344" s="16" t="str">
        <f>HYPERLINK("#'Data'!A2260", "Percentage of households with school-aged children (3-17 y.o.) whose education was disrupted monthly by prolonged or repetitive air alerts during the ...")</f>
        <v>Percentage of households with school-aged children (3-17 y.o.) whose education was disrupted monthly by prolonged or repetitive air alerts during the ...</v>
      </c>
    </row>
    <row r="345" spans="3:7" x14ac:dyDescent="0.35">
      <c r="C345" t="s">
        <v>55</v>
      </c>
      <c r="D345" t="s">
        <v>97</v>
      </c>
      <c r="E345" t="s">
        <v>65</v>
      </c>
      <c r="F345" s="36">
        <v>321</v>
      </c>
      <c r="G345" s="16" t="str">
        <f>HYPERLINK("#'Data'!A2266", "Percentage of households with school-aged children (3-17 y.o.) whose education was disrupted monthly by prolonged or repetitive air alerts during the ...")</f>
        <v>Percentage of households with school-aged children (3-17 y.o.) whose education was disrupted monthly by prolonged or repetitive air alerts during the ...</v>
      </c>
    </row>
    <row r="346" spans="3:7" x14ac:dyDescent="0.35">
      <c r="C346" t="s">
        <v>55</v>
      </c>
      <c r="D346" t="s">
        <v>98</v>
      </c>
      <c r="E346" t="s">
        <v>36</v>
      </c>
      <c r="F346" s="36">
        <v>322</v>
      </c>
      <c r="G346" s="16" t="str">
        <f>HYPERLINK("#'Data'!A2273", "Percentage of households by time adults spend on supporting children's education on the admin of overall perc")</f>
        <v>Percentage of households by time adults spend on supporting children's education on the admin of overall perc</v>
      </c>
    </row>
    <row r="347" spans="3:7" x14ac:dyDescent="0.35">
      <c r="C347" t="s">
        <v>55</v>
      </c>
      <c r="D347" t="s">
        <v>98</v>
      </c>
      <c r="E347" t="s">
        <v>57</v>
      </c>
      <c r="F347" s="36">
        <v>323</v>
      </c>
      <c r="G347" s="16" t="str">
        <f>HYPERLINK("#'Data'!A2278", "Percentage of households by time adults spend on supporting children's education broken down by households with at least one member with a reported an...")</f>
        <v>Percentage of households by time adults spend on supporting children's education broken down by households with at least one member with a reported an...</v>
      </c>
    </row>
    <row r="348" spans="3:7" x14ac:dyDescent="0.35">
      <c r="C348" t="s">
        <v>55</v>
      </c>
      <c r="D348" t="s">
        <v>98</v>
      </c>
      <c r="E348" t="s">
        <v>58</v>
      </c>
      <c r="F348" s="36">
        <v>324</v>
      </c>
      <c r="G348" s="16" t="str">
        <f>HYPERLINK("#'Data'!A2284", "Percentage of households by time adults spend on supporting children's education broken down by urbanity on the admin of overall perc")</f>
        <v>Percentage of households by time adults spend on supporting children's education broken down by urbanity on the admin of overall perc</v>
      </c>
    </row>
    <row r="349" spans="3:7" x14ac:dyDescent="0.35">
      <c r="C349" t="s">
        <v>55</v>
      </c>
      <c r="D349" t="s">
        <v>98</v>
      </c>
      <c r="E349" t="s">
        <v>59</v>
      </c>
      <c r="F349" s="36">
        <v>325</v>
      </c>
      <c r="G349" s="16" t="str">
        <f>HYPERLINK("#'Data'!A2290", "Percentage of households by time adults spend on supporting children's education broken down by household size on the admin of overall perc")</f>
        <v>Percentage of households by time adults spend on supporting children's education broken down by household size on the admin of overall perc</v>
      </c>
    </row>
    <row r="350" spans="3:7" x14ac:dyDescent="0.35">
      <c r="C350" t="s">
        <v>55</v>
      </c>
      <c r="D350" t="s">
        <v>98</v>
      </c>
      <c r="E350" t="s">
        <v>60</v>
      </c>
      <c r="F350" s="36">
        <v>326</v>
      </c>
      <c r="G350" s="16" t="str">
        <f>HYPERLINK("#'Data'!A2296", "Percentage of households by time adults spend on supporting children's education broken down by income per capita (quartiles) on the admin of overall ...")</f>
        <v>Percentage of households by time adults spend on supporting children's education broken down by income per capita (quartiles) on the admin of overall ...</v>
      </c>
    </row>
    <row r="351" spans="3:7" x14ac:dyDescent="0.35">
      <c r="C351" t="s">
        <v>55</v>
      </c>
      <c r="D351" t="s">
        <v>98</v>
      </c>
      <c r="E351" t="s">
        <v>61</v>
      </c>
      <c r="F351" s="36">
        <v>327</v>
      </c>
      <c r="G351" s="16" t="str">
        <f>HYPERLINK("#'Data'!A2304", "Percentage of households by time adults spend on supporting children's education broken down by gender of head of household on the admin of overall pe...")</f>
        <v>Percentage of households by time adults spend on supporting children's education broken down by gender of head of household on the admin of overall pe...</v>
      </c>
    </row>
    <row r="352" spans="3:7" x14ac:dyDescent="0.35">
      <c r="C352" t="s">
        <v>55</v>
      </c>
      <c r="D352" t="s">
        <v>98</v>
      </c>
      <c r="E352" t="s">
        <v>62</v>
      </c>
      <c r="F352" s="36">
        <v>328</v>
      </c>
      <c r="G352" s="16" t="str">
        <f>HYPERLINK("#'Data'!A2311", "Percentage of households by time adults spend on supporting children's education broken down by age of adults in the households on the admin of overal...")</f>
        <v>Percentage of households by time adults spend on supporting children's education broken down by age of adults in the households on the admin of overal...</v>
      </c>
    </row>
    <row r="353" spans="3:7" x14ac:dyDescent="0.35">
      <c r="C353" t="s">
        <v>55</v>
      </c>
      <c r="D353" t="s">
        <v>98</v>
      </c>
      <c r="E353" t="s">
        <v>63</v>
      </c>
      <c r="F353" s="36">
        <v>329</v>
      </c>
      <c r="G353" s="16" t="str">
        <f>HYPERLINK("#'Data'!A2318", "Percentage of households by time adults spend on supporting children's education broken down by displacement status of head of household on the admin ...")</f>
        <v>Percentage of households by time adults spend on supporting children's education broken down by displacement status of head of household on the admin ...</v>
      </c>
    </row>
    <row r="354" spans="3:7" x14ac:dyDescent="0.35">
      <c r="C354" t="s">
        <v>55</v>
      </c>
      <c r="D354" t="s">
        <v>98</v>
      </c>
      <c r="E354" t="s">
        <v>64</v>
      </c>
      <c r="F354" s="36">
        <v>330</v>
      </c>
      <c r="G354" s="16" t="str">
        <f>HYPERLINK("#'Data'!A2327", "Percentage of households by time adults spend on supporting children's education broken down by IDP household on the admin of overall perc")</f>
        <v>Percentage of households by time adults spend on supporting children's education broken down by IDP household on the admin of overall perc</v>
      </c>
    </row>
    <row r="355" spans="3:7" x14ac:dyDescent="0.35">
      <c r="C355" t="s">
        <v>55</v>
      </c>
      <c r="D355" t="s">
        <v>98</v>
      </c>
      <c r="E355" t="s">
        <v>65</v>
      </c>
      <c r="F355" s="36">
        <v>331</v>
      </c>
      <c r="G355" s="16" t="str">
        <f>HYPERLINK("#'Data'!A2333", "Percentage of households by time adults spend on supporting children's education broken down by proximity to frontline/border with Russian Federation ...")</f>
        <v>Percentage of households by time adults spend on supporting children's education broken down by proximity to frontline/border with Russian Federation ...</v>
      </c>
    </row>
    <row r="356" spans="3:7" x14ac:dyDescent="0.35">
      <c r="C356" t="s">
        <v>99</v>
      </c>
      <c r="D356" t="s">
        <v>100</v>
      </c>
      <c r="E356" t="s">
        <v>36</v>
      </c>
      <c r="F356" s="36">
        <v>332</v>
      </c>
      <c r="G356" s="16" t="str">
        <f>HYPERLINK("#'Data'!A2340", "Percentage of households by displacement status of head of household on the admin of overall perc")</f>
        <v>Percentage of households by displacement status of head of household on the admin of overall perc</v>
      </c>
    </row>
    <row r="357" spans="3:7" x14ac:dyDescent="0.35">
      <c r="C357" t="s">
        <v>99</v>
      </c>
      <c r="D357" t="s">
        <v>100</v>
      </c>
      <c r="E357" t="s">
        <v>57</v>
      </c>
      <c r="F357" s="36">
        <v>333</v>
      </c>
      <c r="G357" s="16" t="str">
        <f>HYPERLINK("#'Data'!A2345", "Percentage of households by displacement status of head of household broken down by households with at least one member with a reported and/or registe...")</f>
        <v>Percentage of households by displacement status of head of household broken down by households with at least one member with a reported and/or registe...</v>
      </c>
    </row>
    <row r="358" spans="3:7" x14ac:dyDescent="0.35">
      <c r="C358" t="s">
        <v>99</v>
      </c>
      <c r="D358" t="s">
        <v>100</v>
      </c>
      <c r="E358" t="s">
        <v>58</v>
      </c>
      <c r="F358" s="36">
        <v>334</v>
      </c>
      <c r="G358" s="16" t="str">
        <f>HYPERLINK("#'Data'!A2351", "Percentage of households by displacement status of head of household broken down by urbanity on the admin of overall perc")</f>
        <v>Percentage of households by displacement status of head of household broken down by urbanity on the admin of overall perc</v>
      </c>
    </row>
    <row r="359" spans="3:7" x14ac:dyDescent="0.35">
      <c r="C359" t="s">
        <v>99</v>
      </c>
      <c r="D359" t="s">
        <v>100</v>
      </c>
      <c r="E359" t="s">
        <v>59</v>
      </c>
      <c r="F359" s="36">
        <v>335</v>
      </c>
      <c r="G359" s="16" t="str">
        <f>HYPERLINK("#'Data'!A2357", "Percentage of households by displacement status of head of household broken down by household size on the admin of overall perc")</f>
        <v>Percentage of households by displacement status of head of household broken down by household size on the admin of overall perc</v>
      </c>
    </row>
    <row r="360" spans="3:7" x14ac:dyDescent="0.35">
      <c r="C360" t="s">
        <v>99</v>
      </c>
      <c r="D360" t="s">
        <v>100</v>
      </c>
      <c r="E360" t="s">
        <v>60</v>
      </c>
      <c r="F360" s="36">
        <v>336</v>
      </c>
      <c r="G360" s="16" t="str">
        <f>HYPERLINK("#'Data'!A2364", "Percentage of households by displacement status of head of household broken down by income per capita (quartiles) on the admin of overall perc")</f>
        <v>Percentage of households by displacement status of head of household broken down by income per capita (quartiles) on the admin of overall perc</v>
      </c>
    </row>
    <row r="361" spans="3:7" x14ac:dyDescent="0.35">
      <c r="C361" t="s">
        <v>99</v>
      </c>
      <c r="D361" t="s">
        <v>100</v>
      </c>
      <c r="E361" t="s">
        <v>61</v>
      </c>
      <c r="F361" s="36">
        <v>337</v>
      </c>
      <c r="G361" s="16" t="str">
        <f>HYPERLINK("#'Data'!A2372", "Percentage of households by displacement status of head of household broken down by gender of head of household on the admin of overall perc")</f>
        <v>Percentage of households by displacement status of head of household broken down by gender of head of household on the admin of overall perc</v>
      </c>
    </row>
    <row r="362" spans="3:7" x14ac:dyDescent="0.35">
      <c r="C362" t="s">
        <v>99</v>
      </c>
      <c r="D362" t="s">
        <v>100</v>
      </c>
      <c r="E362" t="s">
        <v>62</v>
      </c>
      <c r="F362" s="36">
        <v>338</v>
      </c>
      <c r="G362" s="16" t="str">
        <f>HYPERLINK("#'Data'!A2380", "Percentage of households by displacement status of head of household broken down by age of adults in the households on the admin of overall perc")</f>
        <v>Percentage of households by displacement status of head of household broken down by age of adults in the households on the admin of overall perc</v>
      </c>
    </row>
    <row r="363" spans="3:7" x14ac:dyDescent="0.35">
      <c r="C363" t="s">
        <v>99</v>
      </c>
      <c r="D363" t="s">
        <v>100</v>
      </c>
      <c r="E363" t="s">
        <v>76</v>
      </c>
      <c r="F363" s="36">
        <v>339</v>
      </c>
      <c r="G363" s="16" t="str">
        <f>HYPERLINK("#'Data'!A2387", "Percentage of households by displacement status of head of household broken down by households with at least one child (&lt;18 y.o.) on the admin of over...")</f>
        <v>Percentage of households by displacement status of head of household broken down by households with at least one child (&lt;18 y.o.) on the admin of over...</v>
      </c>
    </row>
    <row r="364" spans="3:7" x14ac:dyDescent="0.35">
      <c r="C364" t="s">
        <v>99</v>
      </c>
      <c r="D364" t="s">
        <v>100</v>
      </c>
      <c r="E364" t="s">
        <v>65</v>
      </c>
      <c r="F364" s="36">
        <v>340</v>
      </c>
      <c r="G364" s="16" t="str">
        <f>HYPERLINK("#'Data'!A2393", "Percentage of households by displacement status of head of household broken down by proximity to frontline/border with Russian Federation on the admin...")</f>
        <v>Percentage of households by displacement status of head of household broken down by proximity to frontline/border with Russian Federation on the admin...</v>
      </c>
    </row>
    <row r="365" spans="3:7" x14ac:dyDescent="0.35">
      <c r="C365" t="s">
        <v>99</v>
      </c>
      <c r="D365" t="s">
        <v>100</v>
      </c>
      <c r="E365" t="s">
        <v>77</v>
      </c>
      <c r="F365" s="36">
        <v>341</v>
      </c>
      <c r="G365" s="16" t="str">
        <f>HYPERLINK("#'Data'!A2400", "Percentage of households by displacement status of head of household broken down by caregiving status  on the admin of overall perc")</f>
        <v>Percentage of households by displacement status of head of household broken down by caregiving status  on the admin of overall perc</v>
      </c>
    </row>
    <row r="366" spans="3:7" x14ac:dyDescent="0.35">
      <c r="C366" t="s">
        <v>99</v>
      </c>
      <c r="D366" t="s">
        <v>101</v>
      </c>
      <c r="E366" t="s">
        <v>36</v>
      </c>
      <c r="F366" s="36">
        <v>342</v>
      </c>
      <c r="G366" s="16" t="str">
        <f>HYPERLINK("#'Data'!A2408", "Households which are IDPs, by duration of most recent displacement (months) on the admin of overall perc")</f>
        <v>Households which are IDPs, by duration of most recent displacement (months) on the admin of overall perc</v>
      </c>
    </row>
    <row r="367" spans="3:7" x14ac:dyDescent="0.35">
      <c r="C367" t="s">
        <v>99</v>
      </c>
      <c r="D367" t="s">
        <v>102</v>
      </c>
      <c r="E367" t="s">
        <v>36</v>
      </c>
      <c r="F367" s="36">
        <v>343</v>
      </c>
      <c r="G367" s="16" t="str">
        <f>HYPERLINK("#'Data'!A2413", "Households which are returnees, by duration of displacement before return (months) on the admin of overall perc")</f>
        <v>Households which are returnees, by duration of displacement before return (months) on the admin of overall perc</v>
      </c>
    </row>
    <row r="368" spans="3:7" x14ac:dyDescent="0.35">
      <c r="C368" t="s">
        <v>99</v>
      </c>
      <c r="D368" t="s">
        <v>103</v>
      </c>
      <c r="E368" t="s">
        <v>36</v>
      </c>
      <c r="F368" s="36">
        <v>344</v>
      </c>
      <c r="G368" s="16" t="str">
        <f>HYPERLINK("#'Data'!A2418", "Households which are returnees, by length since most recent return (months) on the admin of overall perc")</f>
        <v>Households which are returnees, by length since most recent return (months) on the admin of overall perc</v>
      </c>
    </row>
    <row r="369" spans="3:7" x14ac:dyDescent="0.35">
      <c r="C369" t="s">
        <v>99</v>
      </c>
      <c r="D369" t="s">
        <v>104</v>
      </c>
      <c r="E369" t="s">
        <v>36</v>
      </c>
      <c r="F369" s="36">
        <v>345</v>
      </c>
      <c r="G369" s="16" t="str">
        <f>HYPERLINK("#'Data'!A2423", "Households which are IDPs, by duration in current place of residence (months) on the admin of overall perc")</f>
        <v>Households which are IDPs, by duration in current place of residence (months) on the admin of overall perc</v>
      </c>
    </row>
    <row r="370" spans="3:7" x14ac:dyDescent="0.35">
      <c r="C370" t="s">
        <v>99</v>
      </c>
      <c r="D370" t="s">
        <v>105</v>
      </c>
      <c r="E370" t="s">
        <v>36</v>
      </c>
      <c r="F370" s="36">
        <v>346</v>
      </c>
      <c r="G370" s="16" t="str">
        <f>HYPERLINK("#'Data'!A2428", "Households which are displaced within settlements, by duration of most recent displacement (months) on the admin of overall perc")</f>
        <v>Households which are displaced within settlements, by duration of most recent displacement (months) on the admin of overall perc</v>
      </c>
    </row>
    <row r="371" spans="3:7" x14ac:dyDescent="0.35">
      <c r="C371" t="s">
        <v>99</v>
      </c>
      <c r="D371" t="s">
        <v>106</v>
      </c>
      <c r="E371" t="s">
        <v>36</v>
      </c>
      <c r="F371" s="36">
        <v>347</v>
      </c>
      <c r="G371" s="16" t="str">
        <f>HYPERLINK("#'Data'!A2433", "Percentage of displaced households by oblast of origin on the admin of overall perc")</f>
        <v>Percentage of displaced households by oblast of origin on the admin of overall perc</v>
      </c>
    </row>
    <row r="372" spans="3:7" x14ac:dyDescent="0.35">
      <c r="C372" t="s">
        <v>99</v>
      </c>
      <c r="D372" t="s">
        <v>107</v>
      </c>
      <c r="E372" t="s">
        <v>36</v>
      </c>
      <c r="F372" s="36">
        <v>348</v>
      </c>
      <c r="G372" s="16" t="str">
        <f>HYPERLINK("#'Data'!A2438", "Percentage of households with at least one member with IDP certificate/receiving IDP payments on the admin of overall perc")</f>
        <v>Percentage of households with at least one member with IDP certificate/receiving IDP payments on the admin of overall perc</v>
      </c>
    </row>
    <row r="373" spans="3:7" x14ac:dyDescent="0.35">
      <c r="C373" t="s">
        <v>99</v>
      </c>
      <c r="D373" t="s">
        <v>108</v>
      </c>
      <c r="E373" t="s">
        <v>36</v>
      </c>
      <c r="F373" s="36">
        <v>349</v>
      </c>
      <c r="G373" s="16" t="str">
        <f>HYPERLINK("#'Data'!A2443", "Percentage of returnee households by reasons for return to their habitual place of residence on the admin of overall perc")</f>
        <v>Percentage of returnee households by reasons for return to their habitual place of residence on the admin of overall perc</v>
      </c>
    </row>
    <row r="374" spans="3:7" x14ac:dyDescent="0.35">
      <c r="C374" t="s">
        <v>99</v>
      </c>
      <c r="D374" t="s">
        <v>108</v>
      </c>
      <c r="E374" t="s">
        <v>57</v>
      </c>
      <c r="F374" s="36">
        <v>350</v>
      </c>
      <c r="G374" s="16" t="str">
        <f>HYPERLINK("#'Data'!A2448", "Percentage of returnee households by reasons for return to their habitual place of residence broken down by households with at least one member with a...")</f>
        <v>Percentage of returnee households by reasons for return to their habitual place of residence broken down by households with at least one member with a...</v>
      </c>
    </row>
    <row r="375" spans="3:7" x14ac:dyDescent="0.35">
      <c r="C375" t="s">
        <v>99</v>
      </c>
      <c r="D375" t="s">
        <v>108</v>
      </c>
      <c r="E375" t="s">
        <v>58</v>
      </c>
      <c r="F375" s="36">
        <v>351</v>
      </c>
      <c r="G375" s="16" t="str">
        <f>HYPERLINK("#'Data'!A2454", "Percentage of returnee households by reasons for return to their habitual place of residence broken down by urbanity on the admin of overall perc")</f>
        <v>Percentage of returnee households by reasons for return to their habitual place of residence broken down by urbanity on the admin of overall perc</v>
      </c>
    </row>
    <row r="376" spans="3:7" x14ac:dyDescent="0.35">
      <c r="C376" t="s">
        <v>99</v>
      </c>
      <c r="D376" t="s">
        <v>108</v>
      </c>
      <c r="E376" t="s">
        <v>59</v>
      </c>
      <c r="F376" s="36">
        <v>352</v>
      </c>
      <c r="G376" s="16" t="str">
        <f>HYPERLINK("#'Data'!A2460", "Percentage of returnee households by reasons for return to their habitual place of residence broken down by household size on the admin of overall per...")</f>
        <v>Percentage of returnee households by reasons for return to their habitual place of residence broken down by household size on the admin of overall per...</v>
      </c>
    </row>
    <row r="377" spans="3:7" x14ac:dyDescent="0.35">
      <c r="C377" t="s">
        <v>99</v>
      </c>
      <c r="D377" t="s">
        <v>108</v>
      </c>
      <c r="E377" t="s">
        <v>60</v>
      </c>
      <c r="F377" s="36">
        <v>353</v>
      </c>
      <c r="G377" s="16" t="str">
        <f>HYPERLINK("#'Data'!A2467", "Percentage of returnee households by reasons for return to their habitual place of residence broken down by income per capita (quartiles) on the admin...")</f>
        <v>Percentage of returnee households by reasons for return to their habitual place of residence broken down by income per capita (quartiles) on the admin...</v>
      </c>
    </row>
    <row r="378" spans="3:7" x14ac:dyDescent="0.35">
      <c r="C378" t="s">
        <v>99</v>
      </c>
      <c r="D378" t="s">
        <v>108</v>
      </c>
      <c r="E378" t="s">
        <v>61</v>
      </c>
      <c r="F378" s="36">
        <v>354</v>
      </c>
      <c r="G378" s="16" t="str">
        <f>HYPERLINK("#'Data'!A2475", "Percentage of returnee households by reasons for return to their habitual place of residence broken down by gender of head of household on the admin o...")</f>
        <v>Percentage of returnee households by reasons for return to their habitual place of residence broken down by gender of head of household on the admin o...</v>
      </c>
    </row>
    <row r="379" spans="3:7" x14ac:dyDescent="0.35">
      <c r="C379" t="s">
        <v>99</v>
      </c>
      <c r="D379" t="s">
        <v>108</v>
      </c>
      <c r="E379" t="s">
        <v>62</v>
      </c>
      <c r="F379" s="36">
        <v>355</v>
      </c>
      <c r="G379" s="16" t="str">
        <f>HYPERLINK("#'Data'!A2482", "Percentage of returnee households by reasons for return to their habitual place of residence broken down by age of adults in the households on the adm...")</f>
        <v>Percentage of returnee households by reasons for return to their habitual place of residence broken down by age of adults in the households on the adm...</v>
      </c>
    </row>
    <row r="380" spans="3:7" x14ac:dyDescent="0.35">
      <c r="C380" t="s">
        <v>99</v>
      </c>
      <c r="D380" t="s">
        <v>108</v>
      </c>
      <c r="E380" t="s">
        <v>76</v>
      </c>
      <c r="F380" s="36">
        <v>356</v>
      </c>
      <c r="G380" s="16" t="str">
        <f>HYPERLINK("#'Data'!A2489", "Percentage of returnee households by reasons for return to their habitual place of residence broken down by households with at least one child (&lt;18 y....")</f>
        <v>Percentage of returnee households by reasons for return to their habitual place of residence broken down by households with at least one child (&lt;18 y....</v>
      </c>
    </row>
    <row r="381" spans="3:7" x14ac:dyDescent="0.35">
      <c r="C381" t="s">
        <v>99</v>
      </c>
      <c r="D381" t="s">
        <v>108</v>
      </c>
      <c r="E381" t="s">
        <v>63</v>
      </c>
      <c r="F381" s="36">
        <v>357</v>
      </c>
      <c r="G381" s="16" t="str">
        <f>HYPERLINK("#'Data'!A2495", "Percentage of returnee households by reasons for return to their habitual place of residence broken down by displacement status of head of household o...")</f>
        <v>Percentage of returnee households by reasons for return to their habitual place of residence broken down by displacement status of head of household o...</v>
      </c>
    </row>
    <row r="382" spans="3:7" x14ac:dyDescent="0.35">
      <c r="C382" t="s">
        <v>99</v>
      </c>
      <c r="D382" t="s">
        <v>108</v>
      </c>
      <c r="E382" t="s">
        <v>64</v>
      </c>
      <c r="F382" s="36">
        <v>358</v>
      </c>
      <c r="G382" s="16" t="str">
        <f>HYPERLINK("#'Data'!A2500", "Percentage of returnee households by reasons for return to their habitual place of residence broken down by IDP household on the admin of overall perc")</f>
        <v>Percentage of returnee households by reasons for return to their habitual place of residence broken down by IDP household on the admin of overall perc</v>
      </c>
    </row>
    <row r="383" spans="3:7" x14ac:dyDescent="0.35">
      <c r="C383" t="s">
        <v>99</v>
      </c>
      <c r="D383" t="s">
        <v>108</v>
      </c>
      <c r="E383" t="s">
        <v>65</v>
      </c>
      <c r="F383" s="36">
        <v>359</v>
      </c>
      <c r="G383" s="16" t="str">
        <f>HYPERLINK("#'Data'!A2505", "Percentage of returnee households by reasons for return to their habitual place of residence broken down by proximity to frontline/border with Russian...")</f>
        <v>Percentage of returnee households by reasons for return to their habitual place of residence broken down by proximity to frontline/border with Russian...</v>
      </c>
    </row>
    <row r="384" spans="3:7" x14ac:dyDescent="0.35">
      <c r="C384" t="s">
        <v>99</v>
      </c>
      <c r="D384" t="s">
        <v>108</v>
      </c>
      <c r="E384" t="s">
        <v>77</v>
      </c>
      <c r="F384" s="36">
        <v>360</v>
      </c>
      <c r="G384" s="16" t="str">
        <f>HYPERLINK("#'Data'!A2512", "Percentage of returnee households by reasons for return to their habitual place of residence broken down by caregiving status  on the admin of overall...")</f>
        <v>Percentage of returnee households by reasons for return to their habitual place of residence broken down by caregiving status  on the admin of overall...</v>
      </c>
    </row>
    <row r="385" spans="3:7" x14ac:dyDescent="0.35">
      <c r="C385" t="s">
        <v>99</v>
      </c>
      <c r="D385" t="s">
        <v>109</v>
      </c>
      <c r="E385" t="s">
        <v>36</v>
      </c>
      <c r="F385" s="36">
        <v>361</v>
      </c>
      <c r="G385" s="16" t="str">
        <f>HYPERLINK("#'Data'!A2520", "Percentage of households who were evacuated in the past 6 months on the admin of overall perc")</f>
        <v>Percentage of households who were evacuated in the past 6 months on the admin of overall perc</v>
      </c>
    </row>
    <row r="386" spans="3:7" x14ac:dyDescent="0.35">
      <c r="C386" t="s">
        <v>99</v>
      </c>
      <c r="D386" t="s">
        <v>109</v>
      </c>
      <c r="E386" t="s">
        <v>57</v>
      </c>
      <c r="F386" s="36">
        <v>362</v>
      </c>
      <c r="G386" s="16" t="str">
        <f>HYPERLINK("#'Data'!A2525", "Percentage of households who were evacuated in the past 6 months broken down by households with at least one member with a reported and/or registered ...")</f>
        <v>Percentage of households who were evacuated in the past 6 months broken down by households with at least one member with a reported and/or registered ...</v>
      </c>
    </row>
    <row r="387" spans="3:7" x14ac:dyDescent="0.35">
      <c r="C387" t="s">
        <v>99</v>
      </c>
      <c r="D387" t="s">
        <v>109</v>
      </c>
      <c r="E387" t="s">
        <v>58</v>
      </c>
      <c r="F387" s="36">
        <v>363</v>
      </c>
      <c r="G387" s="16" t="str">
        <f>HYPERLINK("#'Data'!A2531", "Percentage of households who were evacuated in the past 6 months broken down by urbanity on the admin of overall perc")</f>
        <v>Percentage of households who were evacuated in the past 6 months broken down by urbanity on the admin of overall perc</v>
      </c>
    </row>
    <row r="388" spans="3:7" x14ac:dyDescent="0.35">
      <c r="C388" t="s">
        <v>99</v>
      </c>
      <c r="D388" t="s">
        <v>109</v>
      </c>
      <c r="E388" t="s">
        <v>59</v>
      </c>
      <c r="F388" s="36">
        <v>364</v>
      </c>
      <c r="G388" s="16" t="str">
        <f>HYPERLINK("#'Data'!A2537", "Percentage of households who were evacuated in the past 6 months broken down by household size on the admin of overall perc")</f>
        <v>Percentage of households who were evacuated in the past 6 months broken down by household size on the admin of overall perc</v>
      </c>
    </row>
    <row r="389" spans="3:7" x14ac:dyDescent="0.35">
      <c r="C389" t="s">
        <v>99</v>
      </c>
      <c r="D389" t="s">
        <v>109</v>
      </c>
      <c r="E389" t="s">
        <v>60</v>
      </c>
      <c r="F389" s="36">
        <v>365</v>
      </c>
      <c r="G389" s="16" t="str">
        <f>HYPERLINK("#'Data'!A2544", "Percentage of households who were evacuated in the past 6 months broken down by income per capita (quartiles) on the admin of overall perc")</f>
        <v>Percentage of households who were evacuated in the past 6 months broken down by income per capita (quartiles) on the admin of overall perc</v>
      </c>
    </row>
    <row r="390" spans="3:7" x14ac:dyDescent="0.35">
      <c r="C390" t="s">
        <v>99</v>
      </c>
      <c r="D390" t="s">
        <v>109</v>
      </c>
      <c r="E390" t="s">
        <v>61</v>
      </c>
      <c r="F390" s="36">
        <v>366</v>
      </c>
      <c r="G390" s="16" t="str">
        <f>HYPERLINK("#'Data'!A2552", "Percentage of households who were evacuated in the past 6 months broken down by gender of head of household on the admin of overall perc")</f>
        <v>Percentage of households who were evacuated in the past 6 months broken down by gender of head of household on the admin of overall perc</v>
      </c>
    </row>
    <row r="391" spans="3:7" x14ac:dyDescent="0.35">
      <c r="C391" t="s">
        <v>99</v>
      </c>
      <c r="D391" t="s">
        <v>109</v>
      </c>
      <c r="E391" t="s">
        <v>62</v>
      </c>
      <c r="F391" s="36">
        <v>367</v>
      </c>
      <c r="G391" s="16" t="str">
        <f>HYPERLINK("#'Data'!A2559", "Percentage of households who were evacuated in the past 6 months broken down by age of adults in the households on the admin of overall perc")</f>
        <v>Percentage of households who were evacuated in the past 6 months broken down by age of adults in the households on the admin of overall perc</v>
      </c>
    </row>
    <row r="392" spans="3:7" x14ac:dyDescent="0.35">
      <c r="C392" t="s">
        <v>99</v>
      </c>
      <c r="D392" t="s">
        <v>109</v>
      </c>
      <c r="E392" t="s">
        <v>76</v>
      </c>
      <c r="F392" s="36">
        <v>368</v>
      </c>
      <c r="G392" s="16" t="str">
        <f>HYPERLINK("#'Data'!A2566", "Percentage of households who were evacuated in the past 6 months broken down by households with at least one child (&lt;18 y.o.) on the admin of overall ...")</f>
        <v>Percentage of households who were evacuated in the past 6 months broken down by households with at least one child (&lt;18 y.o.) on the admin of overall ...</v>
      </c>
    </row>
    <row r="393" spans="3:7" x14ac:dyDescent="0.35">
      <c r="C393" t="s">
        <v>99</v>
      </c>
      <c r="D393" t="s">
        <v>109</v>
      </c>
      <c r="E393" t="s">
        <v>65</v>
      </c>
      <c r="F393" s="36">
        <v>369</v>
      </c>
      <c r="G393" s="16" t="str">
        <f>HYPERLINK("#'Data'!A2572", "Percentage of households who were evacuated in the past 6 months broken down by proximity to frontline/border with Russian Federation on the admin of ...")</f>
        <v>Percentage of households who were evacuated in the past 6 months broken down by proximity to frontline/border with Russian Federation on the admin of ...</v>
      </c>
    </row>
    <row r="394" spans="3:7" x14ac:dyDescent="0.35">
      <c r="C394" t="s">
        <v>99</v>
      </c>
      <c r="D394" t="s">
        <v>109</v>
      </c>
      <c r="E394" t="s">
        <v>77</v>
      </c>
      <c r="F394" s="36">
        <v>370</v>
      </c>
      <c r="G394" s="16" t="str">
        <f>HYPERLINK("#'Data'!A2579", "Percentage of households who were evacuated in the past 6 months broken down by caregiving status  on the admin of overall perc")</f>
        <v>Percentage of households who were evacuated in the past 6 months broken down by caregiving status  on the admin of overall perc</v>
      </c>
    </row>
    <row r="395" spans="3:7" x14ac:dyDescent="0.35">
      <c r="C395" t="s">
        <v>110</v>
      </c>
      <c r="D395" t="s">
        <v>111</v>
      </c>
      <c r="E395" t="s">
        <v>36</v>
      </c>
      <c r="F395" s="36">
        <v>371</v>
      </c>
      <c r="G395" s="16" t="str">
        <f>HYPERLINK("#'Data'!A2586", "Households reporting expenditures in the last 30 days, by type on the admin of overall perc")</f>
        <v>Households reporting expenditures in the last 30 days, by type on the admin of overall perc</v>
      </c>
    </row>
    <row r="396" spans="3:7" x14ac:dyDescent="0.35">
      <c r="C396" t="s">
        <v>110</v>
      </c>
      <c r="D396" t="s">
        <v>111</v>
      </c>
      <c r="E396" t="s">
        <v>57</v>
      </c>
      <c r="F396" s="36">
        <v>372</v>
      </c>
      <c r="G396" s="16" t="str">
        <f>HYPERLINK("#'Data'!A2591", "Households reporting expenditures in the last 30 days, by type broken down by households with at least one member with a reported and/or registered di...")</f>
        <v>Households reporting expenditures in the last 30 days, by type broken down by households with at least one member with a reported and/or registered di...</v>
      </c>
    </row>
    <row r="397" spans="3:7" x14ac:dyDescent="0.35">
      <c r="C397" t="s">
        <v>110</v>
      </c>
      <c r="D397" t="s">
        <v>111</v>
      </c>
      <c r="E397" t="s">
        <v>58</v>
      </c>
      <c r="F397" s="36">
        <v>373</v>
      </c>
      <c r="G397" s="16" t="str">
        <f>HYPERLINK("#'Data'!A2597", "Households reporting expenditures in the last 30 days, by type broken down by urbanity on the admin of overall perc")</f>
        <v>Households reporting expenditures in the last 30 days, by type broken down by urbanity on the admin of overall perc</v>
      </c>
    </row>
    <row r="398" spans="3:7" x14ac:dyDescent="0.35">
      <c r="C398" t="s">
        <v>110</v>
      </c>
      <c r="D398" t="s">
        <v>111</v>
      </c>
      <c r="E398" t="s">
        <v>59</v>
      </c>
      <c r="F398" s="36">
        <v>374</v>
      </c>
      <c r="G398" s="16" t="str">
        <f>HYPERLINK("#'Data'!A2603", "Households reporting expenditures in the last 30 days, by type broken down by household size on the admin of overall perc")</f>
        <v>Households reporting expenditures in the last 30 days, by type broken down by household size on the admin of overall perc</v>
      </c>
    </row>
    <row r="399" spans="3:7" x14ac:dyDescent="0.35">
      <c r="C399" t="s">
        <v>110</v>
      </c>
      <c r="D399" t="s">
        <v>111</v>
      </c>
      <c r="E399" t="s">
        <v>60</v>
      </c>
      <c r="F399" s="36">
        <v>375</v>
      </c>
      <c r="G399" s="16" t="str">
        <f>HYPERLINK("#'Data'!A2610", "Households reporting expenditures in the last 30 days, by type broken down by income per capita (quartiles) on the admin of overall perc")</f>
        <v>Households reporting expenditures in the last 30 days, by type broken down by income per capita (quartiles) on the admin of overall perc</v>
      </c>
    </row>
    <row r="400" spans="3:7" x14ac:dyDescent="0.35">
      <c r="C400" t="s">
        <v>110</v>
      </c>
      <c r="D400" t="s">
        <v>111</v>
      </c>
      <c r="E400" t="s">
        <v>61</v>
      </c>
      <c r="F400" s="36">
        <v>376</v>
      </c>
      <c r="G400" s="16" t="str">
        <f>HYPERLINK("#'Data'!A2618", "Households reporting expenditures in the last 30 days, by type broken down by gender of head of household on the admin of overall perc")</f>
        <v>Households reporting expenditures in the last 30 days, by type broken down by gender of head of household on the admin of overall perc</v>
      </c>
    </row>
    <row r="401" spans="3:7" x14ac:dyDescent="0.35">
      <c r="C401" t="s">
        <v>110</v>
      </c>
      <c r="D401" t="s">
        <v>111</v>
      </c>
      <c r="E401" t="s">
        <v>62</v>
      </c>
      <c r="F401" s="36">
        <v>377</v>
      </c>
      <c r="G401" s="16" t="str">
        <f>HYPERLINK("#'Data'!A2626", "Households reporting expenditures in the last 30 days, by type broken down by age of adults in the households on the admin of overall perc")</f>
        <v>Households reporting expenditures in the last 30 days, by type broken down by age of adults in the households on the admin of overall perc</v>
      </c>
    </row>
    <row r="402" spans="3:7" x14ac:dyDescent="0.35">
      <c r="C402" t="s">
        <v>110</v>
      </c>
      <c r="D402" t="s">
        <v>111</v>
      </c>
      <c r="E402" t="s">
        <v>76</v>
      </c>
      <c r="F402" s="36">
        <v>378</v>
      </c>
      <c r="G402" s="16" t="str">
        <f>HYPERLINK("#'Data'!A2633", "Households reporting expenditures in the last 30 days, by type broken down by households with at least one child (&lt;18 y.o.) on the admin of overall pe...")</f>
        <v>Households reporting expenditures in the last 30 days, by type broken down by households with at least one child (&lt;18 y.o.) on the admin of overall pe...</v>
      </c>
    </row>
    <row r="403" spans="3:7" x14ac:dyDescent="0.35">
      <c r="C403" t="s">
        <v>110</v>
      </c>
      <c r="D403" t="s">
        <v>111</v>
      </c>
      <c r="E403" t="s">
        <v>63</v>
      </c>
      <c r="F403" s="36">
        <v>379</v>
      </c>
      <c r="G403" s="16" t="str">
        <f>HYPERLINK("#'Data'!A2639", "Households reporting expenditures in the last 30 days, by type broken down by displacement status of head of household on the admin of overall perc")</f>
        <v>Households reporting expenditures in the last 30 days, by type broken down by displacement status of head of household on the admin of overall perc</v>
      </c>
    </row>
    <row r="404" spans="3:7" x14ac:dyDescent="0.35">
      <c r="C404" t="s">
        <v>110</v>
      </c>
      <c r="D404" t="s">
        <v>111</v>
      </c>
      <c r="E404" t="s">
        <v>64</v>
      </c>
      <c r="F404" s="36">
        <v>380</v>
      </c>
      <c r="G404" s="16" t="str">
        <f>HYPERLINK("#'Data'!A2648", "Households reporting expenditures in the last 30 days, by type broken down by IDP household on the admin of overall perc")</f>
        <v>Households reporting expenditures in the last 30 days, by type broken down by IDP household on the admin of overall perc</v>
      </c>
    </row>
    <row r="405" spans="3:7" x14ac:dyDescent="0.35">
      <c r="C405" t="s">
        <v>110</v>
      </c>
      <c r="D405" t="s">
        <v>111</v>
      </c>
      <c r="E405" t="s">
        <v>65</v>
      </c>
      <c r="F405" s="36">
        <v>381</v>
      </c>
      <c r="G405" s="16" t="str">
        <f>HYPERLINK("#'Data'!A2654", "Households reporting expenditures in the last 30 days, by type broken down by proximity to frontline/border with Russian Federation on the admin of ov...")</f>
        <v>Households reporting expenditures in the last 30 days, by type broken down by proximity to frontline/border with Russian Federation on the admin of ov...</v>
      </c>
    </row>
    <row r="406" spans="3:7" x14ac:dyDescent="0.35">
      <c r="C406" t="s">
        <v>110</v>
      </c>
      <c r="D406" t="s">
        <v>111</v>
      </c>
      <c r="E406" t="s">
        <v>77</v>
      </c>
      <c r="F406" s="36">
        <v>382</v>
      </c>
      <c r="G406" s="16" t="str">
        <f>HYPERLINK("#'Data'!A2661", "Households reporting expenditures in the last 30 days, by type broken down by caregiving status  on the admin of overall perc")</f>
        <v>Households reporting expenditures in the last 30 days, by type broken down by caregiving status  on the admin of overall perc</v>
      </c>
    </row>
    <row r="407" spans="3:7" x14ac:dyDescent="0.35">
      <c r="C407" t="s">
        <v>110</v>
      </c>
      <c r="D407" t="s">
        <v>112</v>
      </c>
      <c r="E407" t="s">
        <v>36</v>
      </c>
      <c r="F407" s="36">
        <v>383</v>
      </c>
      <c r="G407" s="16" t="str">
        <f>HYPERLINK("#'Data'!A2669", "Household Domestic Expenditure over the last 30 days, by type and amount ")</f>
        <v xml:space="preserve">Household Domestic Expenditure over the last 30 days, by type and amount </v>
      </c>
    </row>
    <row r="408" spans="3:7" x14ac:dyDescent="0.35">
      <c r="C408" t="s">
        <v>110</v>
      </c>
      <c r="D408" t="s">
        <v>112</v>
      </c>
      <c r="E408" t="s">
        <v>57</v>
      </c>
      <c r="F408" s="36">
        <v>398</v>
      </c>
      <c r="G408" s="16" t="str">
        <f>HYPERLINK("#'Data'!A2674", "Household Domestic Expenditure over the last 30 days, by type and amount by households with at least one member with a reported and/or registered disa...")</f>
        <v>Household Domestic Expenditure over the last 30 days, by type and amount by households with at least one member with a reported and/or registered disa...</v>
      </c>
    </row>
    <row r="409" spans="3:7" x14ac:dyDescent="0.35">
      <c r="C409" t="s">
        <v>110</v>
      </c>
      <c r="D409" t="s">
        <v>112</v>
      </c>
      <c r="E409" t="s">
        <v>58</v>
      </c>
      <c r="F409" s="36">
        <v>413</v>
      </c>
      <c r="G409" s="16" t="str">
        <f>HYPERLINK("#'Data'!A2680", "Household Domestic Expenditure over the last 30 days, by type and amount by urbanity ")</f>
        <v xml:space="preserve">Household Domestic Expenditure over the last 30 days, by type and amount by urbanity </v>
      </c>
    </row>
    <row r="410" spans="3:7" x14ac:dyDescent="0.35">
      <c r="C410" t="s">
        <v>110</v>
      </c>
      <c r="D410" t="s">
        <v>112</v>
      </c>
      <c r="E410" t="s">
        <v>59</v>
      </c>
      <c r="F410" s="36">
        <v>428</v>
      </c>
      <c r="G410" s="16" t="str">
        <f>HYPERLINK("#'Data'!A2686", "Household Domestic Expenditure over the last 30 days, by type and amount by household size ")</f>
        <v xml:space="preserve">Household Domestic Expenditure over the last 30 days, by type and amount by household size </v>
      </c>
    </row>
    <row r="411" spans="3:7" x14ac:dyDescent="0.35">
      <c r="C411" t="s">
        <v>110</v>
      </c>
      <c r="D411" t="s">
        <v>112</v>
      </c>
      <c r="E411" t="s">
        <v>61</v>
      </c>
      <c r="F411" s="36">
        <v>443</v>
      </c>
      <c r="G411" s="16" t="str">
        <f>HYPERLINK("#'Data'!A2693", "Household Domestic Expenditure over the last 30 days, by type and amount by gender of head of household ")</f>
        <v xml:space="preserve">Household Domestic Expenditure over the last 30 days, by type and amount by gender of head of household </v>
      </c>
    </row>
    <row r="412" spans="3:7" x14ac:dyDescent="0.35">
      <c r="C412" t="s">
        <v>110</v>
      </c>
      <c r="D412" t="s">
        <v>112</v>
      </c>
      <c r="E412" t="s">
        <v>62</v>
      </c>
      <c r="F412" s="36">
        <v>458</v>
      </c>
      <c r="G412" s="16" t="str">
        <f>HYPERLINK("#'Data'!A2701", "Household Domestic Expenditure over the last 30 days, by type and amount by age of adults in the households ")</f>
        <v xml:space="preserve">Household Domestic Expenditure over the last 30 days, by type and amount by age of adults in the households </v>
      </c>
    </row>
    <row r="413" spans="3:7" x14ac:dyDescent="0.35">
      <c r="C413" t="s">
        <v>110</v>
      </c>
      <c r="D413" t="s">
        <v>112</v>
      </c>
      <c r="E413" t="s">
        <v>76</v>
      </c>
      <c r="F413" s="36">
        <v>473</v>
      </c>
      <c r="G413" s="16" t="str">
        <f>HYPERLINK("#'Data'!A2708", "Household Domestic Expenditure over the last 30 days, by type and amount by households with at least one child (&lt;18 y.o.) ")</f>
        <v xml:space="preserve">Household Domestic Expenditure over the last 30 days, by type and amount by households with at least one child (&lt;18 y.o.) </v>
      </c>
    </row>
    <row r="414" spans="3:7" x14ac:dyDescent="0.35">
      <c r="C414" t="s">
        <v>110</v>
      </c>
      <c r="D414" t="s">
        <v>112</v>
      </c>
      <c r="E414" t="s">
        <v>63</v>
      </c>
      <c r="F414" s="36">
        <v>488</v>
      </c>
      <c r="G414" s="16" t="str">
        <f>HYPERLINK("#'Data'!A2714", "Household Domestic Expenditure over the last 30 days, by type and amount by displacement status of head of household ")</f>
        <v xml:space="preserve">Household Domestic Expenditure over the last 30 days, by type and amount by displacement status of head of household </v>
      </c>
    </row>
    <row r="415" spans="3:7" x14ac:dyDescent="0.35">
      <c r="C415" t="s">
        <v>110</v>
      </c>
      <c r="D415" t="s">
        <v>112</v>
      </c>
      <c r="E415" t="s">
        <v>64</v>
      </c>
      <c r="F415" s="36">
        <v>503</v>
      </c>
      <c r="G415" s="16" t="str">
        <f>HYPERLINK("#'Data'!A2723", "Household Domestic Expenditure over the last 30 days, by type and amount by IDP household ")</f>
        <v xml:space="preserve">Household Domestic Expenditure over the last 30 days, by type and amount by IDP household </v>
      </c>
    </row>
    <row r="416" spans="3:7" x14ac:dyDescent="0.35">
      <c r="C416" t="s">
        <v>110</v>
      </c>
      <c r="D416" t="s">
        <v>112</v>
      </c>
      <c r="E416" t="s">
        <v>65</v>
      </c>
      <c r="F416" s="36">
        <v>518</v>
      </c>
      <c r="G416" s="16" t="str">
        <f>HYPERLINK("#'Data'!A2729", "Household Domestic Expenditure over the last 30 days, by type and amount by proximity to frontline/border with Russian Federation ")</f>
        <v xml:space="preserve">Household Domestic Expenditure over the last 30 days, by type and amount by proximity to frontline/border with Russian Federation </v>
      </c>
    </row>
    <row r="417" spans="3:7" x14ac:dyDescent="0.35">
      <c r="C417" t="s">
        <v>110</v>
      </c>
      <c r="D417" t="s">
        <v>112</v>
      </c>
      <c r="E417" t="s">
        <v>77</v>
      </c>
      <c r="F417" s="36">
        <v>533</v>
      </c>
      <c r="G417" s="16" t="str">
        <f>HYPERLINK("#'Data'!A2736", "Household Domestic Expenditure over the last 30 days, by type and amount by caregiving status  ")</f>
        <v xml:space="preserve">Household Domestic Expenditure over the last 30 days, by type and amount by caregiving status  </v>
      </c>
    </row>
    <row r="418" spans="3:7" x14ac:dyDescent="0.35">
      <c r="C418" t="s">
        <v>110</v>
      </c>
      <c r="D418" t="s">
        <v>113</v>
      </c>
      <c r="E418" t="s">
        <v>36</v>
      </c>
      <c r="F418" s="36">
        <v>548</v>
      </c>
      <c r="G418" s="16" t="str">
        <f>HYPERLINK("#'Data'!A2744", "Monthly household expenditures on heating last winter on the admin of overall mean")</f>
        <v>Monthly household expenditures on heating last winter on the admin of overall mean</v>
      </c>
    </row>
    <row r="419" spans="3:7" x14ac:dyDescent="0.35">
      <c r="C419" t="s">
        <v>110</v>
      </c>
      <c r="D419" t="s">
        <v>113</v>
      </c>
      <c r="E419" t="s">
        <v>57</v>
      </c>
      <c r="F419" s="36">
        <v>549</v>
      </c>
      <c r="G419" s="16" t="str">
        <f>HYPERLINK("#'Data'!A2749", "Monthly household expenditures on heating last winter broken down by households with at least one member with a reported and/or registered disability ...")</f>
        <v>Monthly household expenditures on heating last winter broken down by households with at least one member with a reported and/or registered disability ...</v>
      </c>
    </row>
    <row r="420" spans="3:7" x14ac:dyDescent="0.35">
      <c r="C420" t="s">
        <v>110</v>
      </c>
      <c r="D420" t="s">
        <v>113</v>
      </c>
      <c r="E420" t="s">
        <v>58</v>
      </c>
      <c r="F420" s="36">
        <v>550</v>
      </c>
      <c r="G420" s="16" t="str">
        <f>HYPERLINK("#'Data'!A2755", "Monthly household expenditures on heating last winter broken down by urbanity on the admin of overall mean")</f>
        <v>Monthly household expenditures on heating last winter broken down by urbanity on the admin of overall mean</v>
      </c>
    </row>
    <row r="421" spans="3:7" x14ac:dyDescent="0.35">
      <c r="C421" t="s">
        <v>110</v>
      </c>
      <c r="D421" t="s">
        <v>113</v>
      </c>
      <c r="E421" t="s">
        <v>59</v>
      </c>
      <c r="F421" s="36">
        <v>551</v>
      </c>
      <c r="G421" s="16" t="str">
        <f>HYPERLINK("#'Data'!A2761", "Monthly household expenditures on heating last winter broken down by household size on the admin of overall mean")</f>
        <v>Monthly household expenditures on heating last winter broken down by household size on the admin of overall mean</v>
      </c>
    </row>
    <row r="422" spans="3:7" x14ac:dyDescent="0.35">
      <c r="C422" t="s">
        <v>110</v>
      </c>
      <c r="D422" t="s">
        <v>113</v>
      </c>
      <c r="E422" t="s">
        <v>60</v>
      </c>
      <c r="F422" s="36">
        <v>552</v>
      </c>
      <c r="G422" s="16" t="str">
        <f>HYPERLINK("#'Data'!A2768", "Monthly household expenditures on heating last winter broken down by income per capita (quartiles) on the admin of overall mean")</f>
        <v>Monthly household expenditures on heating last winter broken down by income per capita (quartiles) on the admin of overall mean</v>
      </c>
    </row>
    <row r="423" spans="3:7" x14ac:dyDescent="0.35">
      <c r="C423" t="s">
        <v>110</v>
      </c>
      <c r="D423" t="s">
        <v>113</v>
      </c>
      <c r="E423" t="s">
        <v>61</v>
      </c>
      <c r="F423" s="36">
        <v>553</v>
      </c>
      <c r="G423" s="16" t="str">
        <f>HYPERLINK("#'Data'!A2776", "Monthly household expenditures on heating last winter broken down by gender of head of household on the admin of overall mean")</f>
        <v>Monthly household expenditures on heating last winter broken down by gender of head of household on the admin of overall mean</v>
      </c>
    </row>
    <row r="424" spans="3:7" x14ac:dyDescent="0.35">
      <c r="C424" t="s">
        <v>110</v>
      </c>
      <c r="D424" t="s">
        <v>113</v>
      </c>
      <c r="E424" t="s">
        <v>62</v>
      </c>
      <c r="F424" s="36">
        <v>554</v>
      </c>
      <c r="G424" s="16" t="str">
        <f>HYPERLINK("#'Data'!A2784", "Monthly household expenditures on heating last winter broken down by age of adults in the households on the admin of overall mean")</f>
        <v>Monthly household expenditures on heating last winter broken down by age of adults in the households on the admin of overall mean</v>
      </c>
    </row>
    <row r="425" spans="3:7" x14ac:dyDescent="0.35">
      <c r="C425" t="s">
        <v>110</v>
      </c>
      <c r="D425" t="s">
        <v>113</v>
      </c>
      <c r="E425" t="s">
        <v>76</v>
      </c>
      <c r="F425" s="36">
        <v>555</v>
      </c>
      <c r="G425" s="16" t="str">
        <f>HYPERLINK("#'Data'!A2791", "Monthly household expenditures on heating last winter broken down by households with at least one child (&lt;18 y.o.) on the admin of overall mean")</f>
        <v>Monthly household expenditures on heating last winter broken down by households with at least one child (&lt;18 y.o.) on the admin of overall mean</v>
      </c>
    </row>
    <row r="426" spans="3:7" x14ac:dyDescent="0.35">
      <c r="C426" t="s">
        <v>110</v>
      </c>
      <c r="D426" t="s">
        <v>113</v>
      </c>
      <c r="E426" t="s">
        <v>63</v>
      </c>
      <c r="F426" s="36">
        <v>556</v>
      </c>
      <c r="G426" s="16" t="str">
        <f>HYPERLINK("#'Data'!A2797", "Monthly household expenditures on heating last winter broken down by displacement status of head of household on the admin of overall mean")</f>
        <v>Monthly household expenditures on heating last winter broken down by displacement status of head of household on the admin of overall mean</v>
      </c>
    </row>
    <row r="427" spans="3:7" x14ac:dyDescent="0.35">
      <c r="C427" t="s">
        <v>110</v>
      </c>
      <c r="D427" t="s">
        <v>113</v>
      </c>
      <c r="E427" t="s">
        <v>64</v>
      </c>
      <c r="F427" s="36">
        <v>557</v>
      </c>
      <c r="G427" s="16" t="str">
        <f>HYPERLINK("#'Data'!A2806", "Monthly household expenditures on heating last winter broken down by IDP household on the admin of overall mean")</f>
        <v>Monthly household expenditures on heating last winter broken down by IDP household on the admin of overall mean</v>
      </c>
    </row>
    <row r="428" spans="3:7" x14ac:dyDescent="0.35">
      <c r="C428" t="s">
        <v>110</v>
      </c>
      <c r="D428" t="s">
        <v>113</v>
      </c>
      <c r="E428" t="s">
        <v>65</v>
      </c>
      <c r="F428" s="36">
        <v>558</v>
      </c>
      <c r="G428" s="16" t="str">
        <f>HYPERLINK("#'Data'!A2812", "Monthly household expenditures on heating last winter broken down by proximity to frontline/border with Russian Federation on the admin of overall mea...")</f>
        <v>Monthly household expenditures on heating last winter broken down by proximity to frontline/border with Russian Federation on the admin of overall mea...</v>
      </c>
    </row>
    <row r="429" spans="3:7" x14ac:dyDescent="0.35">
      <c r="C429" t="s">
        <v>110</v>
      </c>
      <c r="D429" t="s">
        <v>113</v>
      </c>
      <c r="E429" t="s">
        <v>77</v>
      </c>
      <c r="F429" s="36">
        <v>559</v>
      </c>
      <c r="G429" s="16" t="str">
        <f>HYPERLINK("#'Data'!A2819", "Monthly household expenditures on heating last winter broken down by caregiving status  on the admin of overall mean")</f>
        <v>Monthly household expenditures on heating last winter broken down by caregiving status  on the admin of overall mean</v>
      </c>
    </row>
    <row r="430" spans="3:7" x14ac:dyDescent="0.35">
      <c r="C430" t="s">
        <v>110</v>
      </c>
      <c r="D430" t="s">
        <v>114</v>
      </c>
      <c r="E430" t="s">
        <v>36</v>
      </c>
      <c r="F430" s="36">
        <v>560</v>
      </c>
      <c r="G430" s="16" t="str">
        <f>HYPERLINK("#'Data'!A2827", "Households reporting  long term expenditures in the past 6 months, by type on the admin of overall perc")</f>
        <v>Households reporting  long term expenditures in the past 6 months, by type on the admin of overall perc</v>
      </c>
    </row>
    <row r="431" spans="3:7" x14ac:dyDescent="0.35">
      <c r="C431" t="s">
        <v>110</v>
      </c>
      <c r="D431" t="s">
        <v>115</v>
      </c>
      <c r="E431" t="s">
        <v>36</v>
      </c>
      <c r="F431" s="36">
        <v>561</v>
      </c>
      <c r="G431" s="16" t="str">
        <f>HYPERLINK("#'Data'!A2832", "Household Domestic Expenditure over the last 6 months, by type and amount ")</f>
        <v xml:space="preserve">Household Domestic Expenditure over the last 6 months, by type and amount </v>
      </c>
    </row>
    <row r="432" spans="3:7" x14ac:dyDescent="0.35">
      <c r="C432" t="s">
        <v>110</v>
      </c>
      <c r="D432" t="s">
        <v>114</v>
      </c>
      <c r="E432" t="s">
        <v>57</v>
      </c>
      <c r="F432" s="36">
        <v>567</v>
      </c>
      <c r="G432" s="16" t="str">
        <f>HYPERLINK("#'Data'!A2837", "Households reporting  long term expenditures in the past 6 months, by type broken down by households with at least one member with a reported and/or r...")</f>
        <v>Households reporting  long term expenditures in the past 6 months, by type broken down by households with at least one member with a reported and/or r...</v>
      </c>
    </row>
    <row r="433" spans="3:7" x14ac:dyDescent="0.35">
      <c r="C433" t="s">
        <v>110</v>
      </c>
      <c r="D433" t="s">
        <v>115</v>
      </c>
      <c r="E433" t="s">
        <v>57</v>
      </c>
      <c r="F433" s="36">
        <v>568</v>
      </c>
      <c r="G433" s="16" t="str">
        <f>HYPERLINK("#'Data'!A2843", "Household Domestic Expenditure over the last 6 months, by type and amount by households with at least one member with a reported and/or registered dis...")</f>
        <v>Household Domestic Expenditure over the last 6 months, by type and amount by households with at least one member with a reported and/or registered dis...</v>
      </c>
    </row>
    <row r="434" spans="3:7" x14ac:dyDescent="0.35">
      <c r="C434" t="s">
        <v>110</v>
      </c>
      <c r="D434" t="s">
        <v>114</v>
      </c>
      <c r="E434" t="s">
        <v>58</v>
      </c>
      <c r="F434" s="36">
        <v>574</v>
      </c>
      <c r="G434" s="16" t="str">
        <f>HYPERLINK("#'Data'!A2849", "Households reporting  long term expenditures in the past 6 months, by type broken down by urbanity on the admin of overall perc")</f>
        <v>Households reporting  long term expenditures in the past 6 months, by type broken down by urbanity on the admin of overall perc</v>
      </c>
    </row>
    <row r="435" spans="3:7" x14ac:dyDescent="0.35">
      <c r="C435" t="s">
        <v>110</v>
      </c>
      <c r="D435" t="s">
        <v>115</v>
      </c>
      <c r="E435" t="s">
        <v>58</v>
      </c>
      <c r="F435" s="36">
        <v>575</v>
      </c>
      <c r="G435" s="16" t="str">
        <f>HYPERLINK("#'Data'!A2855", "Household Domestic Expenditure over the last 6 months, by type and amount by urbanity ")</f>
        <v xml:space="preserve">Household Domestic Expenditure over the last 6 months, by type and amount by urbanity </v>
      </c>
    </row>
    <row r="436" spans="3:7" x14ac:dyDescent="0.35">
      <c r="C436" t="s">
        <v>110</v>
      </c>
      <c r="D436" t="s">
        <v>114</v>
      </c>
      <c r="E436" t="s">
        <v>59</v>
      </c>
      <c r="F436" s="36">
        <v>581</v>
      </c>
      <c r="G436" s="16" t="str">
        <f>HYPERLINK("#'Data'!A2861", "Households reporting  long term expenditures in the past 6 months, by type broken down by household size on the admin of overall perc")</f>
        <v>Households reporting  long term expenditures in the past 6 months, by type broken down by household size on the admin of overall perc</v>
      </c>
    </row>
    <row r="437" spans="3:7" x14ac:dyDescent="0.35">
      <c r="C437" t="s">
        <v>110</v>
      </c>
      <c r="D437" t="s">
        <v>115</v>
      </c>
      <c r="E437" t="s">
        <v>59</v>
      </c>
      <c r="F437" s="36">
        <v>582</v>
      </c>
      <c r="G437" s="16" t="str">
        <f>HYPERLINK("#'Data'!A2868", "Household Domestic Expenditure over the last 6 months, by type and amount by household size ")</f>
        <v xml:space="preserve">Household Domestic Expenditure over the last 6 months, by type and amount by household size </v>
      </c>
    </row>
    <row r="438" spans="3:7" x14ac:dyDescent="0.35">
      <c r="C438" t="s">
        <v>110</v>
      </c>
      <c r="D438" t="s">
        <v>114</v>
      </c>
      <c r="E438" t="s">
        <v>61</v>
      </c>
      <c r="F438" s="36">
        <v>588</v>
      </c>
      <c r="G438" s="16" t="str">
        <f>HYPERLINK("#'Data'!A2875", "Households reporting  long term expenditures in the past 6 months, by type broken down by gender of head of household on the admin of overall perc")</f>
        <v>Households reporting  long term expenditures in the past 6 months, by type broken down by gender of head of household on the admin of overall perc</v>
      </c>
    </row>
    <row r="439" spans="3:7" x14ac:dyDescent="0.35">
      <c r="C439" t="s">
        <v>110</v>
      </c>
      <c r="D439" t="s">
        <v>115</v>
      </c>
      <c r="E439" t="s">
        <v>61</v>
      </c>
      <c r="F439" s="36">
        <v>589</v>
      </c>
      <c r="G439" s="16" t="str">
        <f>HYPERLINK("#'Data'!A2883", "Household Domestic Expenditure over the last 6 months, by type and amount by gender of head of household ")</f>
        <v xml:space="preserve">Household Domestic Expenditure over the last 6 months, by type and amount by gender of head of household </v>
      </c>
    </row>
    <row r="440" spans="3:7" x14ac:dyDescent="0.35">
      <c r="C440" t="s">
        <v>110</v>
      </c>
      <c r="D440" t="s">
        <v>114</v>
      </c>
      <c r="E440" t="s">
        <v>62</v>
      </c>
      <c r="F440" s="36">
        <v>595</v>
      </c>
      <c r="G440" s="16" t="str">
        <f>HYPERLINK("#'Data'!A2890", "Households reporting  long term expenditures in the past 6 months, by type broken down by age of adults in the households on the admin of overall perc")</f>
        <v>Households reporting  long term expenditures in the past 6 months, by type broken down by age of adults in the households on the admin of overall perc</v>
      </c>
    </row>
    <row r="441" spans="3:7" x14ac:dyDescent="0.35">
      <c r="C441" t="s">
        <v>110</v>
      </c>
      <c r="D441" t="s">
        <v>115</v>
      </c>
      <c r="E441" t="s">
        <v>62</v>
      </c>
      <c r="F441" s="36">
        <v>596</v>
      </c>
      <c r="G441" s="16" t="str">
        <f>HYPERLINK("#'Data'!A2897", "Household Domestic Expenditure over the last 6 months, by type and amount by age of adults in the households ")</f>
        <v xml:space="preserve">Household Domestic Expenditure over the last 6 months, by type and amount by age of adults in the households </v>
      </c>
    </row>
    <row r="442" spans="3:7" x14ac:dyDescent="0.35">
      <c r="C442" t="s">
        <v>110</v>
      </c>
      <c r="D442" t="s">
        <v>114</v>
      </c>
      <c r="E442" t="s">
        <v>76</v>
      </c>
      <c r="F442" s="36">
        <v>602</v>
      </c>
      <c r="G442" s="16" t="str">
        <f>HYPERLINK("#'Data'!A2904", "Households reporting  long term expenditures in the past 6 months, by type broken down by households with at least one child (&lt;18 y.o.) on the admin o...")</f>
        <v>Households reporting  long term expenditures in the past 6 months, by type broken down by households with at least one child (&lt;18 y.o.) on the admin o...</v>
      </c>
    </row>
    <row r="443" spans="3:7" x14ac:dyDescent="0.35">
      <c r="C443" t="s">
        <v>110</v>
      </c>
      <c r="D443" t="s">
        <v>115</v>
      </c>
      <c r="E443" t="s">
        <v>76</v>
      </c>
      <c r="F443" s="36">
        <v>603</v>
      </c>
      <c r="G443" s="16" t="str">
        <f>HYPERLINK("#'Data'!A2910", "Household Domestic Expenditure over the last 6 months, by type and amount by households with at least one child (&lt;18 y.o.) ")</f>
        <v xml:space="preserve">Household Domestic Expenditure over the last 6 months, by type and amount by households with at least one child (&lt;18 y.o.) </v>
      </c>
    </row>
    <row r="444" spans="3:7" x14ac:dyDescent="0.35">
      <c r="C444" t="s">
        <v>110</v>
      </c>
      <c r="D444" t="s">
        <v>114</v>
      </c>
      <c r="E444" t="s">
        <v>63</v>
      </c>
      <c r="F444" s="36">
        <v>609</v>
      </c>
      <c r="G444" s="16" t="str">
        <f>HYPERLINK("#'Data'!A2916", "Households reporting  long term expenditures in the past 6 months, by type broken down by displacement status of head of household on the admin of ove...")</f>
        <v>Households reporting  long term expenditures in the past 6 months, by type broken down by displacement status of head of household on the admin of ove...</v>
      </c>
    </row>
    <row r="445" spans="3:7" x14ac:dyDescent="0.35">
      <c r="C445" t="s">
        <v>110</v>
      </c>
      <c r="D445" t="s">
        <v>115</v>
      </c>
      <c r="E445" t="s">
        <v>63</v>
      </c>
      <c r="F445" s="36">
        <v>610</v>
      </c>
      <c r="G445" s="16" t="str">
        <f>HYPERLINK("#'Data'!A2925", "Household Domestic Expenditure over the last 6 months, by type and amount by displacement status of head of household ")</f>
        <v xml:space="preserve">Household Domestic Expenditure over the last 6 months, by type and amount by displacement status of head of household </v>
      </c>
    </row>
    <row r="446" spans="3:7" x14ac:dyDescent="0.35">
      <c r="C446" t="s">
        <v>110</v>
      </c>
      <c r="D446" t="s">
        <v>114</v>
      </c>
      <c r="E446" t="s">
        <v>64</v>
      </c>
      <c r="F446" s="36">
        <v>616</v>
      </c>
      <c r="G446" s="16" t="str">
        <f>HYPERLINK("#'Data'!A2933", "Households reporting  long term expenditures in the past 6 months, by type broken down by IDP household on the admin of overall perc")</f>
        <v>Households reporting  long term expenditures in the past 6 months, by type broken down by IDP household on the admin of overall perc</v>
      </c>
    </row>
    <row r="447" spans="3:7" x14ac:dyDescent="0.35">
      <c r="C447" t="s">
        <v>110</v>
      </c>
      <c r="D447" t="s">
        <v>115</v>
      </c>
      <c r="E447" t="s">
        <v>64</v>
      </c>
      <c r="F447" s="36">
        <v>617</v>
      </c>
      <c r="G447" s="16" t="str">
        <f>HYPERLINK("#'Data'!A2939", "Household Domestic Expenditure over the last 6 months, by type and amount by IDP household ")</f>
        <v xml:space="preserve">Household Domestic Expenditure over the last 6 months, by type and amount by IDP household </v>
      </c>
    </row>
    <row r="448" spans="3:7" x14ac:dyDescent="0.35">
      <c r="C448" t="s">
        <v>110</v>
      </c>
      <c r="D448" t="s">
        <v>114</v>
      </c>
      <c r="E448" t="s">
        <v>65</v>
      </c>
      <c r="F448" s="36">
        <v>623</v>
      </c>
      <c r="G448" s="16" t="str">
        <f>HYPERLINK("#'Data'!A2945", "Households reporting  long term expenditures in the past 6 months, by type broken down by proximity to frontline/border with Russian Federation on the...")</f>
        <v>Households reporting  long term expenditures in the past 6 months, by type broken down by proximity to frontline/border with Russian Federation on the...</v>
      </c>
    </row>
    <row r="449" spans="3:7" x14ac:dyDescent="0.35">
      <c r="C449" t="s">
        <v>110</v>
      </c>
      <c r="D449" t="s">
        <v>115</v>
      </c>
      <c r="E449" t="s">
        <v>65</v>
      </c>
      <c r="F449" s="36">
        <v>624</v>
      </c>
      <c r="G449" s="16" t="str">
        <f>HYPERLINK("#'Data'!A2952", "Household Domestic Expenditure over the last 6 months, by type and amount by proximity to frontline/border with Russian Federation ")</f>
        <v xml:space="preserve">Household Domestic Expenditure over the last 6 months, by type and amount by proximity to frontline/border with Russian Federation </v>
      </c>
    </row>
    <row r="450" spans="3:7" x14ac:dyDescent="0.35">
      <c r="C450" t="s">
        <v>110</v>
      </c>
      <c r="D450" t="s">
        <v>114</v>
      </c>
      <c r="E450" t="s">
        <v>77</v>
      </c>
      <c r="F450" s="36">
        <v>630</v>
      </c>
      <c r="G450" s="16" t="str">
        <f>HYPERLINK("#'Data'!A2959", "Households reporting  long term expenditures in the past 6 months, by type broken down by caregiving status  on the admin of overall perc")</f>
        <v>Households reporting  long term expenditures in the past 6 months, by type broken down by caregiving status  on the admin of overall perc</v>
      </c>
    </row>
    <row r="451" spans="3:7" x14ac:dyDescent="0.35">
      <c r="C451" t="s">
        <v>110</v>
      </c>
      <c r="D451" t="s">
        <v>115</v>
      </c>
      <c r="E451" t="s">
        <v>77</v>
      </c>
      <c r="F451" s="36">
        <v>631</v>
      </c>
      <c r="G451" s="16" t="str">
        <f>HYPERLINK("#'Data'!A2967", "Household Domestic Expenditure over the last 6 months, by type and amount by caregiving status  ")</f>
        <v xml:space="preserve">Household Domestic Expenditure over the last 6 months, by type and amount by caregiving status  </v>
      </c>
    </row>
    <row r="452" spans="3:7" x14ac:dyDescent="0.35">
      <c r="C452" t="s">
        <v>110</v>
      </c>
      <c r="D452" t="s">
        <v>116</v>
      </c>
      <c r="E452" t="s">
        <v>36</v>
      </c>
      <c r="F452" s="36">
        <v>637</v>
      </c>
      <c r="G452" s="16" t="str">
        <f>HYPERLINK("#'Data'!A2975", "Total monthly expenditures per capita on the admin of overall mean")</f>
        <v>Total monthly expenditures per capita on the admin of overall mean</v>
      </c>
    </row>
    <row r="453" spans="3:7" x14ac:dyDescent="0.35">
      <c r="C453" t="s">
        <v>110</v>
      </c>
      <c r="D453" t="s">
        <v>116</v>
      </c>
      <c r="E453" t="s">
        <v>57</v>
      </c>
      <c r="F453" s="36">
        <v>638</v>
      </c>
      <c r="G453" s="16" t="str">
        <f>HYPERLINK("#'Data'!A2980", "Total monthly expenditures per capita broken down by households with at least one member with a reported and/or registered disability on the admin of ...")</f>
        <v>Total monthly expenditures per capita broken down by households with at least one member with a reported and/or registered disability on the admin of ...</v>
      </c>
    </row>
    <row r="454" spans="3:7" x14ac:dyDescent="0.35">
      <c r="C454" t="s">
        <v>110</v>
      </c>
      <c r="D454" t="s">
        <v>116</v>
      </c>
      <c r="E454" t="s">
        <v>58</v>
      </c>
      <c r="F454" s="36">
        <v>639</v>
      </c>
      <c r="G454" s="16" t="str">
        <f>HYPERLINK("#'Data'!A2986", "Total monthly expenditures per capita broken down by urbanity on the admin of overall mean")</f>
        <v>Total monthly expenditures per capita broken down by urbanity on the admin of overall mean</v>
      </c>
    </row>
    <row r="455" spans="3:7" x14ac:dyDescent="0.35">
      <c r="C455" t="s">
        <v>110</v>
      </c>
      <c r="D455" t="s">
        <v>116</v>
      </c>
      <c r="E455" t="s">
        <v>59</v>
      </c>
      <c r="F455" s="36">
        <v>640</v>
      </c>
      <c r="G455" s="16" t="str">
        <f>HYPERLINK("#'Data'!A2992", "Total monthly expenditures per capita broken down by household size on the admin of overall mean")</f>
        <v>Total monthly expenditures per capita broken down by household size on the admin of overall mean</v>
      </c>
    </row>
    <row r="456" spans="3:7" x14ac:dyDescent="0.35">
      <c r="C456" t="s">
        <v>110</v>
      </c>
      <c r="D456" t="s">
        <v>116</v>
      </c>
      <c r="E456" t="s">
        <v>60</v>
      </c>
      <c r="F456" s="36">
        <v>641</v>
      </c>
      <c r="G456" s="16" t="str">
        <f>HYPERLINK("#'Data'!A2999", "Total monthly expenditures per capita broken down by income per capita (quartiles) on the admin of overall mean")</f>
        <v>Total monthly expenditures per capita broken down by income per capita (quartiles) on the admin of overall mean</v>
      </c>
    </row>
    <row r="457" spans="3:7" x14ac:dyDescent="0.35">
      <c r="C457" t="s">
        <v>110</v>
      </c>
      <c r="D457" t="s">
        <v>116</v>
      </c>
      <c r="E457" t="s">
        <v>61</v>
      </c>
      <c r="F457" s="36">
        <v>642</v>
      </c>
      <c r="G457" s="16" t="str">
        <f>HYPERLINK("#'Data'!A3007", "Total monthly expenditures per capita broken down by gender of head of household on the admin of overall mean")</f>
        <v>Total monthly expenditures per capita broken down by gender of head of household on the admin of overall mean</v>
      </c>
    </row>
    <row r="458" spans="3:7" x14ac:dyDescent="0.35">
      <c r="C458" t="s">
        <v>110</v>
      </c>
      <c r="D458" t="s">
        <v>116</v>
      </c>
      <c r="E458" t="s">
        <v>62</v>
      </c>
      <c r="F458" s="36">
        <v>643</v>
      </c>
      <c r="G458" s="16" t="str">
        <f>HYPERLINK("#'Data'!A3015", "Total monthly expenditures per capita broken down by age of adults in the households on the admin of overall mean")</f>
        <v>Total monthly expenditures per capita broken down by age of adults in the households on the admin of overall mean</v>
      </c>
    </row>
    <row r="459" spans="3:7" x14ac:dyDescent="0.35">
      <c r="C459" t="s">
        <v>110</v>
      </c>
      <c r="D459" t="s">
        <v>116</v>
      </c>
      <c r="E459" t="s">
        <v>76</v>
      </c>
      <c r="F459" s="36">
        <v>644</v>
      </c>
      <c r="G459" s="16" t="str">
        <f>HYPERLINK("#'Data'!A3022", "Total monthly expenditures per capita broken down by households with at least one child (&lt;18 y.o.) on the admin of overall mean")</f>
        <v>Total monthly expenditures per capita broken down by households with at least one child (&lt;18 y.o.) on the admin of overall mean</v>
      </c>
    </row>
    <row r="460" spans="3:7" x14ac:dyDescent="0.35">
      <c r="C460" t="s">
        <v>110</v>
      </c>
      <c r="D460" t="s">
        <v>116</v>
      </c>
      <c r="E460" t="s">
        <v>63</v>
      </c>
      <c r="F460" s="36">
        <v>645</v>
      </c>
      <c r="G460" s="16" t="str">
        <f>HYPERLINK("#'Data'!A3028", "Total monthly expenditures per capita broken down by displacement status of head of household on the admin of overall mean")</f>
        <v>Total monthly expenditures per capita broken down by displacement status of head of household on the admin of overall mean</v>
      </c>
    </row>
    <row r="461" spans="3:7" x14ac:dyDescent="0.35">
      <c r="C461" t="s">
        <v>110</v>
      </c>
      <c r="D461" t="s">
        <v>116</v>
      </c>
      <c r="E461" t="s">
        <v>64</v>
      </c>
      <c r="F461" s="36">
        <v>646</v>
      </c>
      <c r="G461" s="16" t="str">
        <f>HYPERLINK("#'Data'!A3037", "Total monthly expenditures per capita broken down by IDP household on the admin of overall mean")</f>
        <v>Total monthly expenditures per capita broken down by IDP household on the admin of overall mean</v>
      </c>
    </row>
    <row r="462" spans="3:7" x14ac:dyDescent="0.35">
      <c r="C462" t="s">
        <v>110</v>
      </c>
      <c r="D462" t="s">
        <v>116</v>
      </c>
      <c r="E462" t="s">
        <v>65</v>
      </c>
      <c r="F462" s="36">
        <v>647</v>
      </c>
      <c r="G462" s="16" t="str">
        <f>HYPERLINK("#'Data'!A3043", "Total monthly expenditures per capita broken down by proximity to frontline/border with Russian Federation on the admin of overall mean")</f>
        <v>Total monthly expenditures per capita broken down by proximity to frontline/border with Russian Federation on the admin of overall mean</v>
      </c>
    </row>
    <row r="463" spans="3:7" x14ac:dyDescent="0.35">
      <c r="C463" t="s">
        <v>110</v>
      </c>
      <c r="D463" t="s">
        <v>116</v>
      </c>
      <c r="E463" t="s">
        <v>77</v>
      </c>
      <c r="F463" s="36">
        <v>648</v>
      </c>
      <c r="G463" s="16" t="str">
        <f>HYPERLINK("#'Data'!A3050", "Total monthly expenditures per capita broken down by caregiving status  on the admin of overall mean")</f>
        <v>Total monthly expenditures per capita broken down by caregiving status  on the admin of overall mean</v>
      </c>
    </row>
    <row r="464" spans="3:7" x14ac:dyDescent="0.35">
      <c r="C464" t="s">
        <v>117</v>
      </c>
      <c r="D464" t="s">
        <v>118</v>
      </c>
      <c r="E464" t="s">
        <v>36</v>
      </c>
      <c r="F464" s="36">
        <v>649</v>
      </c>
      <c r="G464" s="16" t="str">
        <f>HYPERLINK("#'Data'!A3058", "Percentage of households reporting completely lacking essential non-food items in the last 3 months, by type on the admin of overall perc")</f>
        <v>Percentage of households reporting completely lacking essential non-food items in the last 3 months, by type on the admin of overall perc</v>
      </c>
    </row>
    <row r="465" spans="3:7" x14ac:dyDescent="0.35">
      <c r="C465" t="s">
        <v>117</v>
      </c>
      <c r="D465" t="s">
        <v>118</v>
      </c>
      <c r="E465" t="s">
        <v>57</v>
      </c>
      <c r="F465" s="36">
        <v>650</v>
      </c>
      <c r="G465" s="16" t="str">
        <f>HYPERLINK("#'Data'!A3063", "Percentage of households reporting completely lacking essential non-food items in the last 3 months, by type broken down by households with at least o...")</f>
        <v>Percentage of households reporting completely lacking essential non-food items in the last 3 months, by type broken down by households with at least o...</v>
      </c>
    </row>
    <row r="466" spans="3:7" x14ac:dyDescent="0.35">
      <c r="C466" t="s">
        <v>117</v>
      </c>
      <c r="D466" t="s">
        <v>118</v>
      </c>
      <c r="E466" t="s">
        <v>58</v>
      </c>
      <c r="F466" s="36">
        <v>651</v>
      </c>
      <c r="G466" s="16" t="str">
        <f>HYPERLINK("#'Data'!A3069", "Percentage of households reporting completely lacking essential non-food items in the last 3 months, by type broken down by urbanity on the admin of o...")</f>
        <v>Percentage of households reporting completely lacking essential non-food items in the last 3 months, by type broken down by urbanity on the admin of o...</v>
      </c>
    </row>
    <row r="467" spans="3:7" x14ac:dyDescent="0.35">
      <c r="C467" t="s">
        <v>117</v>
      </c>
      <c r="D467" t="s">
        <v>118</v>
      </c>
      <c r="E467" t="s">
        <v>59</v>
      </c>
      <c r="F467" s="36">
        <v>652</v>
      </c>
      <c r="G467" s="16" t="str">
        <f>HYPERLINK("#'Data'!A3075", "Percentage of households reporting completely lacking essential non-food items in the last 3 months, by type broken down by household size on the admi...")</f>
        <v>Percentage of households reporting completely lacking essential non-food items in the last 3 months, by type broken down by household size on the admi...</v>
      </c>
    </row>
    <row r="468" spans="3:7" x14ac:dyDescent="0.35">
      <c r="C468" t="s">
        <v>117</v>
      </c>
      <c r="D468" t="s">
        <v>118</v>
      </c>
      <c r="E468" t="s">
        <v>60</v>
      </c>
      <c r="F468" s="36">
        <v>653</v>
      </c>
      <c r="G468" s="16" t="str">
        <f>HYPERLINK("#'Data'!A3082", "Percentage of households reporting completely lacking essential non-food items in the last 3 months, by type broken down by income per capita (quartil...")</f>
        <v>Percentage of households reporting completely lacking essential non-food items in the last 3 months, by type broken down by income per capita (quartil...</v>
      </c>
    </row>
    <row r="469" spans="3:7" x14ac:dyDescent="0.35">
      <c r="C469" t="s">
        <v>117</v>
      </c>
      <c r="D469" t="s">
        <v>118</v>
      </c>
      <c r="E469" t="s">
        <v>61</v>
      </c>
      <c r="F469" s="36">
        <v>654</v>
      </c>
      <c r="G469" s="16" t="str">
        <f>HYPERLINK("#'Data'!A3090", "Percentage of households reporting completely lacking essential non-food items in the last 3 months, by type broken down by gender of head of househol...")</f>
        <v>Percentage of households reporting completely lacking essential non-food items in the last 3 months, by type broken down by gender of head of househol...</v>
      </c>
    </row>
    <row r="470" spans="3:7" x14ac:dyDescent="0.35">
      <c r="C470" t="s">
        <v>117</v>
      </c>
      <c r="D470" t="s">
        <v>118</v>
      </c>
      <c r="E470" t="s">
        <v>62</v>
      </c>
      <c r="F470" s="36">
        <v>655</v>
      </c>
      <c r="G470" s="16" t="str">
        <f>HYPERLINK("#'Data'!A3098", "Percentage of households reporting completely lacking essential non-food items in the last 3 months, by type broken down by age of adults in the house...")</f>
        <v>Percentage of households reporting completely lacking essential non-food items in the last 3 months, by type broken down by age of adults in the house...</v>
      </c>
    </row>
    <row r="471" spans="3:7" x14ac:dyDescent="0.35">
      <c r="C471" t="s">
        <v>117</v>
      </c>
      <c r="D471" t="s">
        <v>118</v>
      </c>
      <c r="E471" t="s">
        <v>76</v>
      </c>
      <c r="F471" s="36">
        <v>656</v>
      </c>
      <c r="G471" s="16" t="str">
        <f>HYPERLINK("#'Data'!A3105", "Percentage of households reporting completely lacking essential non-food items in the last 3 months, by type broken down by households with at least o...")</f>
        <v>Percentage of households reporting completely lacking essential non-food items in the last 3 months, by type broken down by households with at least o...</v>
      </c>
    </row>
    <row r="472" spans="3:7" x14ac:dyDescent="0.35">
      <c r="C472" t="s">
        <v>117</v>
      </c>
      <c r="D472" t="s">
        <v>118</v>
      </c>
      <c r="E472" t="s">
        <v>63</v>
      </c>
      <c r="F472" s="36">
        <v>657</v>
      </c>
      <c r="G472" s="16" t="str">
        <f>HYPERLINK("#'Data'!A3111", "Percentage of households reporting completely lacking essential non-food items in the last 3 months, by type broken down by displacement status of hea...")</f>
        <v>Percentage of households reporting completely lacking essential non-food items in the last 3 months, by type broken down by displacement status of hea...</v>
      </c>
    </row>
    <row r="473" spans="3:7" x14ac:dyDescent="0.35">
      <c r="C473" t="s">
        <v>117</v>
      </c>
      <c r="D473" t="s">
        <v>118</v>
      </c>
      <c r="E473" t="s">
        <v>64</v>
      </c>
      <c r="F473" s="36">
        <v>658</v>
      </c>
      <c r="G473" s="16" t="str">
        <f>HYPERLINK("#'Data'!A3120", "Percentage of households reporting completely lacking essential non-food items in the last 3 months, by type broken down by IDP household on the admin...")</f>
        <v>Percentage of households reporting completely lacking essential non-food items in the last 3 months, by type broken down by IDP household on the admin...</v>
      </c>
    </row>
    <row r="474" spans="3:7" x14ac:dyDescent="0.35">
      <c r="C474" t="s">
        <v>117</v>
      </c>
      <c r="D474" t="s">
        <v>118</v>
      </c>
      <c r="E474" t="s">
        <v>65</v>
      </c>
      <c r="F474" s="36">
        <v>659</v>
      </c>
      <c r="G474" s="16" t="str">
        <f>HYPERLINK("#'Data'!A3126", "Percentage of households reporting completely lacking essential non-food items in the last 3 months, by type broken down by proximity to frontline/bor...")</f>
        <v>Percentage of households reporting completely lacking essential non-food items in the last 3 months, by type broken down by proximity to frontline/bor...</v>
      </c>
    </row>
    <row r="475" spans="3:7" x14ac:dyDescent="0.35">
      <c r="C475" t="s">
        <v>117</v>
      </c>
      <c r="D475" t="s">
        <v>118</v>
      </c>
      <c r="E475" t="s">
        <v>77</v>
      </c>
      <c r="F475" s="36">
        <v>660</v>
      </c>
      <c r="G475" s="16" t="str">
        <f>HYPERLINK("#'Data'!A3133", "Percentage of households reporting completely lacking essential non-food items in the last 3 months, by type broken down by caregiving status  on the ...")</f>
        <v>Percentage of households reporting completely lacking essential non-food items in the last 3 months, by type broken down by caregiving status  on the ...</v>
      </c>
    </row>
    <row r="476" spans="3:7" x14ac:dyDescent="0.35">
      <c r="C476" t="s">
        <v>110</v>
      </c>
      <c r="D476" t="s">
        <v>119</v>
      </c>
      <c r="E476" t="s">
        <v>36</v>
      </c>
      <c r="F476" s="36">
        <v>661</v>
      </c>
      <c r="G476" s="16" t="str">
        <f>HYPERLINK("#'Data'!A3141", "Households reporting primary income sources over the last 30 days, by type of income source on the admin of overall perc")</f>
        <v>Households reporting primary income sources over the last 30 days, by type of income source on the admin of overall perc</v>
      </c>
    </row>
    <row r="477" spans="3:7" x14ac:dyDescent="0.35">
      <c r="C477" t="s">
        <v>110</v>
      </c>
      <c r="D477" t="s">
        <v>119</v>
      </c>
      <c r="E477" t="s">
        <v>57</v>
      </c>
      <c r="F477" s="36">
        <v>662</v>
      </c>
      <c r="G477" s="16" t="str">
        <f>HYPERLINK("#'Data'!A3146", "Households reporting primary income sources over the last 30 days, by type of income source broken down by households with at least one member with a ...")</f>
        <v>Households reporting primary income sources over the last 30 days, by type of income source broken down by households with at least one member with a ...</v>
      </c>
    </row>
    <row r="478" spans="3:7" x14ac:dyDescent="0.35">
      <c r="C478" t="s">
        <v>110</v>
      </c>
      <c r="D478" t="s">
        <v>119</v>
      </c>
      <c r="E478" t="s">
        <v>58</v>
      </c>
      <c r="F478" s="36">
        <v>663</v>
      </c>
      <c r="G478" s="16" t="str">
        <f>HYPERLINK("#'Data'!A3152", "Households reporting primary income sources over the last 30 days, by type of income source broken down by urbanity on the admin of overall perc")</f>
        <v>Households reporting primary income sources over the last 30 days, by type of income source broken down by urbanity on the admin of overall perc</v>
      </c>
    </row>
    <row r="479" spans="3:7" x14ac:dyDescent="0.35">
      <c r="C479" t="s">
        <v>110</v>
      </c>
      <c r="D479" t="s">
        <v>119</v>
      </c>
      <c r="E479" t="s">
        <v>59</v>
      </c>
      <c r="F479" s="36">
        <v>664</v>
      </c>
      <c r="G479" s="16" t="str">
        <f>HYPERLINK("#'Data'!A3158", "Households reporting primary income sources over the last 30 days, by type of income source broken down by household size on the admin of overall perc")</f>
        <v>Households reporting primary income sources over the last 30 days, by type of income source broken down by household size on the admin of overall perc</v>
      </c>
    </row>
    <row r="480" spans="3:7" x14ac:dyDescent="0.35">
      <c r="C480" t="s">
        <v>110</v>
      </c>
      <c r="D480" t="s">
        <v>119</v>
      </c>
      <c r="E480" t="s">
        <v>60</v>
      </c>
      <c r="F480" s="36">
        <v>665</v>
      </c>
      <c r="G480" s="16" t="str">
        <f>HYPERLINK("#'Data'!A3165", "Households reporting primary income sources over the last 30 days, by type of income source broken down by income per capita (quartiles) on the admin ...")</f>
        <v>Households reporting primary income sources over the last 30 days, by type of income source broken down by income per capita (quartiles) on the admin ...</v>
      </c>
    </row>
    <row r="481" spans="3:7" x14ac:dyDescent="0.35">
      <c r="C481" t="s">
        <v>110</v>
      </c>
      <c r="D481" t="s">
        <v>119</v>
      </c>
      <c r="E481" t="s">
        <v>61</v>
      </c>
      <c r="F481" s="36">
        <v>666</v>
      </c>
      <c r="G481" s="16" t="str">
        <f>HYPERLINK("#'Data'!A3173", "Households reporting primary income sources over the last 30 days, by type of income source broken down by gender of head of household on the admin of...")</f>
        <v>Households reporting primary income sources over the last 30 days, by type of income source broken down by gender of head of household on the admin of...</v>
      </c>
    </row>
    <row r="482" spans="3:7" x14ac:dyDescent="0.35">
      <c r="C482" t="s">
        <v>110</v>
      </c>
      <c r="D482" t="s">
        <v>119</v>
      </c>
      <c r="E482" t="s">
        <v>62</v>
      </c>
      <c r="F482" s="36">
        <v>667</v>
      </c>
      <c r="G482" s="16" t="str">
        <f>HYPERLINK("#'Data'!A3181", "Households reporting primary income sources over the last 30 days, by type of income source broken down by age of adults in the households on the admi...")</f>
        <v>Households reporting primary income sources over the last 30 days, by type of income source broken down by age of adults in the households on the admi...</v>
      </c>
    </row>
    <row r="483" spans="3:7" x14ac:dyDescent="0.35">
      <c r="C483" t="s">
        <v>110</v>
      </c>
      <c r="D483" t="s">
        <v>119</v>
      </c>
      <c r="E483" t="s">
        <v>76</v>
      </c>
      <c r="F483" s="36">
        <v>668</v>
      </c>
      <c r="G483" s="16" t="str">
        <f>HYPERLINK("#'Data'!A3188", "Households reporting primary income sources over the last 30 days, by type of income source broken down by households with at least one child (&lt;18 y.o...")</f>
        <v>Households reporting primary income sources over the last 30 days, by type of income source broken down by households with at least one child (&lt;18 y.o...</v>
      </c>
    </row>
    <row r="484" spans="3:7" x14ac:dyDescent="0.35">
      <c r="C484" t="s">
        <v>110</v>
      </c>
      <c r="D484" t="s">
        <v>119</v>
      </c>
      <c r="E484" t="s">
        <v>63</v>
      </c>
      <c r="F484" s="36">
        <v>669</v>
      </c>
      <c r="G484" s="16" t="str">
        <f>HYPERLINK("#'Data'!A3194", "Households reporting primary income sources over the last 30 days, by type of income source broken down by displacement status of head of household on...")</f>
        <v>Households reporting primary income sources over the last 30 days, by type of income source broken down by displacement status of head of household on...</v>
      </c>
    </row>
    <row r="485" spans="3:7" x14ac:dyDescent="0.35">
      <c r="C485" t="s">
        <v>110</v>
      </c>
      <c r="D485" t="s">
        <v>119</v>
      </c>
      <c r="E485" t="s">
        <v>64</v>
      </c>
      <c r="F485" s="36">
        <v>670</v>
      </c>
      <c r="G485" s="16" t="str">
        <f>HYPERLINK("#'Data'!A3203", "Households reporting primary income sources over the last 30 days, by type of income source broken down by IDP household on the admin of overall perc")</f>
        <v>Households reporting primary income sources over the last 30 days, by type of income source broken down by IDP household on the admin of overall perc</v>
      </c>
    </row>
    <row r="486" spans="3:7" x14ac:dyDescent="0.35">
      <c r="C486" t="s">
        <v>110</v>
      </c>
      <c r="D486" t="s">
        <v>119</v>
      </c>
      <c r="E486" t="s">
        <v>65</v>
      </c>
      <c r="F486" s="36">
        <v>671</v>
      </c>
      <c r="G486" s="16" t="str">
        <f>HYPERLINK("#'Data'!A3209", "Households reporting primary income sources over the last 30 days, by type of income source broken down by proximity to frontline/border with Russian ...")</f>
        <v>Households reporting primary income sources over the last 30 days, by type of income source broken down by proximity to frontline/border with Russian ...</v>
      </c>
    </row>
    <row r="487" spans="3:7" x14ac:dyDescent="0.35">
      <c r="C487" t="s">
        <v>110</v>
      </c>
      <c r="D487" t="s">
        <v>119</v>
      </c>
      <c r="E487" t="s">
        <v>77</v>
      </c>
      <c r="F487" s="36">
        <v>672</v>
      </c>
      <c r="G487" s="16" t="str">
        <f>HYPERLINK("#'Data'!A3216", "Households reporting primary income sources over the last 30 days, by type of income source broken down by caregiving status  on the admin of overall ...")</f>
        <v>Households reporting primary income sources over the last 30 days, by type of income source broken down by caregiving status  on the admin of overall ...</v>
      </c>
    </row>
    <row r="488" spans="3:7" x14ac:dyDescent="0.35">
      <c r="C488" t="s">
        <v>110</v>
      </c>
      <c r="D488" t="s">
        <v>120</v>
      </c>
      <c r="E488" t="s">
        <v>36</v>
      </c>
      <c r="F488" s="36">
        <v>673</v>
      </c>
      <c r="G488" s="16" t="str">
        <f>HYPERLINK("#'Data'!A3224", "Household income per capita over the 30 days prior to data collection, by types of income source ")</f>
        <v xml:space="preserve">Household income per capita over the 30 days prior to data collection, by types of income source </v>
      </c>
    </row>
    <row r="489" spans="3:7" x14ac:dyDescent="0.35">
      <c r="C489" t="s">
        <v>110</v>
      </c>
      <c r="D489" t="s">
        <v>120</v>
      </c>
      <c r="E489" t="s">
        <v>57</v>
      </c>
      <c r="F489" s="36">
        <v>687</v>
      </c>
      <c r="G489" s="16" t="str">
        <f>HYPERLINK("#'Data'!A3229", "Household income per capita over the 30 days prior to data collection, by types of income source by households with at least one member with a reporte...")</f>
        <v>Household income per capita over the 30 days prior to data collection, by types of income source by households with at least one member with a reporte...</v>
      </c>
    </row>
    <row r="490" spans="3:7" x14ac:dyDescent="0.35">
      <c r="C490" t="s">
        <v>110</v>
      </c>
      <c r="D490" t="s">
        <v>120</v>
      </c>
      <c r="E490" t="s">
        <v>58</v>
      </c>
      <c r="F490" s="36">
        <v>701</v>
      </c>
      <c r="G490" s="16" t="str">
        <f>HYPERLINK("#'Data'!A3235", "Household income per capita over the 30 days prior to data collection, by types of income source by urbanity ")</f>
        <v xml:space="preserve">Household income per capita over the 30 days prior to data collection, by types of income source by urbanity </v>
      </c>
    </row>
    <row r="491" spans="3:7" x14ac:dyDescent="0.35">
      <c r="C491" t="s">
        <v>110</v>
      </c>
      <c r="D491" t="s">
        <v>120</v>
      </c>
      <c r="E491" t="s">
        <v>59</v>
      </c>
      <c r="F491" s="36">
        <v>715</v>
      </c>
      <c r="G491" s="16" t="str">
        <f>HYPERLINK("#'Data'!A3241", "Household income per capita over the 30 days prior to data collection, by types of income source by household size ")</f>
        <v xml:space="preserve">Household income per capita over the 30 days prior to data collection, by types of income source by household size </v>
      </c>
    </row>
    <row r="492" spans="3:7" x14ac:dyDescent="0.35">
      <c r="C492" t="s">
        <v>110</v>
      </c>
      <c r="D492" t="s">
        <v>120</v>
      </c>
      <c r="E492" t="s">
        <v>61</v>
      </c>
      <c r="F492" s="36">
        <v>729</v>
      </c>
      <c r="G492" s="16" t="str">
        <f>HYPERLINK("#'Data'!A3248", "Household income per capita over the 30 days prior to data collection, by types of income source by gender of head of household ")</f>
        <v xml:space="preserve">Household income per capita over the 30 days prior to data collection, by types of income source by gender of head of household </v>
      </c>
    </row>
    <row r="493" spans="3:7" x14ac:dyDescent="0.35">
      <c r="C493" t="s">
        <v>110</v>
      </c>
      <c r="D493" t="s">
        <v>120</v>
      </c>
      <c r="E493" t="s">
        <v>62</v>
      </c>
      <c r="F493" s="36">
        <v>743</v>
      </c>
      <c r="G493" s="16" t="str">
        <f>HYPERLINK("#'Data'!A3256", "Household income per capita over the 30 days prior to data collection, by types of income source by age of adults in the households ")</f>
        <v xml:space="preserve">Household income per capita over the 30 days prior to data collection, by types of income source by age of adults in the households </v>
      </c>
    </row>
    <row r="494" spans="3:7" x14ac:dyDescent="0.35">
      <c r="C494" t="s">
        <v>110</v>
      </c>
      <c r="D494" t="s">
        <v>120</v>
      </c>
      <c r="E494" t="s">
        <v>76</v>
      </c>
      <c r="F494" s="36">
        <v>757</v>
      </c>
      <c r="G494" s="16" t="str">
        <f>HYPERLINK("#'Data'!A3263", "Household income per capita over the 30 days prior to data collection, by types of income source by households with at least one child (&lt;18 y.o.) ")</f>
        <v xml:space="preserve">Household income per capita over the 30 days prior to data collection, by types of income source by households with at least one child (&lt;18 y.o.) </v>
      </c>
    </row>
    <row r="495" spans="3:7" x14ac:dyDescent="0.35">
      <c r="C495" t="s">
        <v>110</v>
      </c>
      <c r="D495" t="s">
        <v>120</v>
      </c>
      <c r="E495" t="s">
        <v>63</v>
      </c>
      <c r="F495" s="36">
        <v>771</v>
      </c>
      <c r="G495" s="16" t="str">
        <f>HYPERLINK("#'Data'!A3269", "Household income per capita over the 30 days prior to data collection, by types of income source by displacement status of head of household ")</f>
        <v xml:space="preserve">Household income per capita over the 30 days prior to data collection, by types of income source by displacement status of head of household </v>
      </c>
    </row>
    <row r="496" spans="3:7" x14ac:dyDescent="0.35">
      <c r="C496" t="s">
        <v>110</v>
      </c>
      <c r="D496" t="s">
        <v>120</v>
      </c>
      <c r="E496" t="s">
        <v>64</v>
      </c>
      <c r="F496" s="36">
        <v>785</v>
      </c>
      <c r="G496" s="16" t="str">
        <f>HYPERLINK("#'Data'!A3278", "Household income per capita over the 30 days prior to data collection, by types of income source by IDP household ")</f>
        <v xml:space="preserve">Household income per capita over the 30 days prior to data collection, by types of income source by IDP household </v>
      </c>
    </row>
    <row r="497" spans="3:7" x14ac:dyDescent="0.35">
      <c r="C497" t="s">
        <v>110</v>
      </c>
      <c r="D497" t="s">
        <v>120</v>
      </c>
      <c r="E497" t="s">
        <v>65</v>
      </c>
      <c r="F497" s="36">
        <v>799</v>
      </c>
      <c r="G497" s="16" t="str">
        <f>HYPERLINK("#'Data'!A3284", "Household income per capita over the 30 days prior to data collection, by types of income source by proximity to frontline/border with Russian Federat...")</f>
        <v>Household income per capita over the 30 days prior to data collection, by types of income source by proximity to frontline/border with Russian Federat...</v>
      </c>
    </row>
    <row r="498" spans="3:7" x14ac:dyDescent="0.35">
      <c r="C498" t="s">
        <v>110</v>
      </c>
      <c r="D498" t="s">
        <v>120</v>
      </c>
      <c r="E498" t="s">
        <v>77</v>
      </c>
      <c r="F498" s="36">
        <v>813</v>
      </c>
      <c r="G498" s="16" t="str">
        <f>HYPERLINK("#'Data'!A3291", "Household income per capita over the 30 days prior to data collection, by types of income source by caregiving status  ")</f>
        <v xml:space="preserve">Household income per capita over the 30 days prior to data collection, by types of income source by caregiving status  </v>
      </c>
    </row>
    <row r="499" spans="3:7" x14ac:dyDescent="0.35">
      <c r="C499" t="s">
        <v>110</v>
      </c>
      <c r="D499" t="s">
        <v>121</v>
      </c>
      <c r="E499" t="s">
        <v>36</v>
      </c>
      <c r="F499" s="36">
        <v>827</v>
      </c>
      <c r="G499" s="16" t="str">
        <f>HYPERLINK("#'Data'!A3299", "Total monthly income per capita on the admin of overall mean")</f>
        <v>Total monthly income per capita on the admin of overall mean</v>
      </c>
    </row>
    <row r="500" spans="3:7" x14ac:dyDescent="0.35">
      <c r="C500" t="s">
        <v>110</v>
      </c>
      <c r="D500" t="s">
        <v>121</v>
      </c>
      <c r="E500" t="s">
        <v>57</v>
      </c>
      <c r="F500" s="36">
        <v>828</v>
      </c>
      <c r="G500" s="16" t="str">
        <f>HYPERLINK("#'Data'!A3304", "Total monthly income per capita broken down by households with at least one member with a reported and/or registered disability on the admin of overal...")</f>
        <v>Total monthly income per capita broken down by households with at least one member with a reported and/or registered disability on the admin of overal...</v>
      </c>
    </row>
    <row r="501" spans="3:7" x14ac:dyDescent="0.35">
      <c r="C501" t="s">
        <v>110</v>
      </c>
      <c r="D501" t="s">
        <v>121</v>
      </c>
      <c r="E501" t="s">
        <v>58</v>
      </c>
      <c r="F501" s="36">
        <v>829</v>
      </c>
      <c r="G501" s="16" t="str">
        <f>HYPERLINK("#'Data'!A3310", "Total monthly income per capita broken down by urbanity on the admin of overall mean")</f>
        <v>Total monthly income per capita broken down by urbanity on the admin of overall mean</v>
      </c>
    </row>
    <row r="502" spans="3:7" x14ac:dyDescent="0.35">
      <c r="C502" t="s">
        <v>110</v>
      </c>
      <c r="D502" t="s">
        <v>121</v>
      </c>
      <c r="E502" t="s">
        <v>59</v>
      </c>
      <c r="F502" s="36">
        <v>830</v>
      </c>
      <c r="G502" s="16" t="str">
        <f>HYPERLINK("#'Data'!A3316", "Total monthly income per capita broken down by household size on the admin of overall mean")</f>
        <v>Total monthly income per capita broken down by household size on the admin of overall mean</v>
      </c>
    </row>
    <row r="503" spans="3:7" x14ac:dyDescent="0.35">
      <c r="C503" t="s">
        <v>110</v>
      </c>
      <c r="D503" t="s">
        <v>121</v>
      </c>
      <c r="E503" t="s">
        <v>61</v>
      </c>
      <c r="F503" s="36">
        <v>831</v>
      </c>
      <c r="G503" s="16" t="str">
        <f>HYPERLINK("#'Data'!A3323", "Total monthly income per capita broken down by gender of head of household on the admin of overall mean")</f>
        <v>Total monthly income per capita broken down by gender of head of household on the admin of overall mean</v>
      </c>
    </row>
    <row r="504" spans="3:7" x14ac:dyDescent="0.35">
      <c r="C504" t="s">
        <v>110</v>
      </c>
      <c r="D504" t="s">
        <v>121</v>
      </c>
      <c r="E504" t="s">
        <v>62</v>
      </c>
      <c r="F504" s="36">
        <v>832</v>
      </c>
      <c r="G504" s="16" t="str">
        <f>HYPERLINK("#'Data'!A3331", "Total monthly income per capita broken down by age of adults in the households on the admin of overall mean")</f>
        <v>Total monthly income per capita broken down by age of adults in the households on the admin of overall mean</v>
      </c>
    </row>
    <row r="505" spans="3:7" x14ac:dyDescent="0.35">
      <c r="C505" t="s">
        <v>110</v>
      </c>
      <c r="D505" t="s">
        <v>121</v>
      </c>
      <c r="E505" t="s">
        <v>76</v>
      </c>
      <c r="F505" s="36">
        <v>833</v>
      </c>
      <c r="G505" s="16" t="str">
        <f>HYPERLINK("#'Data'!A3338", "Total monthly income per capita broken down by households with at least one child (&lt;18 y.o.) on the admin of overall mean")</f>
        <v>Total monthly income per capita broken down by households with at least one child (&lt;18 y.o.) on the admin of overall mean</v>
      </c>
    </row>
    <row r="506" spans="3:7" x14ac:dyDescent="0.35">
      <c r="C506" t="s">
        <v>110</v>
      </c>
      <c r="D506" t="s">
        <v>121</v>
      </c>
      <c r="E506" t="s">
        <v>63</v>
      </c>
      <c r="F506" s="36">
        <v>834</v>
      </c>
      <c r="G506" s="16" t="str">
        <f>HYPERLINK("#'Data'!A3344", "Total monthly income per capita broken down by displacement status of head of household on the admin of overall mean")</f>
        <v>Total monthly income per capita broken down by displacement status of head of household on the admin of overall mean</v>
      </c>
    </row>
    <row r="507" spans="3:7" x14ac:dyDescent="0.35">
      <c r="C507" t="s">
        <v>110</v>
      </c>
      <c r="D507" t="s">
        <v>121</v>
      </c>
      <c r="E507" t="s">
        <v>64</v>
      </c>
      <c r="F507" s="36">
        <v>835</v>
      </c>
      <c r="G507" s="16" t="str">
        <f>HYPERLINK("#'Data'!A3353", "Total monthly income per capita broken down by IDP household on the admin of overall mean")</f>
        <v>Total monthly income per capita broken down by IDP household on the admin of overall mean</v>
      </c>
    </row>
    <row r="508" spans="3:7" x14ac:dyDescent="0.35">
      <c r="C508" t="s">
        <v>110</v>
      </c>
      <c r="D508" t="s">
        <v>121</v>
      </c>
      <c r="E508" t="s">
        <v>65</v>
      </c>
      <c r="F508" s="36">
        <v>836</v>
      </c>
      <c r="G508" s="16" t="str">
        <f>HYPERLINK("#'Data'!A3359", "Total monthly income per capita broken down by proximity to frontline/border with Russian Federation on the admin of overall mean")</f>
        <v>Total monthly income per capita broken down by proximity to frontline/border with Russian Federation on the admin of overall mean</v>
      </c>
    </row>
    <row r="509" spans="3:7" x14ac:dyDescent="0.35">
      <c r="C509" t="s">
        <v>110</v>
      </c>
      <c r="D509" t="s">
        <v>121</v>
      </c>
      <c r="E509" t="s">
        <v>77</v>
      </c>
      <c r="F509" s="36">
        <v>837</v>
      </c>
      <c r="G509" s="16" t="str">
        <f>HYPERLINK("#'Data'!A3366", "Total monthly income per capita broken down by caregiving status  on the admin of overall mean")</f>
        <v>Total monthly income per capita broken down by caregiving status  on the admin of overall mean</v>
      </c>
    </row>
    <row r="510" spans="3:7" x14ac:dyDescent="0.35">
      <c r="C510" t="s">
        <v>110</v>
      </c>
      <c r="D510" t="s">
        <v>122</v>
      </c>
      <c r="E510" t="s">
        <v>36</v>
      </c>
      <c r="F510" s="36">
        <v>838</v>
      </c>
      <c r="G510" s="16" t="str">
        <f>HYPERLINK("#'Data'!A3374", "Households receiving income from remittances/family and friends in Ukraine/community members, by regularity on the admin of overall perc")</f>
        <v>Households receiving income from remittances/family and friends in Ukraine/community members, by regularity on the admin of overall perc</v>
      </c>
    </row>
    <row r="511" spans="3:7" x14ac:dyDescent="0.35">
      <c r="C511" t="s">
        <v>110</v>
      </c>
      <c r="D511" t="s">
        <v>122</v>
      </c>
      <c r="E511" t="s">
        <v>57</v>
      </c>
      <c r="F511" s="36">
        <v>839</v>
      </c>
      <c r="G511" s="16" t="str">
        <f>HYPERLINK("#'Data'!A3379", "Households receiving income from remittances/family and friends in Ukraine/community members, by regularity broken down by households with at least on...")</f>
        <v>Households receiving income from remittances/family and friends in Ukraine/community members, by regularity broken down by households with at least on...</v>
      </c>
    </row>
    <row r="512" spans="3:7" x14ac:dyDescent="0.35">
      <c r="C512" t="s">
        <v>110</v>
      </c>
      <c r="D512" t="s">
        <v>122</v>
      </c>
      <c r="E512" t="s">
        <v>58</v>
      </c>
      <c r="F512" s="36">
        <v>840</v>
      </c>
      <c r="G512" s="16" t="str">
        <f>HYPERLINK("#'Data'!A3385", "Households receiving income from remittances/family and friends in Ukraine/community members, by regularity broken down by urbanity on the admin of ov...")</f>
        <v>Households receiving income from remittances/family and friends in Ukraine/community members, by regularity broken down by urbanity on the admin of ov...</v>
      </c>
    </row>
    <row r="513" spans="3:7" x14ac:dyDescent="0.35">
      <c r="C513" t="s">
        <v>110</v>
      </c>
      <c r="D513" t="s">
        <v>122</v>
      </c>
      <c r="E513" t="s">
        <v>59</v>
      </c>
      <c r="F513" s="36">
        <v>841</v>
      </c>
      <c r="G513" s="16" t="str">
        <f>HYPERLINK("#'Data'!A3391", "Households receiving income from remittances/family and friends in Ukraine/community members, by regularity broken down by household size on the admin...")</f>
        <v>Households receiving income from remittances/family and friends in Ukraine/community members, by regularity broken down by household size on the admin...</v>
      </c>
    </row>
    <row r="514" spans="3:7" x14ac:dyDescent="0.35">
      <c r="C514" t="s">
        <v>110</v>
      </c>
      <c r="D514" t="s">
        <v>122</v>
      </c>
      <c r="E514" t="s">
        <v>61</v>
      </c>
      <c r="F514" s="36">
        <v>842</v>
      </c>
      <c r="G514" s="16" t="str">
        <f>HYPERLINK("#'Data'!A3398", "Households receiving income from remittances/family and friends in Ukraine/community members, by regularity broken down by gender of head of household...")</f>
        <v>Households receiving income from remittances/family and friends in Ukraine/community members, by regularity broken down by gender of head of household...</v>
      </c>
    </row>
    <row r="515" spans="3:7" x14ac:dyDescent="0.35">
      <c r="C515" t="s">
        <v>110</v>
      </c>
      <c r="D515" t="s">
        <v>122</v>
      </c>
      <c r="E515" t="s">
        <v>62</v>
      </c>
      <c r="F515" s="36">
        <v>843</v>
      </c>
      <c r="G515" s="16" t="str">
        <f>HYPERLINK("#'Data'!A3405", "Households receiving income from remittances/family and friends in Ukraine/community members, by regularity broken down by age of adults in the househ...")</f>
        <v>Households receiving income from remittances/family and friends in Ukraine/community members, by regularity broken down by age of adults in the househ...</v>
      </c>
    </row>
    <row r="516" spans="3:7" x14ac:dyDescent="0.35">
      <c r="C516" t="s">
        <v>110</v>
      </c>
      <c r="D516" t="s">
        <v>122</v>
      </c>
      <c r="E516" t="s">
        <v>76</v>
      </c>
      <c r="F516" s="36">
        <v>844</v>
      </c>
      <c r="G516" s="16" t="str">
        <f>HYPERLINK("#'Data'!A3412", "Households receiving income from remittances/family and friends in Ukraine/community members, by regularity broken down by households with at least on...")</f>
        <v>Households receiving income from remittances/family and friends in Ukraine/community members, by regularity broken down by households with at least on...</v>
      </c>
    </row>
    <row r="517" spans="3:7" x14ac:dyDescent="0.35">
      <c r="C517" t="s">
        <v>110</v>
      </c>
      <c r="D517" t="s">
        <v>122</v>
      </c>
      <c r="E517" t="s">
        <v>63</v>
      </c>
      <c r="F517" s="36">
        <v>845</v>
      </c>
      <c r="G517" s="16" t="str">
        <f>HYPERLINK("#'Data'!A3418", "Households receiving income from remittances/family and friends in Ukraine/community members, by regularity broken down by displacement status of head...")</f>
        <v>Households receiving income from remittances/family and friends in Ukraine/community members, by regularity broken down by displacement status of head...</v>
      </c>
    </row>
    <row r="518" spans="3:7" x14ac:dyDescent="0.35">
      <c r="C518" t="s">
        <v>110</v>
      </c>
      <c r="D518" t="s">
        <v>122</v>
      </c>
      <c r="E518" t="s">
        <v>64</v>
      </c>
      <c r="F518" s="36">
        <v>846</v>
      </c>
      <c r="G518" s="16" t="str">
        <f>HYPERLINK("#'Data'!A3427", "Households receiving income from remittances/family and friends in Ukraine/community members, by regularity broken down by IDP household on the admin ...")</f>
        <v>Households receiving income from remittances/family and friends in Ukraine/community members, by regularity broken down by IDP household on the admin ...</v>
      </c>
    </row>
    <row r="519" spans="3:7" x14ac:dyDescent="0.35">
      <c r="C519" t="s">
        <v>110</v>
      </c>
      <c r="D519" t="s">
        <v>122</v>
      </c>
      <c r="E519" t="s">
        <v>65</v>
      </c>
      <c r="F519" s="36">
        <v>847</v>
      </c>
      <c r="G519" s="16" t="str">
        <f>HYPERLINK("#'Data'!A3433", "Households receiving income from remittances/family and friends in Ukraine/community members, by regularity broken down by proximity to frontline/bord...")</f>
        <v>Households receiving income from remittances/family and friends in Ukraine/community members, by regularity broken down by proximity to frontline/bord...</v>
      </c>
    </row>
    <row r="520" spans="3:7" x14ac:dyDescent="0.35">
      <c r="C520" t="s">
        <v>110</v>
      </c>
      <c r="D520" t="s">
        <v>122</v>
      </c>
      <c r="E520" t="s">
        <v>77</v>
      </c>
      <c r="F520" s="36">
        <v>848</v>
      </c>
      <c r="G520" s="16" t="str">
        <f>HYPERLINK("#'Data'!A3440", "Households receiving income from remittances/family and friends in Ukraine/community members, by regularity broken down by caregiving status  on the a...")</f>
        <v>Households receiving income from remittances/family and friends in Ukraine/community members, by regularity broken down by caregiving status  on the a...</v>
      </c>
    </row>
    <row r="521" spans="3:7" x14ac:dyDescent="0.35">
      <c r="C521" t="s">
        <v>110</v>
      </c>
      <c r="D521" t="s">
        <v>123</v>
      </c>
      <c r="E521" t="s">
        <v>36</v>
      </c>
      <c r="F521" s="36">
        <v>849</v>
      </c>
      <c r="G521" s="16" t="str">
        <f>HYPERLINK("#'Data'!A3448", "Percentage of households who have become indebted since 2024 on the admin of overall perc")</f>
        <v>Percentage of households who have become indebted since 2024 on the admin of overall perc</v>
      </c>
    </row>
    <row r="522" spans="3:7" x14ac:dyDescent="0.35">
      <c r="C522" t="s">
        <v>110</v>
      </c>
      <c r="D522" t="s">
        <v>123</v>
      </c>
      <c r="E522" t="s">
        <v>57</v>
      </c>
      <c r="F522" s="36">
        <v>850</v>
      </c>
      <c r="G522" s="16" t="str">
        <f>HYPERLINK("#'Data'!A3453", "Percentage of households who have become indebted since 2024 broken down by households with at least one member with a reported and/or registered disa...")</f>
        <v>Percentage of households who have become indebted since 2024 broken down by households with at least one member with a reported and/or registered disa...</v>
      </c>
    </row>
    <row r="523" spans="3:7" x14ac:dyDescent="0.35">
      <c r="C523" t="s">
        <v>110</v>
      </c>
      <c r="D523" t="s">
        <v>123</v>
      </c>
      <c r="E523" t="s">
        <v>58</v>
      </c>
      <c r="F523" s="36">
        <v>851</v>
      </c>
      <c r="G523" s="16" t="str">
        <f>HYPERLINK("#'Data'!A3459", "Percentage of households who have become indebted since 2024 broken down by urbanity on the admin of overall perc")</f>
        <v>Percentage of households who have become indebted since 2024 broken down by urbanity on the admin of overall perc</v>
      </c>
    </row>
    <row r="524" spans="3:7" x14ac:dyDescent="0.35">
      <c r="C524" t="s">
        <v>110</v>
      </c>
      <c r="D524" t="s">
        <v>123</v>
      </c>
      <c r="E524" t="s">
        <v>59</v>
      </c>
      <c r="F524" s="36">
        <v>852</v>
      </c>
      <c r="G524" s="16" t="str">
        <f>HYPERLINK("#'Data'!A3465", "Percentage of households who have become indebted since 2024 broken down by household size on the admin of overall perc")</f>
        <v>Percentage of households who have become indebted since 2024 broken down by household size on the admin of overall perc</v>
      </c>
    </row>
    <row r="525" spans="3:7" x14ac:dyDescent="0.35">
      <c r="C525" t="s">
        <v>110</v>
      </c>
      <c r="D525" t="s">
        <v>123</v>
      </c>
      <c r="E525" t="s">
        <v>60</v>
      </c>
      <c r="F525" s="36">
        <v>853</v>
      </c>
      <c r="G525" s="16" t="str">
        <f>HYPERLINK("#'Data'!A3472", "Percentage of households who have become indebted since 2024 broken down by income per capita (quartiles) on the admin of overall perc")</f>
        <v>Percentage of households who have become indebted since 2024 broken down by income per capita (quartiles) on the admin of overall perc</v>
      </c>
    </row>
    <row r="526" spans="3:7" x14ac:dyDescent="0.35">
      <c r="C526" t="s">
        <v>110</v>
      </c>
      <c r="D526" t="s">
        <v>123</v>
      </c>
      <c r="E526" t="s">
        <v>61</v>
      </c>
      <c r="F526" s="36">
        <v>854</v>
      </c>
      <c r="G526" s="16" t="str">
        <f>HYPERLINK("#'Data'!A3480", "Percentage of households who have become indebted since 2024 broken down by gender of head of household on the admin of overall perc")</f>
        <v>Percentage of households who have become indebted since 2024 broken down by gender of head of household on the admin of overall perc</v>
      </c>
    </row>
    <row r="527" spans="3:7" x14ac:dyDescent="0.35">
      <c r="C527" t="s">
        <v>110</v>
      </c>
      <c r="D527" t="s">
        <v>123</v>
      </c>
      <c r="E527" t="s">
        <v>62</v>
      </c>
      <c r="F527" s="36">
        <v>855</v>
      </c>
      <c r="G527" s="16" t="str">
        <f>HYPERLINK("#'Data'!A3488", "Percentage of households who have become indebted since 2024 broken down by age of adults in the households on the admin of overall perc")</f>
        <v>Percentage of households who have become indebted since 2024 broken down by age of adults in the households on the admin of overall perc</v>
      </c>
    </row>
    <row r="528" spans="3:7" x14ac:dyDescent="0.35">
      <c r="C528" t="s">
        <v>110</v>
      </c>
      <c r="D528" t="s">
        <v>123</v>
      </c>
      <c r="E528" t="s">
        <v>76</v>
      </c>
      <c r="F528" s="36">
        <v>856</v>
      </c>
      <c r="G528" s="16" t="str">
        <f>HYPERLINK("#'Data'!A3495", "Percentage of households who have become indebted since 2024 broken down by households with at least one child (&lt;18 y.o.) on the admin of overall perc")</f>
        <v>Percentage of households who have become indebted since 2024 broken down by households with at least one child (&lt;18 y.o.) on the admin of overall perc</v>
      </c>
    </row>
    <row r="529" spans="3:7" x14ac:dyDescent="0.35">
      <c r="C529" t="s">
        <v>110</v>
      </c>
      <c r="D529" t="s">
        <v>123</v>
      </c>
      <c r="E529" t="s">
        <v>63</v>
      </c>
      <c r="F529" s="36">
        <v>857</v>
      </c>
      <c r="G529" s="16" t="str">
        <f>HYPERLINK("#'Data'!A3501", "Percentage of households who have become indebted since 2024 broken down by displacement status of head of household on the admin of overall perc")</f>
        <v>Percentage of households who have become indebted since 2024 broken down by displacement status of head of household on the admin of overall perc</v>
      </c>
    </row>
    <row r="530" spans="3:7" x14ac:dyDescent="0.35">
      <c r="C530" t="s">
        <v>110</v>
      </c>
      <c r="D530" t="s">
        <v>123</v>
      </c>
      <c r="E530" t="s">
        <v>64</v>
      </c>
      <c r="F530" s="36">
        <v>858</v>
      </c>
      <c r="G530" s="16" t="str">
        <f>HYPERLINK("#'Data'!A3510", "Percentage of households who have become indebted since 2024 broken down by IDP household on the admin of overall perc")</f>
        <v>Percentage of households who have become indebted since 2024 broken down by IDP household on the admin of overall perc</v>
      </c>
    </row>
    <row r="531" spans="3:7" x14ac:dyDescent="0.35">
      <c r="C531" t="s">
        <v>110</v>
      </c>
      <c r="D531" t="s">
        <v>123</v>
      </c>
      <c r="E531" t="s">
        <v>65</v>
      </c>
      <c r="F531" s="36">
        <v>859</v>
      </c>
      <c r="G531" s="16" t="str">
        <f>HYPERLINK("#'Data'!A3516", "Percentage of households who have become indebted since 2024 broken down by proximity to frontline/border with Russian Federation on the admin of over...")</f>
        <v>Percentage of households who have become indebted since 2024 broken down by proximity to frontline/border with Russian Federation on the admin of over...</v>
      </c>
    </row>
    <row r="532" spans="3:7" x14ac:dyDescent="0.35">
      <c r="C532" t="s">
        <v>110</v>
      </c>
      <c r="D532" t="s">
        <v>123</v>
      </c>
      <c r="E532" t="s">
        <v>77</v>
      </c>
      <c r="F532" s="36">
        <v>860</v>
      </c>
      <c r="G532" s="16" t="str">
        <f>HYPERLINK("#'Data'!A3523", "Percentage of households who have become indebted since 2024 broken down by caregiving status  on the admin of overall perc")</f>
        <v>Percentage of households who have become indebted since 2024 broken down by caregiving status  on the admin of overall perc</v>
      </c>
    </row>
    <row r="533" spans="3:7" x14ac:dyDescent="0.35">
      <c r="C533" t="s">
        <v>110</v>
      </c>
      <c r="D533" t="s">
        <v>124</v>
      </c>
      <c r="E533" t="s">
        <v>36</v>
      </c>
      <c r="F533" s="36">
        <v>861</v>
      </c>
      <c r="G533" s="16" t="str">
        <f>HYPERLINK("#'Data'!A3531", "Percentage of households who are currently indebted, by reason on the admin of overall perc")</f>
        <v>Percentage of households who are currently indebted, by reason on the admin of overall perc</v>
      </c>
    </row>
    <row r="534" spans="3:7" x14ac:dyDescent="0.35">
      <c r="C534" t="s">
        <v>110</v>
      </c>
      <c r="D534" t="s">
        <v>124</v>
      </c>
      <c r="E534" t="s">
        <v>57</v>
      </c>
      <c r="F534" s="36">
        <v>862</v>
      </c>
      <c r="G534" s="16" t="str">
        <f>HYPERLINK("#'Data'!A3536", "Percentage of households who are currently indebted, by reason broken down by households with at least one member with a reported and/or registered di...")</f>
        <v>Percentage of households who are currently indebted, by reason broken down by households with at least one member with a reported and/or registered di...</v>
      </c>
    </row>
    <row r="535" spans="3:7" x14ac:dyDescent="0.35">
      <c r="C535" t="s">
        <v>110</v>
      </c>
      <c r="D535" t="s">
        <v>124</v>
      </c>
      <c r="E535" t="s">
        <v>58</v>
      </c>
      <c r="F535" s="36">
        <v>863</v>
      </c>
      <c r="G535" s="16" t="str">
        <f>HYPERLINK("#'Data'!A3542", "Percentage of households who are currently indebted, by reason broken down by urbanity on the admin of overall perc")</f>
        <v>Percentage of households who are currently indebted, by reason broken down by urbanity on the admin of overall perc</v>
      </c>
    </row>
    <row r="536" spans="3:7" x14ac:dyDescent="0.35">
      <c r="C536" t="s">
        <v>110</v>
      </c>
      <c r="D536" t="s">
        <v>124</v>
      </c>
      <c r="E536" t="s">
        <v>59</v>
      </c>
      <c r="F536" s="36">
        <v>864</v>
      </c>
      <c r="G536" s="16" t="str">
        <f>HYPERLINK("#'Data'!A3548", "Percentage of households who are currently indebted, by reason broken down by household size on the admin of overall perc")</f>
        <v>Percentage of households who are currently indebted, by reason broken down by household size on the admin of overall perc</v>
      </c>
    </row>
    <row r="537" spans="3:7" x14ac:dyDescent="0.35">
      <c r="C537" t="s">
        <v>110</v>
      </c>
      <c r="D537" t="s">
        <v>124</v>
      </c>
      <c r="E537" t="s">
        <v>60</v>
      </c>
      <c r="F537" s="36">
        <v>865</v>
      </c>
      <c r="G537" s="16" t="str">
        <f>HYPERLINK("#'Data'!A3555", "Percentage of households who are currently indebted, by reason broken down by income per capita (quartiles) on the admin of overall perc")</f>
        <v>Percentage of households who are currently indebted, by reason broken down by income per capita (quartiles) on the admin of overall perc</v>
      </c>
    </row>
    <row r="538" spans="3:7" x14ac:dyDescent="0.35">
      <c r="C538" t="s">
        <v>110</v>
      </c>
      <c r="D538" t="s">
        <v>124</v>
      </c>
      <c r="E538" t="s">
        <v>61</v>
      </c>
      <c r="F538" s="36">
        <v>866</v>
      </c>
      <c r="G538" s="16" t="str">
        <f>HYPERLINK("#'Data'!A3563", "Percentage of households who are currently indebted, by reason broken down by gender of head of household on the admin of overall perc")</f>
        <v>Percentage of households who are currently indebted, by reason broken down by gender of head of household on the admin of overall perc</v>
      </c>
    </row>
    <row r="539" spans="3:7" x14ac:dyDescent="0.35">
      <c r="C539" t="s">
        <v>110</v>
      </c>
      <c r="D539" t="s">
        <v>124</v>
      </c>
      <c r="E539" t="s">
        <v>62</v>
      </c>
      <c r="F539" s="36">
        <v>867</v>
      </c>
      <c r="G539" s="16" t="str">
        <f>HYPERLINK("#'Data'!A3571", "Percentage of households who are currently indebted, by reason broken down by age of adults in the households on the admin of overall perc")</f>
        <v>Percentage of households who are currently indebted, by reason broken down by age of adults in the households on the admin of overall perc</v>
      </c>
    </row>
    <row r="540" spans="3:7" x14ac:dyDescent="0.35">
      <c r="C540" t="s">
        <v>110</v>
      </c>
      <c r="D540" t="s">
        <v>124</v>
      </c>
      <c r="E540" t="s">
        <v>76</v>
      </c>
      <c r="F540" s="36">
        <v>868</v>
      </c>
      <c r="G540" s="16" t="str">
        <f>HYPERLINK("#'Data'!A3578", "Percentage of households who are currently indebted, by reason broken down by households with at least one child (&lt;18 y.o.) on the admin of overall pe...")</f>
        <v>Percentage of households who are currently indebted, by reason broken down by households with at least one child (&lt;18 y.o.) on the admin of overall pe...</v>
      </c>
    </row>
    <row r="541" spans="3:7" x14ac:dyDescent="0.35">
      <c r="C541" t="s">
        <v>110</v>
      </c>
      <c r="D541" t="s">
        <v>124</v>
      </c>
      <c r="E541" t="s">
        <v>63</v>
      </c>
      <c r="F541" s="36">
        <v>869</v>
      </c>
      <c r="G541" s="16" t="str">
        <f>HYPERLINK("#'Data'!A3584", "Percentage of households who are currently indebted, by reason broken down by displacement status of head of household on the admin of overall perc")</f>
        <v>Percentage of households who are currently indebted, by reason broken down by displacement status of head of household on the admin of overall perc</v>
      </c>
    </row>
    <row r="542" spans="3:7" x14ac:dyDescent="0.35">
      <c r="C542" t="s">
        <v>110</v>
      </c>
      <c r="D542" t="s">
        <v>124</v>
      </c>
      <c r="E542" t="s">
        <v>64</v>
      </c>
      <c r="F542" s="36">
        <v>870</v>
      </c>
      <c r="G542" s="16" t="str">
        <f>HYPERLINK("#'Data'!A3592", "Percentage of households who are currently indebted, by reason broken down by IDP household on the admin of overall perc")</f>
        <v>Percentage of households who are currently indebted, by reason broken down by IDP household on the admin of overall perc</v>
      </c>
    </row>
    <row r="543" spans="3:7" x14ac:dyDescent="0.35">
      <c r="C543" t="s">
        <v>110</v>
      </c>
      <c r="D543" t="s">
        <v>124</v>
      </c>
      <c r="E543" t="s">
        <v>65</v>
      </c>
      <c r="F543" s="36">
        <v>871</v>
      </c>
      <c r="G543" s="16" t="str">
        <f>HYPERLINK("#'Data'!A3598", "Percentage of households who are currently indebted, by reason broken down by proximity to frontline/border with Russian Federation on the admin of ov...")</f>
        <v>Percentage of households who are currently indebted, by reason broken down by proximity to frontline/border with Russian Federation on the admin of ov...</v>
      </c>
    </row>
    <row r="544" spans="3:7" x14ac:dyDescent="0.35">
      <c r="C544" t="s">
        <v>110</v>
      </c>
      <c r="D544" t="s">
        <v>124</v>
      </c>
      <c r="E544" t="s">
        <v>77</v>
      </c>
      <c r="F544" s="36">
        <v>872</v>
      </c>
      <c r="G544" s="16" t="str">
        <f>HYPERLINK("#'Data'!A3605", "Percentage of households who are currently indebted, by reason broken down by caregiving status  on the admin of overall perc")</f>
        <v>Percentage of households who are currently indebted, by reason broken down by caregiving status  on the admin of overall perc</v>
      </c>
    </row>
    <row r="545" spans="3:7" x14ac:dyDescent="0.35">
      <c r="C545" t="s">
        <v>48</v>
      </c>
      <c r="D545" t="s">
        <v>125</v>
      </c>
      <c r="E545" t="s">
        <v>36</v>
      </c>
      <c r="F545" s="36">
        <v>873</v>
      </c>
      <c r="G545" s="16" t="str">
        <f>HYPERLINK("#'Data'!A3613", "Percentage of households earning an income from own production, by challenges experienced on the admin of overall perc")</f>
        <v>Percentage of households earning an income from own production, by challenges experienced on the admin of overall perc</v>
      </c>
    </row>
    <row r="546" spans="3:7" x14ac:dyDescent="0.35">
      <c r="C546" t="s">
        <v>48</v>
      </c>
      <c r="D546" t="s">
        <v>125</v>
      </c>
      <c r="E546" t="s">
        <v>57</v>
      </c>
      <c r="F546" s="36">
        <v>874</v>
      </c>
      <c r="G546" s="16" t="str">
        <f>HYPERLINK("#'Data'!A3618", "Percentage of households earning an income from own production, by challenges experienced broken down by households with at least one member with a re...")</f>
        <v>Percentage of households earning an income from own production, by challenges experienced broken down by households with at least one member with a re...</v>
      </c>
    </row>
    <row r="547" spans="3:7" x14ac:dyDescent="0.35">
      <c r="C547" t="s">
        <v>48</v>
      </c>
      <c r="D547" t="s">
        <v>125</v>
      </c>
      <c r="E547" t="s">
        <v>58</v>
      </c>
      <c r="F547" s="36">
        <v>875</v>
      </c>
      <c r="G547" s="16" t="str">
        <f>HYPERLINK("#'Data'!A3624", "Percentage of households earning an income from own production, by challenges experienced broken down by urbanity on the admin of overall perc")</f>
        <v>Percentage of households earning an income from own production, by challenges experienced broken down by urbanity on the admin of overall perc</v>
      </c>
    </row>
    <row r="548" spans="3:7" x14ac:dyDescent="0.35">
      <c r="C548" t="s">
        <v>48</v>
      </c>
      <c r="D548" t="s">
        <v>125</v>
      </c>
      <c r="E548" t="s">
        <v>59</v>
      </c>
      <c r="F548" s="36">
        <v>876</v>
      </c>
      <c r="G548" s="16" t="str">
        <f>HYPERLINK("#'Data'!A3630", "Percentage of households earning an income from own production, by challenges experienced broken down by household size on the admin of overall perc")</f>
        <v>Percentage of households earning an income from own production, by challenges experienced broken down by household size on the admin of overall perc</v>
      </c>
    </row>
    <row r="549" spans="3:7" x14ac:dyDescent="0.35">
      <c r="C549" t="s">
        <v>48</v>
      </c>
      <c r="D549" t="s">
        <v>125</v>
      </c>
      <c r="E549" t="s">
        <v>60</v>
      </c>
      <c r="F549" s="36">
        <v>877</v>
      </c>
      <c r="G549" s="16" t="str">
        <f>HYPERLINK("#'Data'!A3637", "Percentage of households earning an income from own production, by challenges experienced broken down by income per capita (quartiles) on the admin of...")</f>
        <v>Percentage of households earning an income from own production, by challenges experienced broken down by income per capita (quartiles) on the admin of...</v>
      </c>
    </row>
    <row r="550" spans="3:7" x14ac:dyDescent="0.35">
      <c r="C550" t="s">
        <v>48</v>
      </c>
      <c r="D550" t="s">
        <v>125</v>
      </c>
      <c r="E550" t="s">
        <v>61</v>
      </c>
      <c r="F550" s="36">
        <v>878</v>
      </c>
      <c r="G550" s="16" t="str">
        <f>HYPERLINK("#'Data'!A3645", "Percentage of households earning an income from own production, by challenges experienced broken down by gender of head of household on the admin of o...")</f>
        <v>Percentage of households earning an income from own production, by challenges experienced broken down by gender of head of household on the admin of o...</v>
      </c>
    </row>
    <row r="551" spans="3:7" x14ac:dyDescent="0.35">
      <c r="C551" t="s">
        <v>48</v>
      </c>
      <c r="D551" t="s">
        <v>125</v>
      </c>
      <c r="E551" t="s">
        <v>62</v>
      </c>
      <c r="F551" s="36">
        <v>879</v>
      </c>
      <c r="G551" s="16" t="str">
        <f>HYPERLINK("#'Data'!A3652", "Percentage of households earning an income from own production, by challenges experienced broken down by age of adults in the households on the admin ...")</f>
        <v>Percentage of households earning an income from own production, by challenges experienced broken down by age of adults in the households on the admin ...</v>
      </c>
    </row>
    <row r="552" spans="3:7" x14ac:dyDescent="0.35">
      <c r="C552" t="s">
        <v>48</v>
      </c>
      <c r="D552" t="s">
        <v>125</v>
      </c>
      <c r="E552" t="s">
        <v>76</v>
      </c>
      <c r="F552" s="36">
        <v>880</v>
      </c>
      <c r="G552" s="16" t="str">
        <f>HYPERLINK("#'Data'!A3659", "Percentage of households earning an income from own production, by challenges experienced broken down by households with at least one child (&lt;18 y.o.)...")</f>
        <v>Percentage of households earning an income from own production, by challenges experienced broken down by households with at least one child (&lt;18 y.o.)...</v>
      </c>
    </row>
    <row r="553" spans="3:7" x14ac:dyDescent="0.35">
      <c r="C553" t="s">
        <v>48</v>
      </c>
      <c r="D553" t="s">
        <v>125</v>
      </c>
      <c r="E553" t="s">
        <v>63</v>
      </c>
      <c r="F553" s="36">
        <v>881</v>
      </c>
      <c r="G553" s="16" t="str">
        <f>HYPERLINK("#'Data'!A3665", "Percentage of households earning an income from own production, by challenges experienced broken down by displacement status of head of household on t...")</f>
        <v>Percentage of households earning an income from own production, by challenges experienced broken down by displacement status of head of household on t...</v>
      </c>
    </row>
    <row r="554" spans="3:7" x14ac:dyDescent="0.35">
      <c r="C554" t="s">
        <v>48</v>
      </c>
      <c r="D554" t="s">
        <v>125</v>
      </c>
      <c r="E554" t="s">
        <v>64</v>
      </c>
      <c r="F554" s="36">
        <v>882</v>
      </c>
      <c r="G554" s="16" t="str">
        <f>HYPERLINK("#'Data'!A3674", "Percentage of households earning an income from own production, by challenges experienced broken down by IDP household on the admin of overall perc")</f>
        <v>Percentage of households earning an income from own production, by challenges experienced broken down by IDP household on the admin of overall perc</v>
      </c>
    </row>
    <row r="555" spans="3:7" x14ac:dyDescent="0.35">
      <c r="C555" t="s">
        <v>48</v>
      </c>
      <c r="D555" t="s">
        <v>125</v>
      </c>
      <c r="E555" t="s">
        <v>65</v>
      </c>
      <c r="F555" s="36">
        <v>883</v>
      </c>
      <c r="G555" s="16" t="str">
        <f>HYPERLINK("#'Data'!A3680", "Percentage of households earning an income from own production, by challenges experienced broken down by proximity to frontline/border with Russian Fe...")</f>
        <v>Percentage of households earning an income from own production, by challenges experienced broken down by proximity to frontline/border with Russian Fe...</v>
      </c>
    </row>
    <row r="556" spans="3:7" x14ac:dyDescent="0.35">
      <c r="C556" t="s">
        <v>48</v>
      </c>
      <c r="D556" t="s">
        <v>125</v>
      </c>
      <c r="E556" t="s">
        <v>77</v>
      </c>
      <c r="F556" s="36">
        <v>884</v>
      </c>
      <c r="G556" s="16" t="str">
        <f>HYPERLINK("#'Data'!A3687", "Percentage of households earning an income from own production, by challenges experienced broken down by caregiving status  on the admin of overall pe...")</f>
        <v>Percentage of households earning an income from own production, by challenges experienced broken down by caregiving status  on the admin of overall pe...</v>
      </c>
    </row>
    <row r="557" spans="3:7" x14ac:dyDescent="0.35">
      <c r="C557" t="s">
        <v>48</v>
      </c>
      <c r="D557" t="s">
        <v>126</v>
      </c>
      <c r="E557" t="s">
        <v>36</v>
      </c>
      <c r="F557" s="36">
        <v>885</v>
      </c>
      <c r="G557" s="16" t="str">
        <f>HYPERLINK("#'Data'!A3694", "Households adopting Livelihood Coping Strategies, by strategy ")</f>
        <v xml:space="preserve">Households adopting Livelihood Coping Strategies, by strategy </v>
      </c>
    </row>
    <row r="558" spans="3:7" x14ac:dyDescent="0.35">
      <c r="C558" t="s">
        <v>48</v>
      </c>
      <c r="D558" t="s">
        <v>127</v>
      </c>
      <c r="E558" t="s">
        <v>36</v>
      </c>
      <c r="F558" s="36">
        <v>895</v>
      </c>
      <c r="G558" s="16" t="str">
        <f>HYPERLINK("#'Data'!A3705", "Households using Livelihood Coping Strategies, by main reason on the admin of overall perc")</f>
        <v>Households using Livelihood Coping Strategies, by main reason on the admin of overall perc</v>
      </c>
    </row>
    <row r="559" spans="3:7" x14ac:dyDescent="0.35">
      <c r="C559" t="s">
        <v>48</v>
      </c>
      <c r="D559" t="s">
        <v>126</v>
      </c>
      <c r="E559" t="s">
        <v>57</v>
      </c>
      <c r="F559" s="36">
        <v>896</v>
      </c>
      <c r="G559" s="16" t="str">
        <f>HYPERLINK("#'Data'!A3710", "Households adopting Livelihood Coping Strategies, by strategy by households with at least one member with a reported and/or registered disability ")</f>
        <v xml:space="preserve">Households adopting Livelihood Coping Strategies, by strategy by households with at least one member with a reported and/or registered disability </v>
      </c>
    </row>
    <row r="560" spans="3:7" x14ac:dyDescent="0.35">
      <c r="C560" t="s">
        <v>48</v>
      </c>
      <c r="D560" t="s">
        <v>127</v>
      </c>
      <c r="E560" t="s">
        <v>57</v>
      </c>
      <c r="F560" s="36">
        <v>906</v>
      </c>
      <c r="G560" s="16" t="str">
        <f>HYPERLINK("#'Data'!A3725", "Households using Livelihood Coping Strategies, by main reason broken down by households with at least one member with a reported and/or registered dis...")</f>
        <v>Households using Livelihood Coping Strategies, by main reason broken down by households with at least one member with a reported and/or registered dis...</v>
      </c>
    </row>
    <row r="561" spans="3:7" x14ac:dyDescent="0.35">
      <c r="C561" t="s">
        <v>48</v>
      </c>
      <c r="D561" t="s">
        <v>126</v>
      </c>
      <c r="E561" t="s">
        <v>58</v>
      </c>
      <c r="F561" s="36">
        <v>907</v>
      </c>
      <c r="G561" s="16" t="str">
        <f>HYPERLINK("#'Data'!A3731", "Households adopting Livelihood Coping Strategies, by strategy by urbanity ")</f>
        <v xml:space="preserve">Households adopting Livelihood Coping Strategies, by strategy by urbanity </v>
      </c>
    </row>
    <row r="562" spans="3:7" x14ac:dyDescent="0.35">
      <c r="C562" t="s">
        <v>48</v>
      </c>
      <c r="D562" t="s">
        <v>127</v>
      </c>
      <c r="E562" t="s">
        <v>58</v>
      </c>
      <c r="F562" s="36">
        <v>917</v>
      </c>
      <c r="G562" s="16" t="str">
        <f>HYPERLINK("#'Data'!A3746", "Households using Livelihood Coping Strategies, by main reason broken down by urbanity on the admin of overall perc")</f>
        <v>Households using Livelihood Coping Strategies, by main reason broken down by urbanity on the admin of overall perc</v>
      </c>
    </row>
    <row r="563" spans="3:7" x14ac:dyDescent="0.35">
      <c r="C563" t="s">
        <v>48</v>
      </c>
      <c r="D563" t="s">
        <v>126</v>
      </c>
      <c r="E563" t="s">
        <v>59</v>
      </c>
      <c r="F563" s="36">
        <v>918</v>
      </c>
      <c r="G563" s="16" t="str">
        <f>HYPERLINK("#'Data'!A3752", "Households adopting Livelihood Coping Strategies, by strategy by household size ")</f>
        <v xml:space="preserve">Households adopting Livelihood Coping Strategies, by strategy by household size </v>
      </c>
    </row>
    <row r="564" spans="3:7" x14ac:dyDescent="0.35">
      <c r="C564" t="s">
        <v>48</v>
      </c>
      <c r="D564" t="s">
        <v>127</v>
      </c>
      <c r="E564" t="s">
        <v>59</v>
      </c>
      <c r="F564" s="36">
        <v>928</v>
      </c>
      <c r="G564" s="16" t="str">
        <f>HYPERLINK("#'Data'!A3771", "Households using Livelihood Coping Strategies, by main reason broken down by household size on the admin of overall perc")</f>
        <v>Households using Livelihood Coping Strategies, by main reason broken down by household size on the admin of overall perc</v>
      </c>
    </row>
    <row r="565" spans="3:7" x14ac:dyDescent="0.35">
      <c r="C565" t="s">
        <v>48</v>
      </c>
      <c r="D565" t="s">
        <v>126</v>
      </c>
      <c r="E565" t="s">
        <v>60</v>
      </c>
      <c r="F565" s="36">
        <v>929</v>
      </c>
      <c r="G565" s="16" t="str">
        <f>HYPERLINK("#'Data'!A3778", "Households adopting Livelihood Coping Strategies, by strategy by income per capita (quartiles) ")</f>
        <v xml:space="preserve">Households adopting Livelihood Coping Strategies, by strategy by income per capita (quartiles) </v>
      </c>
    </row>
    <row r="566" spans="3:7" x14ac:dyDescent="0.35">
      <c r="C566" t="s">
        <v>48</v>
      </c>
      <c r="D566" t="s">
        <v>127</v>
      </c>
      <c r="E566" t="s">
        <v>60</v>
      </c>
      <c r="F566" s="36">
        <v>939</v>
      </c>
      <c r="G566" s="16" t="str">
        <f>HYPERLINK("#'Data'!A3801", "Households using Livelihood Coping Strategies, by main reason broken down by income per capita (quartiles) on the admin of overall perc")</f>
        <v>Households using Livelihood Coping Strategies, by main reason broken down by income per capita (quartiles) on the admin of overall perc</v>
      </c>
    </row>
    <row r="567" spans="3:7" x14ac:dyDescent="0.35">
      <c r="C567" t="s">
        <v>48</v>
      </c>
      <c r="D567" t="s">
        <v>126</v>
      </c>
      <c r="E567" t="s">
        <v>61</v>
      </c>
      <c r="F567" s="36">
        <v>940</v>
      </c>
      <c r="G567" s="16" t="str">
        <f>HYPERLINK("#'Data'!A3809", "Households adopting Livelihood Coping Strategies, by strategy by gender of head of household ")</f>
        <v xml:space="preserve">Households adopting Livelihood Coping Strategies, by strategy by gender of head of household </v>
      </c>
    </row>
    <row r="568" spans="3:7" x14ac:dyDescent="0.35">
      <c r="C568" t="s">
        <v>48</v>
      </c>
      <c r="D568" t="s">
        <v>127</v>
      </c>
      <c r="E568" t="s">
        <v>61</v>
      </c>
      <c r="F568" s="36">
        <v>950</v>
      </c>
      <c r="G568" s="16" t="str">
        <f>HYPERLINK("#'Data'!A3829", "Households using Livelihood Coping Strategies, by main reason broken down by gender of head of household on the admin of overall perc")</f>
        <v>Households using Livelihood Coping Strategies, by main reason broken down by gender of head of household on the admin of overall perc</v>
      </c>
    </row>
    <row r="569" spans="3:7" x14ac:dyDescent="0.35">
      <c r="C569" t="s">
        <v>48</v>
      </c>
      <c r="D569" t="s">
        <v>126</v>
      </c>
      <c r="E569" t="s">
        <v>62</v>
      </c>
      <c r="F569" s="36">
        <v>951</v>
      </c>
      <c r="G569" s="16" t="str">
        <f>HYPERLINK("#'Data'!A3837", "Households adopting Livelihood Coping Strategies, by strategy by age of adults in the households ")</f>
        <v xml:space="preserve">Households adopting Livelihood Coping Strategies, by strategy by age of adults in the households </v>
      </c>
    </row>
    <row r="570" spans="3:7" x14ac:dyDescent="0.35">
      <c r="C570" t="s">
        <v>48</v>
      </c>
      <c r="D570" t="s">
        <v>127</v>
      </c>
      <c r="E570" t="s">
        <v>62</v>
      </c>
      <c r="F570" s="36">
        <v>961</v>
      </c>
      <c r="G570" s="16" t="str">
        <f>HYPERLINK("#'Data'!A3856", "Households using Livelihood Coping Strategies, by main reason broken down by age of adults in the households on the admin of overall perc")</f>
        <v>Households using Livelihood Coping Strategies, by main reason broken down by age of adults in the households on the admin of overall perc</v>
      </c>
    </row>
    <row r="571" spans="3:7" x14ac:dyDescent="0.35">
      <c r="C571" t="s">
        <v>48</v>
      </c>
      <c r="D571" t="s">
        <v>126</v>
      </c>
      <c r="E571" t="s">
        <v>76</v>
      </c>
      <c r="F571" s="36">
        <v>962</v>
      </c>
      <c r="G571" s="16" t="str">
        <f>HYPERLINK("#'Data'!A3863", "Households adopting Livelihood Coping Strategies, by strategy by households with at least one child (&lt;18 y.o.) ")</f>
        <v xml:space="preserve">Households adopting Livelihood Coping Strategies, by strategy by households with at least one child (&lt;18 y.o.) </v>
      </c>
    </row>
    <row r="572" spans="3:7" x14ac:dyDescent="0.35">
      <c r="C572" t="s">
        <v>48</v>
      </c>
      <c r="D572" t="s">
        <v>127</v>
      </c>
      <c r="E572" t="s">
        <v>76</v>
      </c>
      <c r="F572" s="36">
        <v>972</v>
      </c>
      <c r="G572" s="16" t="str">
        <f>HYPERLINK("#'Data'!A3878", "Households using Livelihood Coping Strategies, by main reason broken down by households with at least one child (&lt;18 y.o.) on the admin of overall per...")</f>
        <v>Households using Livelihood Coping Strategies, by main reason broken down by households with at least one child (&lt;18 y.o.) on the admin of overall per...</v>
      </c>
    </row>
    <row r="573" spans="3:7" x14ac:dyDescent="0.35">
      <c r="C573" t="s">
        <v>48</v>
      </c>
      <c r="D573" t="s">
        <v>126</v>
      </c>
      <c r="E573" t="s">
        <v>63</v>
      </c>
      <c r="F573" s="36">
        <v>973</v>
      </c>
      <c r="G573" s="16" t="str">
        <f>HYPERLINK("#'Data'!A3884", "Households adopting Livelihood Coping Strategies, by strategy by displacement status of head of household ")</f>
        <v xml:space="preserve">Households adopting Livelihood Coping Strategies, by strategy by displacement status of head of household </v>
      </c>
    </row>
    <row r="574" spans="3:7" x14ac:dyDescent="0.35">
      <c r="C574" t="s">
        <v>48</v>
      </c>
      <c r="D574" t="s">
        <v>127</v>
      </c>
      <c r="E574" t="s">
        <v>63</v>
      </c>
      <c r="F574" s="36">
        <v>983</v>
      </c>
      <c r="G574" s="16" t="str">
        <f>HYPERLINK("#'Data'!A3909", "Households using Livelihood Coping Strategies, by main reason broken down by displacement status of head of household on the admin of overall perc")</f>
        <v>Households using Livelihood Coping Strategies, by main reason broken down by displacement status of head of household on the admin of overall perc</v>
      </c>
    </row>
    <row r="575" spans="3:7" x14ac:dyDescent="0.35">
      <c r="C575" t="s">
        <v>48</v>
      </c>
      <c r="D575" t="s">
        <v>126</v>
      </c>
      <c r="E575" t="s">
        <v>64</v>
      </c>
      <c r="F575" s="36">
        <v>984</v>
      </c>
      <c r="G575" s="16" t="str">
        <f>HYPERLINK("#'Data'!A3918", "Households adopting Livelihood Coping Strategies, by strategy by IDP household ")</f>
        <v xml:space="preserve">Households adopting Livelihood Coping Strategies, by strategy by IDP household </v>
      </c>
    </row>
    <row r="576" spans="3:7" x14ac:dyDescent="0.35">
      <c r="C576" t="s">
        <v>48</v>
      </c>
      <c r="D576" t="s">
        <v>127</v>
      </c>
      <c r="E576" t="s">
        <v>64</v>
      </c>
      <c r="F576" s="36">
        <v>994</v>
      </c>
      <c r="G576" s="16" t="str">
        <f>HYPERLINK("#'Data'!A3933", "Households using Livelihood Coping Strategies, by main reason broken down by IDP household on the admin of overall perc")</f>
        <v>Households using Livelihood Coping Strategies, by main reason broken down by IDP household on the admin of overall perc</v>
      </c>
    </row>
    <row r="577" spans="3:7" x14ac:dyDescent="0.35">
      <c r="C577" t="s">
        <v>48</v>
      </c>
      <c r="D577" t="s">
        <v>126</v>
      </c>
      <c r="E577" t="s">
        <v>65</v>
      </c>
      <c r="F577" s="36">
        <v>995</v>
      </c>
      <c r="G577" s="16" t="str">
        <f>HYPERLINK("#'Data'!A3939", "Households adopting Livelihood Coping Strategies, by strategy by proximity to frontline/border with Russian Federation ")</f>
        <v xml:space="preserve">Households adopting Livelihood Coping Strategies, by strategy by proximity to frontline/border with Russian Federation </v>
      </c>
    </row>
    <row r="578" spans="3:7" x14ac:dyDescent="0.35">
      <c r="C578" t="s">
        <v>48</v>
      </c>
      <c r="D578" t="s">
        <v>127</v>
      </c>
      <c r="E578" t="s">
        <v>65</v>
      </c>
      <c r="F578" s="36">
        <v>1005</v>
      </c>
      <c r="G578" s="16" t="str">
        <f>HYPERLINK("#'Data'!A3958", "Households using Livelihood Coping Strategies, by main reason broken down by proximity to frontline/border with Russian Federation on the admin of ove...")</f>
        <v>Households using Livelihood Coping Strategies, by main reason broken down by proximity to frontline/border with Russian Federation on the admin of ove...</v>
      </c>
    </row>
    <row r="579" spans="3:7" x14ac:dyDescent="0.35">
      <c r="C579" t="s">
        <v>48</v>
      </c>
      <c r="D579" t="s">
        <v>126</v>
      </c>
      <c r="E579" t="s">
        <v>77</v>
      </c>
      <c r="F579" s="36">
        <v>1006</v>
      </c>
      <c r="G579" s="16" t="str">
        <f>HYPERLINK("#'Data'!A3965", "Households adopting Livelihood Coping Strategies, by strategy by caregiving status  ")</f>
        <v xml:space="preserve">Households adopting Livelihood Coping Strategies, by strategy by caregiving status  </v>
      </c>
    </row>
    <row r="580" spans="3:7" x14ac:dyDescent="0.35">
      <c r="C580" t="s">
        <v>48</v>
      </c>
      <c r="D580" t="s">
        <v>127</v>
      </c>
      <c r="E580" t="s">
        <v>77</v>
      </c>
      <c r="F580" s="36">
        <v>1016</v>
      </c>
      <c r="G580" s="16" t="str">
        <f>HYPERLINK("#'Data'!A3987", "Households using Livelihood Coping Strategies, by main reason broken down by caregiving status  on the admin of overall perc")</f>
        <v>Households using Livelihood Coping Strategies, by main reason broken down by caregiving status  on the admin of overall perc</v>
      </c>
    </row>
    <row r="581" spans="3:7" x14ac:dyDescent="0.35">
      <c r="C581" t="s">
        <v>48</v>
      </c>
      <c r="D581" t="s">
        <v>128</v>
      </c>
      <c r="E581" t="s">
        <v>36</v>
      </c>
      <c r="F581" s="36">
        <v>1017</v>
      </c>
      <c r="G581" s="16" t="str">
        <f>HYPERLINK("#'Data'!A3995", "Livelihood Coping Strategy - Essential Needs (LCS-EN) on the admin of overall perc")</f>
        <v>Livelihood Coping Strategy - Essential Needs (LCS-EN) on the admin of overall perc</v>
      </c>
    </row>
    <row r="582" spans="3:7" x14ac:dyDescent="0.35">
      <c r="C582" t="s">
        <v>48</v>
      </c>
      <c r="D582" t="s">
        <v>128</v>
      </c>
      <c r="E582" t="s">
        <v>57</v>
      </c>
      <c r="F582" s="36">
        <v>1018</v>
      </c>
      <c r="G582" s="16" t="str">
        <f>HYPERLINK("#'Data'!A4000", "Livelihood Coping Strategy - Essential Needs (LCS-EN) broken down by households with at least one member with a reported and/or registered disability ...")</f>
        <v>Livelihood Coping Strategy - Essential Needs (LCS-EN) broken down by households with at least one member with a reported and/or registered disability ...</v>
      </c>
    </row>
    <row r="583" spans="3:7" x14ac:dyDescent="0.35">
      <c r="C583" t="s">
        <v>48</v>
      </c>
      <c r="D583" t="s">
        <v>128</v>
      </c>
      <c r="E583" t="s">
        <v>58</v>
      </c>
      <c r="F583" s="36">
        <v>1019</v>
      </c>
      <c r="G583" s="16" t="str">
        <f>HYPERLINK("#'Data'!A4006", "Livelihood Coping Strategy - Essential Needs (LCS-EN) broken down by urbanity on the admin of overall perc")</f>
        <v>Livelihood Coping Strategy - Essential Needs (LCS-EN) broken down by urbanity on the admin of overall perc</v>
      </c>
    </row>
    <row r="584" spans="3:7" x14ac:dyDescent="0.35">
      <c r="C584" t="s">
        <v>48</v>
      </c>
      <c r="D584" t="s">
        <v>128</v>
      </c>
      <c r="E584" t="s">
        <v>59</v>
      </c>
      <c r="F584" s="36">
        <v>1020</v>
      </c>
      <c r="G584" s="16" t="str">
        <f>HYPERLINK("#'Data'!A4012", "Livelihood Coping Strategy - Essential Needs (LCS-EN) broken down by household size on the admin of overall perc")</f>
        <v>Livelihood Coping Strategy - Essential Needs (LCS-EN) broken down by household size on the admin of overall perc</v>
      </c>
    </row>
    <row r="585" spans="3:7" x14ac:dyDescent="0.35">
      <c r="C585" t="s">
        <v>48</v>
      </c>
      <c r="D585" t="s">
        <v>128</v>
      </c>
      <c r="E585" t="s">
        <v>60</v>
      </c>
      <c r="F585" s="36">
        <v>1021</v>
      </c>
      <c r="G585" s="16" t="str">
        <f>HYPERLINK("#'Data'!A4019", "Livelihood Coping Strategy - Essential Needs (LCS-EN) broken down by income per capita (quartiles) on the admin of overall perc")</f>
        <v>Livelihood Coping Strategy - Essential Needs (LCS-EN) broken down by income per capita (quartiles) on the admin of overall perc</v>
      </c>
    </row>
    <row r="586" spans="3:7" x14ac:dyDescent="0.35">
      <c r="C586" t="s">
        <v>48</v>
      </c>
      <c r="D586" t="s">
        <v>128</v>
      </c>
      <c r="E586" t="s">
        <v>61</v>
      </c>
      <c r="F586" s="36">
        <v>1022</v>
      </c>
      <c r="G586" s="16" t="str">
        <f>HYPERLINK("#'Data'!A4027", "Livelihood Coping Strategy - Essential Needs (LCS-EN) broken down by gender of head of household on the admin of overall perc")</f>
        <v>Livelihood Coping Strategy - Essential Needs (LCS-EN) broken down by gender of head of household on the admin of overall perc</v>
      </c>
    </row>
    <row r="587" spans="3:7" x14ac:dyDescent="0.35">
      <c r="C587" t="s">
        <v>48</v>
      </c>
      <c r="D587" t="s">
        <v>128</v>
      </c>
      <c r="E587" t="s">
        <v>62</v>
      </c>
      <c r="F587" s="36">
        <v>1023</v>
      </c>
      <c r="G587" s="16" t="str">
        <f>HYPERLINK("#'Data'!A4035", "Livelihood Coping Strategy - Essential Needs (LCS-EN) broken down by age of adults in the households on the admin of overall perc")</f>
        <v>Livelihood Coping Strategy - Essential Needs (LCS-EN) broken down by age of adults in the households on the admin of overall perc</v>
      </c>
    </row>
    <row r="588" spans="3:7" x14ac:dyDescent="0.35">
      <c r="C588" t="s">
        <v>48</v>
      </c>
      <c r="D588" t="s">
        <v>128</v>
      </c>
      <c r="E588" t="s">
        <v>76</v>
      </c>
      <c r="F588" s="36">
        <v>1024</v>
      </c>
      <c r="G588" s="16" t="str">
        <f>HYPERLINK("#'Data'!A4042", "Livelihood Coping Strategy - Essential Needs (LCS-EN) broken down by households with at least one child (&lt;18 y.o.) on the admin of overall perc")</f>
        <v>Livelihood Coping Strategy - Essential Needs (LCS-EN) broken down by households with at least one child (&lt;18 y.o.) on the admin of overall perc</v>
      </c>
    </row>
    <row r="589" spans="3:7" x14ac:dyDescent="0.35">
      <c r="C589" t="s">
        <v>48</v>
      </c>
      <c r="D589" t="s">
        <v>128</v>
      </c>
      <c r="E589" t="s">
        <v>63</v>
      </c>
      <c r="F589" s="36">
        <v>1025</v>
      </c>
      <c r="G589" s="16" t="str">
        <f>HYPERLINK("#'Data'!A4048", "Livelihood Coping Strategy - Essential Needs (LCS-EN) broken down by displacement status of head of household on the admin of overall perc")</f>
        <v>Livelihood Coping Strategy - Essential Needs (LCS-EN) broken down by displacement status of head of household on the admin of overall perc</v>
      </c>
    </row>
    <row r="590" spans="3:7" x14ac:dyDescent="0.35">
      <c r="C590" t="s">
        <v>48</v>
      </c>
      <c r="D590" t="s">
        <v>128</v>
      </c>
      <c r="E590" t="s">
        <v>64</v>
      </c>
      <c r="F590" s="36">
        <v>1026</v>
      </c>
      <c r="G590" s="16" t="str">
        <f>HYPERLINK("#'Data'!A4057", "Livelihood Coping Strategy - Essential Needs (LCS-EN) broken down by IDP household on the admin of overall perc")</f>
        <v>Livelihood Coping Strategy - Essential Needs (LCS-EN) broken down by IDP household on the admin of overall perc</v>
      </c>
    </row>
    <row r="591" spans="3:7" x14ac:dyDescent="0.35">
      <c r="C591" t="s">
        <v>48</v>
      </c>
      <c r="D591" t="s">
        <v>128</v>
      </c>
      <c r="E591" t="s">
        <v>65</v>
      </c>
      <c r="F591" s="36">
        <v>1027</v>
      </c>
      <c r="G591" s="16" t="str">
        <f>HYPERLINK("#'Data'!A4063", "Livelihood Coping Strategy - Essential Needs (LCS-EN) broken down by proximity to frontline/border with Russian Federation on the admin of overall per...")</f>
        <v>Livelihood Coping Strategy - Essential Needs (LCS-EN) broken down by proximity to frontline/border with Russian Federation on the admin of overall per...</v>
      </c>
    </row>
    <row r="592" spans="3:7" x14ac:dyDescent="0.35">
      <c r="C592" t="s">
        <v>48</v>
      </c>
      <c r="D592" t="s">
        <v>128</v>
      </c>
      <c r="E592" t="s">
        <v>77</v>
      </c>
      <c r="F592" s="36">
        <v>1028</v>
      </c>
      <c r="G592" s="16" t="str">
        <f>HYPERLINK("#'Data'!A4070", "Livelihood Coping Strategy - Essential Needs (LCS-EN) broken down by caregiving status  on the admin of overall perc")</f>
        <v>Livelihood Coping Strategy - Essential Needs (LCS-EN) broken down by caregiving status  on the admin of overall perc</v>
      </c>
    </row>
    <row r="593" spans="3:7" x14ac:dyDescent="0.35">
      <c r="C593" t="s">
        <v>129</v>
      </c>
      <c r="D593" t="s">
        <v>130</v>
      </c>
      <c r="E593" t="s">
        <v>36</v>
      </c>
      <c r="F593" s="36">
        <v>1029</v>
      </c>
      <c r="G593" s="16" t="str">
        <f>HYPERLINK("#'Data'!A4078", "Households exposed to armed violence/artillery shelling in the last 3 months on the admin of overall perc")</f>
        <v>Households exposed to armed violence/artillery shelling in the last 3 months on the admin of overall perc</v>
      </c>
    </row>
    <row r="594" spans="3:7" x14ac:dyDescent="0.35">
      <c r="C594" t="s">
        <v>129</v>
      </c>
      <c r="D594" t="s">
        <v>130</v>
      </c>
      <c r="E594" t="s">
        <v>57</v>
      </c>
      <c r="F594" s="36">
        <v>1030</v>
      </c>
      <c r="G594" s="16" t="str">
        <f>HYPERLINK("#'Data'!A4083", "Households exposed to armed violence/artillery shelling in the last 3 months broken down by households with at least one member with a reported and/or...")</f>
        <v>Households exposed to armed violence/artillery shelling in the last 3 months broken down by households with at least one member with a reported and/or...</v>
      </c>
    </row>
    <row r="595" spans="3:7" x14ac:dyDescent="0.35">
      <c r="C595" t="s">
        <v>129</v>
      </c>
      <c r="D595" t="s">
        <v>130</v>
      </c>
      <c r="E595" t="s">
        <v>58</v>
      </c>
      <c r="F595" s="36">
        <v>1031</v>
      </c>
      <c r="G595" s="16" t="str">
        <f>HYPERLINK("#'Data'!A4089", "Households exposed to armed violence/artillery shelling in the last 3 months broken down by urbanity on the admin of overall perc")</f>
        <v>Households exposed to armed violence/artillery shelling in the last 3 months broken down by urbanity on the admin of overall perc</v>
      </c>
    </row>
    <row r="596" spans="3:7" x14ac:dyDescent="0.35">
      <c r="C596" t="s">
        <v>129</v>
      </c>
      <c r="D596" t="s">
        <v>130</v>
      </c>
      <c r="E596" t="s">
        <v>59</v>
      </c>
      <c r="F596" s="36">
        <v>1032</v>
      </c>
      <c r="G596" s="16" t="str">
        <f>HYPERLINK("#'Data'!A4095", "Households exposed to armed violence/artillery shelling in the last 3 months broken down by household size on the admin of overall perc")</f>
        <v>Households exposed to armed violence/artillery shelling in the last 3 months broken down by household size on the admin of overall perc</v>
      </c>
    </row>
    <row r="597" spans="3:7" x14ac:dyDescent="0.35">
      <c r="C597" t="s">
        <v>129</v>
      </c>
      <c r="D597" t="s">
        <v>130</v>
      </c>
      <c r="E597" t="s">
        <v>60</v>
      </c>
      <c r="F597" s="36">
        <v>1033</v>
      </c>
      <c r="G597" s="16" t="str">
        <f>HYPERLINK("#'Data'!A4102", "Households exposed to armed violence/artillery shelling in the last 3 months broken down by income per capita (quartiles) on the admin of overall perc")</f>
        <v>Households exposed to armed violence/artillery shelling in the last 3 months broken down by income per capita (quartiles) on the admin of overall perc</v>
      </c>
    </row>
    <row r="598" spans="3:7" x14ac:dyDescent="0.35">
      <c r="C598" t="s">
        <v>129</v>
      </c>
      <c r="D598" t="s">
        <v>130</v>
      </c>
      <c r="E598" t="s">
        <v>61</v>
      </c>
      <c r="F598" s="36">
        <v>1034</v>
      </c>
      <c r="G598" s="16" t="str">
        <f>HYPERLINK("#'Data'!A4110", "Households exposed to armed violence/artillery shelling in the last 3 months broken down by gender of head of household on the admin of overall perc")</f>
        <v>Households exposed to armed violence/artillery shelling in the last 3 months broken down by gender of head of household on the admin of overall perc</v>
      </c>
    </row>
    <row r="599" spans="3:7" x14ac:dyDescent="0.35">
      <c r="C599" t="s">
        <v>129</v>
      </c>
      <c r="D599" t="s">
        <v>130</v>
      </c>
      <c r="E599" t="s">
        <v>62</v>
      </c>
      <c r="F599" s="36">
        <v>1035</v>
      </c>
      <c r="G599" s="16" t="str">
        <f>HYPERLINK("#'Data'!A4118", "Households exposed to armed violence/artillery shelling in the last 3 months broken down by age of adults in the households on the admin of overall pe...")</f>
        <v>Households exposed to armed violence/artillery shelling in the last 3 months broken down by age of adults in the households on the admin of overall pe...</v>
      </c>
    </row>
    <row r="600" spans="3:7" x14ac:dyDescent="0.35">
      <c r="C600" t="s">
        <v>129</v>
      </c>
      <c r="D600" t="s">
        <v>130</v>
      </c>
      <c r="E600" t="s">
        <v>76</v>
      </c>
      <c r="F600" s="36">
        <v>1036</v>
      </c>
      <c r="G600" s="16" t="str">
        <f>HYPERLINK("#'Data'!A4125", "Households exposed to armed violence/artillery shelling in the last 3 months broken down by households with at least one child (&lt;18 y.o.) on the admin...")</f>
        <v>Households exposed to armed violence/artillery shelling in the last 3 months broken down by households with at least one child (&lt;18 y.o.) on the admin...</v>
      </c>
    </row>
    <row r="601" spans="3:7" x14ac:dyDescent="0.35">
      <c r="C601" t="s">
        <v>129</v>
      </c>
      <c r="D601" t="s">
        <v>130</v>
      </c>
      <c r="E601" t="s">
        <v>63</v>
      </c>
      <c r="F601" s="36">
        <v>1037</v>
      </c>
      <c r="G601" s="16" t="str">
        <f>HYPERLINK("#'Data'!A4131", "Households exposed to armed violence/artillery shelling in the last 3 months broken down by displacement status of head of household on the admin of o...")</f>
        <v>Households exposed to armed violence/artillery shelling in the last 3 months broken down by displacement status of head of household on the admin of o...</v>
      </c>
    </row>
    <row r="602" spans="3:7" x14ac:dyDescent="0.35">
      <c r="C602" t="s">
        <v>129</v>
      </c>
      <c r="D602" t="s">
        <v>130</v>
      </c>
      <c r="E602" t="s">
        <v>64</v>
      </c>
      <c r="F602" s="36">
        <v>1038</v>
      </c>
      <c r="G602" s="16" t="str">
        <f>HYPERLINK("#'Data'!A4140", "Households exposed to armed violence/artillery shelling in the last 3 months broken down by IDP household on the admin of overall perc")</f>
        <v>Households exposed to armed violence/artillery shelling in the last 3 months broken down by IDP household on the admin of overall perc</v>
      </c>
    </row>
    <row r="603" spans="3:7" x14ac:dyDescent="0.35">
      <c r="C603" t="s">
        <v>129</v>
      </c>
      <c r="D603" t="s">
        <v>130</v>
      </c>
      <c r="E603" t="s">
        <v>65</v>
      </c>
      <c r="F603" s="36">
        <v>1039</v>
      </c>
      <c r="G603" s="16" t="str">
        <f>HYPERLINK("#'Data'!A4146", "Households exposed to armed violence/artillery shelling in the last 3 months broken down by proximity to frontline/border with Russian Federation on t...")</f>
        <v>Households exposed to armed violence/artillery shelling in the last 3 months broken down by proximity to frontline/border with Russian Federation on t...</v>
      </c>
    </row>
    <row r="604" spans="3:7" x14ac:dyDescent="0.35">
      <c r="C604" t="s">
        <v>129</v>
      </c>
      <c r="D604" t="s">
        <v>130</v>
      </c>
      <c r="E604" t="s">
        <v>77</v>
      </c>
      <c r="F604" s="36">
        <v>1040</v>
      </c>
      <c r="G604" s="16" t="str">
        <f>HYPERLINK("#'Data'!A4153", "Households exposed to armed violence/artillery shelling in the last 3 months broken down by caregiving status  on the admin of overall perc")</f>
        <v>Households exposed to armed violence/artillery shelling in the last 3 months broken down by caregiving status  on the admin of overall perc</v>
      </c>
    </row>
    <row r="605" spans="3:7" x14ac:dyDescent="0.35">
      <c r="C605" t="s">
        <v>129</v>
      </c>
      <c r="D605" t="s">
        <v>130</v>
      </c>
      <c r="E605" t="s">
        <v>131</v>
      </c>
      <c r="F605" s="36">
        <v>1041</v>
      </c>
      <c r="G605" s="16" t="str">
        <f>HYPERLINK("#'Data'!A4161", "Households exposed to armed violence/artillery shelling in the last 3 months broken down by gender of respondent on the admin of overall perc")</f>
        <v>Households exposed to armed violence/artillery shelling in the last 3 months broken down by gender of respondent on the admin of overall perc</v>
      </c>
    </row>
    <row r="606" spans="3:7" x14ac:dyDescent="0.35">
      <c r="C606" t="s">
        <v>129</v>
      </c>
      <c r="D606" t="s">
        <v>130</v>
      </c>
      <c r="E606" t="s">
        <v>132</v>
      </c>
      <c r="F606" s="36">
        <v>1042</v>
      </c>
      <c r="G606" s="16" t="str">
        <f>HYPERLINK("#'Data'!A4168", "Households exposed to armed violence/artillery shelling in the last 3 months broken down by age of respondents on the admin of overall perc")</f>
        <v>Households exposed to armed violence/artillery shelling in the last 3 months broken down by age of respondents on the admin of overall perc</v>
      </c>
    </row>
    <row r="607" spans="3:7" x14ac:dyDescent="0.35">
      <c r="C607" t="s">
        <v>129</v>
      </c>
      <c r="D607" t="s">
        <v>130</v>
      </c>
      <c r="E607" t="s">
        <v>133</v>
      </c>
      <c r="F607" s="36">
        <v>1043</v>
      </c>
      <c r="G607" s="16" t="str">
        <f>HYPERLINK("#'Data'!A4176", "Households exposed to armed violence/artillery shelling in the last 3 months broken down by gender and age of respondents on the admin of overall perc")</f>
        <v>Households exposed to armed violence/artillery shelling in the last 3 months broken down by gender and age of respondents on the admin of overall perc</v>
      </c>
    </row>
    <row r="608" spans="3:7" x14ac:dyDescent="0.35">
      <c r="C608" t="s">
        <v>129</v>
      </c>
      <c r="D608" t="s">
        <v>134</v>
      </c>
      <c r="E608" t="s">
        <v>36</v>
      </c>
      <c r="F608" s="36">
        <v>1044</v>
      </c>
      <c r="G608" s="16" t="str">
        <f>HYPERLINK("#'Data'!A4189", "Households exposed to armed violence/artillery shelling in the last 3 months, by frequency  on the admin of overall perc")</f>
        <v>Households exposed to armed violence/artillery shelling in the last 3 months, by frequency  on the admin of overall perc</v>
      </c>
    </row>
    <row r="609" spans="3:7" x14ac:dyDescent="0.35">
      <c r="C609" t="s">
        <v>129</v>
      </c>
      <c r="D609" t="s">
        <v>134</v>
      </c>
      <c r="E609" t="s">
        <v>57</v>
      </c>
      <c r="F609" s="36">
        <v>1045</v>
      </c>
      <c r="G609" s="16" t="str">
        <f>HYPERLINK("#'Data'!A4194", "Households exposed to armed violence/artillery shelling in the last 3 months, by frequency  broken down by households with at least one member with a ...")</f>
        <v>Households exposed to armed violence/artillery shelling in the last 3 months, by frequency  broken down by households with at least one member with a ...</v>
      </c>
    </row>
    <row r="610" spans="3:7" x14ac:dyDescent="0.35">
      <c r="C610" t="s">
        <v>129</v>
      </c>
      <c r="D610" t="s">
        <v>134</v>
      </c>
      <c r="E610" t="s">
        <v>58</v>
      </c>
      <c r="F610" s="36">
        <v>1046</v>
      </c>
      <c r="G610" s="16" t="str">
        <f>HYPERLINK("#'Data'!A4200", "Households exposed to armed violence/artillery shelling in the last 3 months, by frequency  broken down by urbanity on the admin of overall perc")</f>
        <v>Households exposed to armed violence/artillery shelling in the last 3 months, by frequency  broken down by urbanity on the admin of overall perc</v>
      </c>
    </row>
    <row r="611" spans="3:7" x14ac:dyDescent="0.35">
      <c r="C611" t="s">
        <v>129</v>
      </c>
      <c r="D611" t="s">
        <v>134</v>
      </c>
      <c r="E611" t="s">
        <v>59</v>
      </c>
      <c r="F611" s="36">
        <v>1047</v>
      </c>
      <c r="G611" s="16" t="str">
        <f>HYPERLINK("#'Data'!A4206", "Households exposed to armed violence/artillery shelling in the last 3 months, by frequency  broken down by household size on the admin of overall perc")</f>
        <v>Households exposed to armed violence/artillery shelling in the last 3 months, by frequency  broken down by household size on the admin of overall perc</v>
      </c>
    </row>
    <row r="612" spans="3:7" x14ac:dyDescent="0.35">
      <c r="C612" t="s">
        <v>129</v>
      </c>
      <c r="D612" t="s">
        <v>134</v>
      </c>
      <c r="E612" t="s">
        <v>60</v>
      </c>
      <c r="F612" s="36">
        <v>1048</v>
      </c>
      <c r="G612" s="16" t="str">
        <f>HYPERLINK("#'Data'!A4213", "Households exposed to armed violence/artillery shelling in the last 3 months, by frequency  broken down by income per capita (quartiles) on the admin ...")</f>
        <v>Households exposed to armed violence/artillery shelling in the last 3 months, by frequency  broken down by income per capita (quartiles) on the admin ...</v>
      </c>
    </row>
    <row r="613" spans="3:7" x14ac:dyDescent="0.35">
      <c r="C613" t="s">
        <v>129</v>
      </c>
      <c r="D613" t="s">
        <v>134</v>
      </c>
      <c r="E613" t="s">
        <v>61</v>
      </c>
      <c r="F613" s="36">
        <v>1049</v>
      </c>
      <c r="G613" s="16" t="str">
        <f>HYPERLINK("#'Data'!A4221", "Households exposed to armed violence/artillery shelling in the last 3 months, by frequency  broken down by gender of head of household on the admin of...")</f>
        <v>Households exposed to armed violence/artillery shelling in the last 3 months, by frequency  broken down by gender of head of household on the admin of...</v>
      </c>
    </row>
    <row r="614" spans="3:7" x14ac:dyDescent="0.35">
      <c r="C614" t="s">
        <v>129</v>
      </c>
      <c r="D614" t="s">
        <v>134</v>
      </c>
      <c r="E614" t="s">
        <v>62</v>
      </c>
      <c r="F614" s="36">
        <v>1050</v>
      </c>
      <c r="G614" s="16" t="str">
        <f>HYPERLINK("#'Data'!A4229", "Households exposed to armed violence/artillery shelling in the last 3 months, by frequency  broken down by age of adults in the households on the admi...")</f>
        <v>Households exposed to armed violence/artillery shelling in the last 3 months, by frequency  broken down by age of adults in the households on the admi...</v>
      </c>
    </row>
    <row r="615" spans="3:7" x14ac:dyDescent="0.35">
      <c r="C615" t="s">
        <v>129</v>
      </c>
      <c r="D615" t="s">
        <v>134</v>
      </c>
      <c r="E615" t="s">
        <v>76</v>
      </c>
      <c r="F615" s="36">
        <v>1051</v>
      </c>
      <c r="G615" s="16" t="str">
        <f>HYPERLINK("#'Data'!A4236", "Households exposed to armed violence/artillery shelling in the last 3 months, by frequency  broken down by households with at least one child (&lt;18 y.o...")</f>
        <v>Households exposed to armed violence/artillery shelling in the last 3 months, by frequency  broken down by households with at least one child (&lt;18 y.o...</v>
      </c>
    </row>
    <row r="616" spans="3:7" x14ac:dyDescent="0.35">
      <c r="C616" t="s">
        <v>129</v>
      </c>
      <c r="D616" t="s">
        <v>134</v>
      </c>
      <c r="E616" t="s">
        <v>63</v>
      </c>
      <c r="F616" s="36">
        <v>1052</v>
      </c>
      <c r="G616" s="16" t="str">
        <f>HYPERLINK("#'Data'!A4242", "Households exposed to armed violence/artillery shelling in the last 3 months, by frequency  broken down by displacement status of head of household on...")</f>
        <v>Households exposed to armed violence/artillery shelling in the last 3 months, by frequency  broken down by displacement status of head of household on...</v>
      </c>
    </row>
    <row r="617" spans="3:7" x14ac:dyDescent="0.35">
      <c r="C617" t="s">
        <v>129</v>
      </c>
      <c r="D617" t="s">
        <v>134</v>
      </c>
      <c r="E617" t="s">
        <v>64</v>
      </c>
      <c r="F617" s="36">
        <v>1053</v>
      </c>
      <c r="G617" s="16" t="str">
        <f>HYPERLINK("#'Data'!A4251", "Households exposed to armed violence/artillery shelling in the last 3 months, by frequency  broken down by IDP household on the admin of overall perc")</f>
        <v>Households exposed to armed violence/artillery shelling in the last 3 months, by frequency  broken down by IDP household on the admin of overall perc</v>
      </c>
    </row>
    <row r="618" spans="3:7" x14ac:dyDescent="0.35">
      <c r="C618" t="s">
        <v>129</v>
      </c>
      <c r="D618" t="s">
        <v>134</v>
      </c>
      <c r="E618" t="s">
        <v>65</v>
      </c>
      <c r="F618" s="36">
        <v>1054</v>
      </c>
      <c r="G618" s="16" t="str">
        <f>HYPERLINK("#'Data'!A4257", "Households exposed to armed violence/artillery shelling in the last 3 months, by frequency  broken down by proximity to frontline/border with Russian ...")</f>
        <v>Households exposed to armed violence/artillery shelling in the last 3 months, by frequency  broken down by proximity to frontline/border with Russian ...</v>
      </c>
    </row>
    <row r="619" spans="3:7" x14ac:dyDescent="0.35">
      <c r="C619" t="s">
        <v>129</v>
      </c>
      <c r="D619" t="s">
        <v>134</v>
      </c>
      <c r="E619" t="s">
        <v>77</v>
      </c>
      <c r="F619" s="36">
        <v>1055</v>
      </c>
      <c r="G619" s="16" t="str">
        <f>HYPERLINK("#'Data'!A4264", "Households exposed to armed violence/artillery shelling in the last 3 months, by frequency  broken down by caregiving status  on the admin of overall ...")</f>
        <v>Households exposed to armed violence/artillery shelling in the last 3 months, by frequency  broken down by caregiving status  on the admin of overall ...</v>
      </c>
    </row>
    <row r="620" spans="3:7" x14ac:dyDescent="0.35">
      <c r="C620" t="s">
        <v>129</v>
      </c>
      <c r="D620" t="s">
        <v>134</v>
      </c>
      <c r="E620" t="s">
        <v>131</v>
      </c>
      <c r="F620" s="36">
        <v>1056</v>
      </c>
      <c r="G620" s="16" t="str">
        <f>HYPERLINK("#'Data'!A4272", "Households exposed to armed violence/artillery shelling in the last 3 months, by frequency  broken down by gender of respondent on the admin of overal...")</f>
        <v>Households exposed to armed violence/artillery shelling in the last 3 months, by frequency  broken down by gender of respondent on the admin of overal...</v>
      </c>
    </row>
    <row r="621" spans="3:7" x14ac:dyDescent="0.35">
      <c r="C621" t="s">
        <v>129</v>
      </c>
      <c r="D621" t="s">
        <v>134</v>
      </c>
      <c r="E621" t="s">
        <v>132</v>
      </c>
      <c r="F621" s="36">
        <v>1057</v>
      </c>
      <c r="G621" s="16" t="str">
        <f>HYPERLINK("#'Data'!A4279", "Households exposed to armed violence/artillery shelling in the last 3 months, by frequency  broken down by age of respondents on the admin of overall ...")</f>
        <v>Households exposed to armed violence/artillery shelling in the last 3 months, by frequency  broken down by age of respondents on the admin of overall ...</v>
      </c>
    </row>
    <row r="622" spans="3:7" x14ac:dyDescent="0.35">
      <c r="C622" t="s">
        <v>129</v>
      </c>
      <c r="D622" t="s">
        <v>134</v>
      </c>
      <c r="E622" t="s">
        <v>133</v>
      </c>
      <c r="F622" s="36">
        <v>1058</v>
      </c>
      <c r="G622" s="16" t="str">
        <f>HYPERLINK("#'Data'!A4287", "Households exposed to armed violence/artillery shelling in the last 3 months, by frequency  broken down by gender and age of respondents on the admin ...")</f>
        <v>Households exposed to armed violence/artillery shelling in the last 3 months, by frequency  broken down by gender and age of respondents on the admin ...</v>
      </c>
    </row>
    <row r="623" spans="3:7" x14ac:dyDescent="0.35">
      <c r="C623" t="s">
        <v>129</v>
      </c>
      <c r="D623" t="s">
        <v>135</v>
      </c>
      <c r="E623" t="s">
        <v>36</v>
      </c>
      <c r="F623" s="36">
        <v>1059</v>
      </c>
      <c r="G623" s="16" t="str">
        <f>HYPERLINK("#'Data'!A4300", "Households exposed to drone/missile attacks in last 3 months on the admin of overall perc")</f>
        <v>Households exposed to drone/missile attacks in last 3 months on the admin of overall perc</v>
      </c>
    </row>
    <row r="624" spans="3:7" x14ac:dyDescent="0.35">
      <c r="C624" t="s">
        <v>129</v>
      </c>
      <c r="D624" t="s">
        <v>135</v>
      </c>
      <c r="E624" t="s">
        <v>57</v>
      </c>
      <c r="F624" s="36">
        <v>1060</v>
      </c>
      <c r="G624" s="16" t="str">
        <f>HYPERLINK("#'Data'!A4305", "Households exposed to drone/missile attacks in last 3 months broken down by households with at least one member with a reported and/or registered disa...")</f>
        <v>Households exposed to drone/missile attacks in last 3 months broken down by households with at least one member with a reported and/or registered disa...</v>
      </c>
    </row>
    <row r="625" spans="3:7" x14ac:dyDescent="0.35">
      <c r="C625" t="s">
        <v>129</v>
      </c>
      <c r="D625" t="s">
        <v>135</v>
      </c>
      <c r="E625" t="s">
        <v>58</v>
      </c>
      <c r="F625" s="36">
        <v>1061</v>
      </c>
      <c r="G625" s="16" t="str">
        <f>HYPERLINK("#'Data'!A4311", "Households exposed to drone/missile attacks in last 3 months broken down by urbanity on the admin of overall perc")</f>
        <v>Households exposed to drone/missile attacks in last 3 months broken down by urbanity on the admin of overall perc</v>
      </c>
    </row>
    <row r="626" spans="3:7" x14ac:dyDescent="0.35">
      <c r="C626" t="s">
        <v>129</v>
      </c>
      <c r="D626" t="s">
        <v>135</v>
      </c>
      <c r="E626" t="s">
        <v>59</v>
      </c>
      <c r="F626" s="36">
        <v>1062</v>
      </c>
      <c r="G626" s="16" t="str">
        <f>HYPERLINK("#'Data'!A4317", "Households exposed to drone/missile attacks in last 3 months broken down by household size on the admin of overall perc")</f>
        <v>Households exposed to drone/missile attacks in last 3 months broken down by household size on the admin of overall perc</v>
      </c>
    </row>
    <row r="627" spans="3:7" x14ac:dyDescent="0.35">
      <c r="C627" t="s">
        <v>129</v>
      </c>
      <c r="D627" t="s">
        <v>135</v>
      </c>
      <c r="E627" t="s">
        <v>60</v>
      </c>
      <c r="F627" s="36">
        <v>1063</v>
      </c>
      <c r="G627" s="16" t="str">
        <f>HYPERLINK("#'Data'!A4324", "Households exposed to drone/missile attacks in last 3 months broken down by income per capita (quartiles) on the admin of overall perc")</f>
        <v>Households exposed to drone/missile attacks in last 3 months broken down by income per capita (quartiles) on the admin of overall perc</v>
      </c>
    </row>
    <row r="628" spans="3:7" x14ac:dyDescent="0.35">
      <c r="C628" t="s">
        <v>129</v>
      </c>
      <c r="D628" t="s">
        <v>135</v>
      </c>
      <c r="E628" t="s">
        <v>61</v>
      </c>
      <c r="F628" s="36">
        <v>1064</v>
      </c>
      <c r="G628" s="16" t="str">
        <f>HYPERLINK("#'Data'!A4332", "Households exposed to drone/missile attacks in last 3 months broken down by gender of head of household on the admin of overall perc")</f>
        <v>Households exposed to drone/missile attacks in last 3 months broken down by gender of head of household on the admin of overall perc</v>
      </c>
    </row>
    <row r="629" spans="3:7" x14ac:dyDescent="0.35">
      <c r="C629" t="s">
        <v>129</v>
      </c>
      <c r="D629" t="s">
        <v>135</v>
      </c>
      <c r="E629" t="s">
        <v>62</v>
      </c>
      <c r="F629" s="36">
        <v>1065</v>
      </c>
      <c r="G629" s="16" t="str">
        <f>HYPERLINK("#'Data'!A4340", "Households exposed to drone/missile attacks in last 3 months broken down by age of adults in the households on the admin of overall perc")</f>
        <v>Households exposed to drone/missile attacks in last 3 months broken down by age of adults in the households on the admin of overall perc</v>
      </c>
    </row>
    <row r="630" spans="3:7" x14ac:dyDescent="0.35">
      <c r="C630" t="s">
        <v>129</v>
      </c>
      <c r="D630" t="s">
        <v>135</v>
      </c>
      <c r="E630" t="s">
        <v>76</v>
      </c>
      <c r="F630" s="36">
        <v>1066</v>
      </c>
      <c r="G630" s="16" t="str">
        <f>HYPERLINK("#'Data'!A4347", "Households exposed to drone/missile attacks in last 3 months broken down by households with at least one child (&lt;18 y.o.) on the admin of overall perc")</f>
        <v>Households exposed to drone/missile attacks in last 3 months broken down by households with at least one child (&lt;18 y.o.) on the admin of overall perc</v>
      </c>
    </row>
    <row r="631" spans="3:7" x14ac:dyDescent="0.35">
      <c r="C631" t="s">
        <v>129</v>
      </c>
      <c r="D631" t="s">
        <v>135</v>
      </c>
      <c r="E631" t="s">
        <v>63</v>
      </c>
      <c r="F631" s="36">
        <v>1067</v>
      </c>
      <c r="G631" s="16" t="str">
        <f>HYPERLINK("#'Data'!A4353", "Households exposed to drone/missile attacks in last 3 months broken down by displacement status of head of household on the admin of overall perc")</f>
        <v>Households exposed to drone/missile attacks in last 3 months broken down by displacement status of head of household on the admin of overall perc</v>
      </c>
    </row>
    <row r="632" spans="3:7" x14ac:dyDescent="0.35">
      <c r="C632" t="s">
        <v>129</v>
      </c>
      <c r="D632" t="s">
        <v>135</v>
      </c>
      <c r="E632" t="s">
        <v>64</v>
      </c>
      <c r="F632" s="36">
        <v>1068</v>
      </c>
      <c r="G632" s="16" t="str">
        <f>HYPERLINK("#'Data'!A4362", "Households exposed to drone/missile attacks in last 3 months broken down by IDP household on the admin of overall perc")</f>
        <v>Households exposed to drone/missile attacks in last 3 months broken down by IDP household on the admin of overall perc</v>
      </c>
    </row>
    <row r="633" spans="3:7" x14ac:dyDescent="0.35">
      <c r="C633" t="s">
        <v>129</v>
      </c>
      <c r="D633" t="s">
        <v>135</v>
      </c>
      <c r="E633" t="s">
        <v>65</v>
      </c>
      <c r="F633" s="36">
        <v>1069</v>
      </c>
      <c r="G633" s="16" t="str">
        <f>HYPERLINK("#'Data'!A4368", "Households exposed to drone/missile attacks in last 3 months broken down by proximity to frontline/border with Russian Federation on the admin of over...")</f>
        <v>Households exposed to drone/missile attacks in last 3 months broken down by proximity to frontline/border with Russian Federation on the admin of over...</v>
      </c>
    </row>
    <row r="634" spans="3:7" x14ac:dyDescent="0.35">
      <c r="C634" t="s">
        <v>129</v>
      </c>
      <c r="D634" t="s">
        <v>135</v>
      </c>
      <c r="E634" t="s">
        <v>77</v>
      </c>
      <c r="F634" s="36">
        <v>1070</v>
      </c>
      <c r="G634" s="16" t="str">
        <f>HYPERLINK("#'Data'!A4375", "Households exposed to drone/missile attacks in last 3 months broken down by caregiving status  on the admin of overall perc")</f>
        <v>Households exposed to drone/missile attacks in last 3 months broken down by caregiving status  on the admin of overall perc</v>
      </c>
    </row>
    <row r="635" spans="3:7" x14ac:dyDescent="0.35">
      <c r="C635" t="s">
        <v>129</v>
      </c>
      <c r="D635" t="s">
        <v>135</v>
      </c>
      <c r="E635" t="s">
        <v>131</v>
      </c>
      <c r="F635" s="36">
        <v>1071</v>
      </c>
      <c r="G635" s="16" t="str">
        <f>HYPERLINK("#'Data'!A4383", "Households exposed to drone/missile attacks in last 3 months broken down by gender of respondent on the admin of overall perc")</f>
        <v>Households exposed to drone/missile attacks in last 3 months broken down by gender of respondent on the admin of overall perc</v>
      </c>
    </row>
    <row r="636" spans="3:7" x14ac:dyDescent="0.35">
      <c r="C636" t="s">
        <v>129</v>
      </c>
      <c r="D636" t="s">
        <v>135</v>
      </c>
      <c r="E636" t="s">
        <v>132</v>
      </c>
      <c r="F636" s="36">
        <v>1072</v>
      </c>
      <c r="G636" s="16" t="str">
        <f>HYPERLINK("#'Data'!A4390", "Households exposed to drone/missile attacks in last 3 months broken down by age of respondents on the admin of overall perc")</f>
        <v>Households exposed to drone/missile attacks in last 3 months broken down by age of respondents on the admin of overall perc</v>
      </c>
    </row>
    <row r="637" spans="3:7" x14ac:dyDescent="0.35">
      <c r="C637" t="s">
        <v>129</v>
      </c>
      <c r="D637" t="s">
        <v>135</v>
      </c>
      <c r="E637" t="s">
        <v>133</v>
      </c>
      <c r="F637" s="36">
        <v>1073</v>
      </c>
      <c r="G637" s="16" t="str">
        <f>HYPERLINK("#'Data'!A4398", "Households exposed to drone/missile attacks in last 3 months broken down by gender and age of respondents on the admin of overall perc")</f>
        <v>Households exposed to drone/missile attacks in last 3 months broken down by gender and age of respondents on the admin of overall perc</v>
      </c>
    </row>
    <row r="638" spans="3:7" x14ac:dyDescent="0.35">
      <c r="C638" t="s">
        <v>129</v>
      </c>
      <c r="D638" t="s">
        <v>136</v>
      </c>
      <c r="E638" t="s">
        <v>36</v>
      </c>
      <c r="F638" s="36">
        <v>1074</v>
      </c>
      <c r="G638" s="16" t="str">
        <f>HYPERLINK("#'Data'!A4411", "Households exposed to drone/missile attacks in past 3 months, by frequency on the admin of overall perc")</f>
        <v>Households exposed to drone/missile attacks in past 3 months, by frequency on the admin of overall perc</v>
      </c>
    </row>
    <row r="639" spans="3:7" x14ac:dyDescent="0.35">
      <c r="C639" t="s">
        <v>129</v>
      </c>
      <c r="D639" t="s">
        <v>136</v>
      </c>
      <c r="E639" t="s">
        <v>57</v>
      </c>
      <c r="F639" s="36">
        <v>1075</v>
      </c>
      <c r="G639" s="16" t="str">
        <f>HYPERLINK("#'Data'!A4416", "Households exposed to drone/missile attacks in past 3 months, by frequency broken down by households with at least one member with a reported and/or r...")</f>
        <v>Households exposed to drone/missile attacks in past 3 months, by frequency broken down by households with at least one member with a reported and/or r...</v>
      </c>
    </row>
    <row r="640" spans="3:7" x14ac:dyDescent="0.35">
      <c r="C640" t="s">
        <v>129</v>
      </c>
      <c r="D640" t="s">
        <v>136</v>
      </c>
      <c r="E640" t="s">
        <v>58</v>
      </c>
      <c r="F640" s="36">
        <v>1076</v>
      </c>
      <c r="G640" s="16" t="str">
        <f>HYPERLINK("#'Data'!A4422", "Households exposed to drone/missile attacks in past 3 months, by frequency broken down by urbanity on the admin of overall perc")</f>
        <v>Households exposed to drone/missile attacks in past 3 months, by frequency broken down by urbanity on the admin of overall perc</v>
      </c>
    </row>
    <row r="641" spans="3:7" x14ac:dyDescent="0.35">
      <c r="C641" t="s">
        <v>129</v>
      </c>
      <c r="D641" t="s">
        <v>136</v>
      </c>
      <c r="E641" t="s">
        <v>59</v>
      </c>
      <c r="F641" s="36">
        <v>1077</v>
      </c>
      <c r="G641" s="16" t="str">
        <f>HYPERLINK("#'Data'!A4428", "Households exposed to drone/missile attacks in past 3 months, by frequency broken down by household size on the admin of overall perc")</f>
        <v>Households exposed to drone/missile attacks in past 3 months, by frequency broken down by household size on the admin of overall perc</v>
      </c>
    </row>
    <row r="642" spans="3:7" x14ac:dyDescent="0.35">
      <c r="C642" t="s">
        <v>129</v>
      </c>
      <c r="D642" t="s">
        <v>136</v>
      </c>
      <c r="E642" t="s">
        <v>60</v>
      </c>
      <c r="F642" s="36">
        <v>1078</v>
      </c>
      <c r="G642" s="16" t="str">
        <f>HYPERLINK("#'Data'!A4435", "Households exposed to drone/missile attacks in past 3 months, by frequency broken down by income per capita (quartiles) on the admin of overall perc")</f>
        <v>Households exposed to drone/missile attacks in past 3 months, by frequency broken down by income per capita (quartiles) on the admin of overall perc</v>
      </c>
    </row>
    <row r="643" spans="3:7" x14ac:dyDescent="0.35">
      <c r="C643" t="s">
        <v>129</v>
      </c>
      <c r="D643" t="s">
        <v>136</v>
      </c>
      <c r="E643" t="s">
        <v>61</v>
      </c>
      <c r="F643" s="36">
        <v>1079</v>
      </c>
      <c r="G643" s="16" t="str">
        <f>HYPERLINK("#'Data'!A4443", "Households exposed to drone/missile attacks in past 3 months, by frequency broken down by gender of head of household on the admin of overall perc")</f>
        <v>Households exposed to drone/missile attacks in past 3 months, by frequency broken down by gender of head of household on the admin of overall perc</v>
      </c>
    </row>
    <row r="644" spans="3:7" x14ac:dyDescent="0.35">
      <c r="C644" t="s">
        <v>129</v>
      </c>
      <c r="D644" t="s">
        <v>136</v>
      </c>
      <c r="E644" t="s">
        <v>62</v>
      </c>
      <c r="F644" s="36">
        <v>1080</v>
      </c>
      <c r="G644" s="16" t="str">
        <f>HYPERLINK("#'Data'!A4451", "Households exposed to drone/missile attacks in past 3 months, by frequency broken down by age of adults in the households on the admin of overall perc")</f>
        <v>Households exposed to drone/missile attacks in past 3 months, by frequency broken down by age of adults in the households on the admin of overall perc</v>
      </c>
    </row>
    <row r="645" spans="3:7" x14ac:dyDescent="0.35">
      <c r="C645" t="s">
        <v>129</v>
      </c>
      <c r="D645" t="s">
        <v>136</v>
      </c>
      <c r="E645" t="s">
        <v>76</v>
      </c>
      <c r="F645" s="36">
        <v>1081</v>
      </c>
      <c r="G645" s="16" t="str">
        <f>HYPERLINK("#'Data'!A4458", "Households exposed to drone/missile attacks in past 3 months, by frequency broken down by households with at least one child (&lt;18 y.o.) on the admin o...")</f>
        <v>Households exposed to drone/missile attacks in past 3 months, by frequency broken down by households with at least one child (&lt;18 y.o.) on the admin o...</v>
      </c>
    </row>
    <row r="646" spans="3:7" x14ac:dyDescent="0.35">
      <c r="C646" t="s">
        <v>129</v>
      </c>
      <c r="D646" t="s">
        <v>136</v>
      </c>
      <c r="E646" t="s">
        <v>63</v>
      </c>
      <c r="F646" s="36">
        <v>1082</v>
      </c>
      <c r="G646" s="16" t="str">
        <f>HYPERLINK("#'Data'!A4464", "Households exposed to drone/missile attacks in past 3 months, by frequency broken down by displacement status of head of household on the admin of ove...")</f>
        <v>Households exposed to drone/missile attacks in past 3 months, by frequency broken down by displacement status of head of household on the admin of ove...</v>
      </c>
    </row>
    <row r="647" spans="3:7" x14ac:dyDescent="0.35">
      <c r="C647" t="s">
        <v>129</v>
      </c>
      <c r="D647" t="s">
        <v>136</v>
      </c>
      <c r="E647" t="s">
        <v>64</v>
      </c>
      <c r="F647" s="36">
        <v>1083</v>
      </c>
      <c r="G647" s="16" t="str">
        <f>HYPERLINK("#'Data'!A4473", "Households exposed to drone/missile attacks in past 3 months, by frequency broken down by IDP household on the admin of overall perc")</f>
        <v>Households exposed to drone/missile attacks in past 3 months, by frequency broken down by IDP household on the admin of overall perc</v>
      </c>
    </row>
    <row r="648" spans="3:7" x14ac:dyDescent="0.35">
      <c r="C648" t="s">
        <v>129</v>
      </c>
      <c r="D648" t="s">
        <v>136</v>
      </c>
      <c r="E648" t="s">
        <v>65</v>
      </c>
      <c r="F648" s="36">
        <v>1084</v>
      </c>
      <c r="G648" s="16" t="str">
        <f>HYPERLINK("#'Data'!A4479", "Households exposed to drone/missile attacks in past 3 months, by frequency broken down by proximity to frontline/border with Russian Federation on the...")</f>
        <v>Households exposed to drone/missile attacks in past 3 months, by frequency broken down by proximity to frontline/border with Russian Federation on the...</v>
      </c>
    </row>
    <row r="649" spans="3:7" x14ac:dyDescent="0.35">
      <c r="C649" t="s">
        <v>129</v>
      </c>
      <c r="D649" t="s">
        <v>136</v>
      </c>
      <c r="E649" t="s">
        <v>77</v>
      </c>
      <c r="F649" s="36">
        <v>1085</v>
      </c>
      <c r="G649" s="16" t="str">
        <f>HYPERLINK("#'Data'!A4486", "Households exposed to drone/missile attacks in past 3 months, by frequency broken down by caregiving status  on the admin of overall perc")</f>
        <v>Households exposed to drone/missile attacks in past 3 months, by frequency broken down by caregiving status  on the admin of overall perc</v>
      </c>
    </row>
    <row r="650" spans="3:7" x14ac:dyDescent="0.35">
      <c r="C650" t="s">
        <v>129</v>
      </c>
      <c r="D650" t="s">
        <v>136</v>
      </c>
      <c r="E650" t="s">
        <v>131</v>
      </c>
      <c r="F650" s="36">
        <v>1086</v>
      </c>
      <c r="G650" s="16" t="str">
        <f>HYPERLINK("#'Data'!A4494", "Households exposed to drone/missile attacks in past 3 months, by frequency broken down by gender of respondent on the admin of overall perc")</f>
        <v>Households exposed to drone/missile attacks in past 3 months, by frequency broken down by gender of respondent on the admin of overall perc</v>
      </c>
    </row>
    <row r="651" spans="3:7" x14ac:dyDescent="0.35">
      <c r="C651" t="s">
        <v>129</v>
      </c>
      <c r="D651" t="s">
        <v>136</v>
      </c>
      <c r="E651" t="s">
        <v>132</v>
      </c>
      <c r="F651" s="36">
        <v>1087</v>
      </c>
      <c r="G651" s="16" t="str">
        <f>HYPERLINK("#'Data'!A4501", "Households exposed to drone/missile attacks in past 3 months, by frequency broken down by age of respondents on the admin of overall perc")</f>
        <v>Households exposed to drone/missile attacks in past 3 months, by frequency broken down by age of respondents on the admin of overall perc</v>
      </c>
    </row>
    <row r="652" spans="3:7" x14ac:dyDescent="0.35">
      <c r="C652" t="s">
        <v>129</v>
      </c>
      <c r="D652" t="s">
        <v>136</v>
      </c>
      <c r="E652" t="s">
        <v>133</v>
      </c>
      <c r="F652" s="36">
        <v>1088</v>
      </c>
      <c r="G652" s="16" t="str">
        <f>HYPERLINK("#'Data'!A4509", "Households exposed to drone/missile attacks in past 3 months, by frequency broken down by gender and age of respondents on the admin of overall perc")</f>
        <v>Households exposed to drone/missile attacks in past 3 months, by frequency broken down by gender and age of respondents on the admin of overall perc</v>
      </c>
    </row>
    <row r="653" spans="3:7" x14ac:dyDescent="0.35">
      <c r="C653" t="s">
        <v>129</v>
      </c>
      <c r="D653" t="s">
        <v>137</v>
      </c>
      <c r="E653" t="s">
        <v>36</v>
      </c>
      <c r="F653" s="36">
        <v>1089</v>
      </c>
      <c r="G653" s="16" t="str">
        <f>HYPERLINK("#'Data'!A4522", "Households exposed to other safety and security incidents in the last 3 months, by type on the admin of overall perc")</f>
        <v>Households exposed to other safety and security incidents in the last 3 months, by type on the admin of overall perc</v>
      </c>
    </row>
    <row r="654" spans="3:7" x14ac:dyDescent="0.35">
      <c r="C654" t="s">
        <v>129</v>
      </c>
      <c r="D654" t="s">
        <v>137</v>
      </c>
      <c r="E654" t="s">
        <v>57</v>
      </c>
      <c r="F654" s="36">
        <v>1090</v>
      </c>
      <c r="G654" s="16" t="str">
        <f>HYPERLINK("#'Data'!A4527", "Households exposed to other safety and security incidents in the last 3 months, by type broken down by households with at least one member with a repo...")</f>
        <v>Households exposed to other safety and security incidents in the last 3 months, by type broken down by households with at least one member with a repo...</v>
      </c>
    </row>
    <row r="655" spans="3:7" x14ac:dyDescent="0.35">
      <c r="C655" t="s">
        <v>129</v>
      </c>
      <c r="D655" t="s">
        <v>137</v>
      </c>
      <c r="E655" t="s">
        <v>58</v>
      </c>
      <c r="F655" s="36">
        <v>1091</v>
      </c>
      <c r="G655" s="16" t="str">
        <f>HYPERLINK("#'Data'!A4533", "Households exposed to other safety and security incidents in the last 3 months, by type broken down by urbanity on the admin of overall perc")</f>
        <v>Households exposed to other safety and security incidents in the last 3 months, by type broken down by urbanity on the admin of overall perc</v>
      </c>
    </row>
    <row r="656" spans="3:7" x14ac:dyDescent="0.35">
      <c r="C656" t="s">
        <v>129</v>
      </c>
      <c r="D656" t="s">
        <v>137</v>
      </c>
      <c r="E656" t="s">
        <v>59</v>
      </c>
      <c r="F656" s="36">
        <v>1092</v>
      </c>
      <c r="G656" s="16" t="str">
        <f>HYPERLINK("#'Data'!A4539", "Households exposed to other safety and security incidents in the last 3 months, by type broken down by household size on the admin of overall perc")</f>
        <v>Households exposed to other safety and security incidents in the last 3 months, by type broken down by household size on the admin of overall perc</v>
      </c>
    </row>
    <row r="657" spans="3:7" x14ac:dyDescent="0.35">
      <c r="C657" t="s">
        <v>129</v>
      </c>
      <c r="D657" t="s">
        <v>137</v>
      </c>
      <c r="E657" t="s">
        <v>60</v>
      </c>
      <c r="F657" s="36">
        <v>1093</v>
      </c>
      <c r="G657" s="16" t="str">
        <f>HYPERLINK("#'Data'!A4546", "Households exposed to other safety and security incidents in the last 3 months, by type broken down by income per capita (quartiles) on the admin of o...")</f>
        <v>Households exposed to other safety and security incidents in the last 3 months, by type broken down by income per capita (quartiles) on the admin of o...</v>
      </c>
    </row>
    <row r="658" spans="3:7" x14ac:dyDescent="0.35">
      <c r="C658" t="s">
        <v>129</v>
      </c>
      <c r="D658" t="s">
        <v>137</v>
      </c>
      <c r="E658" t="s">
        <v>61</v>
      </c>
      <c r="F658" s="36">
        <v>1094</v>
      </c>
      <c r="G658" s="16" t="str">
        <f>HYPERLINK("#'Data'!A4554", "Households exposed to other safety and security incidents in the last 3 months, by type broken down by gender of head of household on the admin of ove...")</f>
        <v>Households exposed to other safety and security incidents in the last 3 months, by type broken down by gender of head of household on the admin of ove...</v>
      </c>
    </row>
    <row r="659" spans="3:7" x14ac:dyDescent="0.35">
      <c r="C659" t="s">
        <v>129</v>
      </c>
      <c r="D659" t="s">
        <v>137</v>
      </c>
      <c r="E659" t="s">
        <v>62</v>
      </c>
      <c r="F659" s="36">
        <v>1095</v>
      </c>
      <c r="G659" s="16" t="str">
        <f>HYPERLINK("#'Data'!A4562", "Households exposed to other safety and security incidents in the last 3 months, by type broken down by age of adults in the households on the admin of...")</f>
        <v>Households exposed to other safety and security incidents in the last 3 months, by type broken down by age of adults in the households on the admin of...</v>
      </c>
    </row>
    <row r="660" spans="3:7" x14ac:dyDescent="0.35">
      <c r="C660" t="s">
        <v>129</v>
      </c>
      <c r="D660" t="s">
        <v>137</v>
      </c>
      <c r="E660" t="s">
        <v>76</v>
      </c>
      <c r="F660" s="36">
        <v>1096</v>
      </c>
      <c r="G660" s="16" t="str">
        <f>HYPERLINK("#'Data'!A4569", "Households exposed to other safety and security incidents in the last 3 months, by type broken down by households with at least one child (&lt;18 y.o.) o...")</f>
        <v>Households exposed to other safety and security incidents in the last 3 months, by type broken down by households with at least one child (&lt;18 y.o.) o...</v>
      </c>
    </row>
    <row r="661" spans="3:7" x14ac:dyDescent="0.35">
      <c r="C661" t="s">
        <v>129</v>
      </c>
      <c r="D661" t="s">
        <v>137</v>
      </c>
      <c r="E661" t="s">
        <v>63</v>
      </c>
      <c r="F661" s="36">
        <v>1097</v>
      </c>
      <c r="G661" s="16" t="str">
        <f>HYPERLINK("#'Data'!A4575", "Households exposed to other safety and security incidents in the last 3 months, by type broken down by displacement status of head of household on the...")</f>
        <v>Households exposed to other safety and security incidents in the last 3 months, by type broken down by displacement status of head of household on the...</v>
      </c>
    </row>
    <row r="662" spans="3:7" x14ac:dyDescent="0.35">
      <c r="C662" t="s">
        <v>129</v>
      </c>
      <c r="D662" t="s">
        <v>137</v>
      </c>
      <c r="E662" t="s">
        <v>64</v>
      </c>
      <c r="F662" s="36">
        <v>1098</v>
      </c>
      <c r="G662" s="16" t="str">
        <f>HYPERLINK("#'Data'!A4584", "Households exposed to other safety and security incidents in the last 3 months, by type broken down by IDP household on the admin of overall perc")</f>
        <v>Households exposed to other safety and security incidents in the last 3 months, by type broken down by IDP household on the admin of overall perc</v>
      </c>
    </row>
    <row r="663" spans="3:7" x14ac:dyDescent="0.35">
      <c r="C663" t="s">
        <v>129</v>
      </c>
      <c r="D663" t="s">
        <v>137</v>
      </c>
      <c r="E663" t="s">
        <v>65</v>
      </c>
      <c r="F663" s="36">
        <v>1099</v>
      </c>
      <c r="G663" s="16" t="str">
        <f>HYPERLINK("#'Data'!A4590", "Households exposed to other safety and security incidents in the last 3 months, by type broken down by proximity to frontline/border with Russian Fede...")</f>
        <v>Households exposed to other safety and security incidents in the last 3 months, by type broken down by proximity to frontline/border with Russian Fede...</v>
      </c>
    </row>
    <row r="664" spans="3:7" x14ac:dyDescent="0.35">
      <c r="C664" t="s">
        <v>129</v>
      </c>
      <c r="D664" t="s">
        <v>137</v>
      </c>
      <c r="E664" t="s">
        <v>77</v>
      </c>
      <c r="F664" s="36">
        <v>1100</v>
      </c>
      <c r="G664" s="16" t="str">
        <f>HYPERLINK("#'Data'!A4597", "Households exposed to other safety and security incidents in the last 3 months, by type broken down by caregiving status  on the admin of overall perc")</f>
        <v>Households exposed to other safety and security incidents in the last 3 months, by type broken down by caregiving status  on the admin of overall perc</v>
      </c>
    </row>
    <row r="665" spans="3:7" x14ac:dyDescent="0.35">
      <c r="C665" t="s">
        <v>129</v>
      </c>
      <c r="D665" t="s">
        <v>137</v>
      </c>
      <c r="E665" t="s">
        <v>131</v>
      </c>
      <c r="F665" s="36">
        <v>1101</v>
      </c>
      <c r="G665" s="16" t="str">
        <f>HYPERLINK("#'Data'!A4605", "Households exposed to other safety and security incidents in the last 3 months, by type broken down by gender of respondent on the admin of overall pe...")</f>
        <v>Households exposed to other safety and security incidents in the last 3 months, by type broken down by gender of respondent on the admin of overall pe...</v>
      </c>
    </row>
    <row r="666" spans="3:7" x14ac:dyDescent="0.35">
      <c r="C666" t="s">
        <v>129</v>
      </c>
      <c r="D666" t="s">
        <v>137</v>
      </c>
      <c r="E666" t="s">
        <v>132</v>
      </c>
      <c r="F666" s="36">
        <v>1102</v>
      </c>
      <c r="G666" s="16" t="str">
        <f>HYPERLINK("#'Data'!A4612", "Households exposed to other safety and security incidents in the last 3 months, by type broken down by age of respondents on the admin of overall perc")</f>
        <v>Households exposed to other safety and security incidents in the last 3 months, by type broken down by age of respondents on the admin of overall perc</v>
      </c>
    </row>
    <row r="667" spans="3:7" x14ac:dyDescent="0.35">
      <c r="C667" t="s">
        <v>129</v>
      </c>
      <c r="D667" t="s">
        <v>137</v>
      </c>
      <c r="E667" t="s">
        <v>133</v>
      </c>
      <c r="F667" s="36">
        <v>1103</v>
      </c>
      <c r="G667" s="16" t="str">
        <f>HYPERLINK("#'Data'!A4620", "Households exposed to other safety and security incidents in the last 3 months, by type broken down by gender and age of respondents on the admin of o...")</f>
        <v>Households exposed to other safety and security incidents in the last 3 months, by type broken down by gender and age of respondents on the admin of o...</v>
      </c>
    </row>
    <row r="668" spans="3:7" x14ac:dyDescent="0.35">
      <c r="C668" t="s">
        <v>129</v>
      </c>
      <c r="D668" t="s">
        <v>138</v>
      </c>
      <c r="E668" t="s">
        <v>36</v>
      </c>
      <c r="F668" s="36">
        <v>1104</v>
      </c>
      <c r="G668" s="16" t="str">
        <f>HYPERLINK("#'Data'!A4633", "Households reporting being concerned about having any HH member engaging in risky activities due to economic needs, by frequency on the admin of overa...")</f>
        <v>Households reporting being concerned about having any HH member engaging in risky activities due to economic needs, by frequency on the admin of overa...</v>
      </c>
    </row>
    <row r="669" spans="3:7" x14ac:dyDescent="0.35">
      <c r="C669" t="s">
        <v>129</v>
      </c>
      <c r="D669" t="s">
        <v>138</v>
      </c>
      <c r="E669" t="s">
        <v>57</v>
      </c>
      <c r="F669" s="36">
        <v>1105</v>
      </c>
      <c r="G669" s="16" t="str">
        <f>HYPERLINK("#'Data'!A4638", "Households reporting being concerned about having any HH member engaging in risky activities due to economic needs, by frequency broken down by househ...")</f>
        <v>Households reporting being concerned about having any HH member engaging in risky activities due to economic needs, by frequency broken down by househ...</v>
      </c>
    </row>
    <row r="670" spans="3:7" x14ac:dyDescent="0.35">
      <c r="C670" t="s">
        <v>129</v>
      </c>
      <c r="D670" t="s">
        <v>138</v>
      </c>
      <c r="E670" t="s">
        <v>58</v>
      </c>
      <c r="F670" s="36">
        <v>1106</v>
      </c>
      <c r="G670" s="16" t="str">
        <f>HYPERLINK("#'Data'!A4644", "Households reporting being concerned about having any HH member engaging in risky activities due to economic needs, by frequency broken down by urbani...")</f>
        <v>Households reporting being concerned about having any HH member engaging in risky activities due to economic needs, by frequency broken down by urbani...</v>
      </c>
    </row>
    <row r="671" spans="3:7" x14ac:dyDescent="0.35">
      <c r="C671" t="s">
        <v>129</v>
      </c>
      <c r="D671" t="s">
        <v>138</v>
      </c>
      <c r="E671" t="s">
        <v>59</v>
      </c>
      <c r="F671" s="36">
        <v>1107</v>
      </c>
      <c r="G671" s="16" t="str">
        <f>HYPERLINK("#'Data'!A4650", "Households reporting being concerned about having any HH member engaging in risky activities due to economic needs, by frequency broken down by househ...")</f>
        <v>Households reporting being concerned about having any HH member engaging in risky activities due to economic needs, by frequency broken down by househ...</v>
      </c>
    </row>
    <row r="672" spans="3:7" x14ac:dyDescent="0.35">
      <c r="C672" t="s">
        <v>129</v>
      </c>
      <c r="D672" t="s">
        <v>138</v>
      </c>
      <c r="E672" t="s">
        <v>60</v>
      </c>
      <c r="F672" s="36">
        <v>1108</v>
      </c>
      <c r="G672" s="16" t="str">
        <f>HYPERLINK("#'Data'!A4657", "Households reporting being concerned about having any HH member engaging in risky activities due to economic needs, by frequency broken down by income...")</f>
        <v>Households reporting being concerned about having any HH member engaging in risky activities due to economic needs, by frequency broken down by income...</v>
      </c>
    </row>
    <row r="673" spans="3:7" x14ac:dyDescent="0.35">
      <c r="C673" t="s">
        <v>129</v>
      </c>
      <c r="D673" t="s">
        <v>138</v>
      </c>
      <c r="E673" t="s">
        <v>61</v>
      </c>
      <c r="F673" s="36">
        <v>1109</v>
      </c>
      <c r="G673" s="16" t="str">
        <f>HYPERLINK("#'Data'!A4665", "Households reporting being concerned about having any HH member engaging in risky activities due to economic needs, by frequency broken down by gender...")</f>
        <v>Households reporting being concerned about having any HH member engaging in risky activities due to economic needs, by frequency broken down by gender...</v>
      </c>
    </row>
    <row r="674" spans="3:7" x14ac:dyDescent="0.35">
      <c r="C674" t="s">
        <v>129</v>
      </c>
      <c r="D674" t="s">
        <v>138</v>
      </c>
      <c r="E674" t="s">
        <v>62</v>
      </c>
      <c r="F674" s="36">
        <v>1110</v>
      </c>
      <c r="G674" s="16" t="str">
        <f>HYPERLINK("#'Data'!A4673", "Households reporting being concerned about having any HH member engaging in risky activities due to economic needs, by frequency broken down by age of...")</f>
        <v>Households reporting being concerned about having any HH member engaging in risky activities due to economic needs, by frequency broken down by age of...</v>
      </c>
    </row>
    <row r="675" spans="3:7" x14ac:dyDescent="0.35">
      <c r="C675" t="s">
        <v>129</v>
      </c>
      <c r="D675" t="s">
        <v>138</v>
      </c>
      <c r="E675" t="s">
        <v>76</v>
      </c>
      <c r="F675" s="36">
        <v>1111</v>
      </c>
      <c r="G675" s="16" t="str">
        <f>HYPERLINK("#'Data'!A4680", "Households reporting being concerned about having any HH member engaging in risky activities due to economic needs, by frequency broken down by househ...")</f>
        <v>Households reporting being concerned about having any HH member engaging in risky activities due to economic needs, by frequency broken down by househ...</v>
      </c>
    </row>
    <row r="676" spans="3:7" x14ac:dyDescent="0.35">
      <c r="C676" t="s">
        <v>129</v>
      </c>
      <c r="D676" t="s">
        <v>138</v>
      </c>
      <c r="E676" t="s">
        <v>63</v>
      </c>
      <c r="F676" s="36">
        <v>1112</v>
      </c>
      <c r="G676" s="16" t="str">
        <f>HYPERLINK("#'Data'!A4686", "Households reporting being concerned about having any HH member engaging in risky activities due to economic needs, by frequency broken down by displa...")</f>
        <v>Households reporting being concerned about having any HH member engaging in risky activities due to economic needs, by frequency broken down by displa...</v>
      </c>
    </row>
    <row r="677" spans="3:7" x14ac:dyDescent="0.35">
      <c r="C677" t="s">
        <v>129</v>
      </c>
      <c r="D677" t="s">
        <v>138</v>
      </c>
      <c r="E677" t="s">
        <v>64</v>
      </c>
      <c r="F677" s="36">
        <v>1113</v>
      </c>
      <c r="G677" s="16" t="str">
        <f>HYPERLINK("#'Data'!A4695", "Households reporting being concerned about having any HH member engaging in risky activities due to economic needs, by frequency broken down by IDP ho...")</f>
        <v>Households reporting being concerned about having any HH member engaging in risky activities due to economic needs, by frequency broken down by IDP ho...</v>
      </c>
    </row>
    <row r="678" spans="3:7" x14ac:dyDescent="0.35">
      <c r="C678" t="s">
        <v>129</v>
      </c>
      <c r="D678" t="s">
        <v>138</v>
      </c>
      <c r="E678" t="s">
        <v>65</v>
      </c>
      <c r="F678" s="36">
        <v>1114</v>
      </c>
      <c r="G678" s="16" t="str">
        <f>HYPERLINK("#'Data'!A4701", "Households reporting being concerned about having any HH member engaging in risky activities due to economic needs, by frequency broken down by proxim...")</f>
        <v>Households reporting being concerned about having any HH member engaging in risky activities due to economic needs, by frequency broken down by proxim...</v>
      </c>
    </row>
    <row r="679" spans="3:7" x14ac:dyDescent="0.35">
      <c r="C679" t="s">
        <v>129</v>
      </c>
      <c r="D679" t="s">
        <v>138</v>
      </c>
      <c r="E679" t="s">
        <v>77</v>
      </c>
      <c r="F679" s="36">
        <v>1115</v>
      </c>
      <c r="G679" s="16" t="str">
        <f>HYPERLINK("#'Data'!A4708", "Households reporting being concerned about having any HH member engaging in risky activities due to economic needs, by frequency broken down by caregi...")</f>
        <v>Households reporting being concerned about having any HH member engaging in risky activities due to economic needs, by frequency broken down by caregi...</v>
      </c>
    </row>
    <row r="680" spans="3:7" x14ac:dyDescent="0.35">
      <c r="C680" t="s">
        <v>129</v>
      </c>
      <c r="D680" t="s">
        <v>138</v>
      </c>
      <c r="E680" t="s">
        <v>131</v>
      </c>
      <c r="F680" s="36">
        <v>1116</v>
      </c>
      <c r="G680" s="16" t="str">
        <f>HYPERLINK("#'Data'!A4716", "Households reporting being concerned about having any HH member engaging in risky activities due to economic needs, by frequency broken down by gender...")</f>
        <v>Households reporting being concerned about having any HH member engaging in risky activities due to economic needs, by frequency broken down by gender...</v>
      </c>
    </row>
    <row r="681" spans="3:7" x14ac:dyDescent="0.35">
      <c r="C681" t="s">
        <v>129</v>
      </c>
      <c r="D681" t="s">
        <v>138</v>
      </c>
      <c r="E681" t="s">
        <v>132</v>
      </c>
      <c r="F681" s="36">
        <v>1117</v>
      </c>
      <c r="G681" s="16" t="str">
        <f>HYPERLINK("#'Data'!A4723", "Households reporting being concerned about having any HH member engaging in risky activities due to economic needs, by frequency broken down by age of...")</f>
        <v>Households reporting being concerned about having any HH member engaging in risky activities due to economic needs, by frequency broken down by age of...</v>
      </c>
    </row>
    <row r="682" spans="3:7" x14ac:dyDescent="0.35">
      <c r="C682" t="s">
        <v>129</v>
      </c>
      <c r="D682" t="s">
        <v>138</v>
      </c>
      <c r="E682" t="s">
        <v>133</v>
      </c>
      <c r="F682" s="36">
        <v>1118</v>
      </c>
      <c r="G682" s="16" t="str">
        <f>HYPERLINK("#'Data'!A4731", "Households reporting being concerned about having any HH member engaging in risky activities due to economic needs, by frequency broken down by gender...")</f>
        <v>Households reporting being concerned about having any HH member engaging in risky activities due to economic needs, by frequency broken down by gender...</v>
      </c>
    </row>
    <row r="683" spans="3:7" x14ac:dyDescent="0.35">
      <c r="C683" t="s">
        <v>129</v>
      </c>
      <c r="D683" t="s">
        <v>139</v>
      </c>
      <c r="E683" t="s">
        <v>36</v>
      </c>
      <c r="F683" s="36">
        <v>1119</v>
      </c>
      <c r="G683" s="16" t="str">
        <f>HYPERLINK("#'Data'!A4744", "Households reporting being concerned about being forced to flee, by frequency on the admin of overall perc")</f>
        <v>Households reporting being concerned about being forced to flee, by frequency on the admin of overall perc</v>
      </c>
    </row>
    <row r="684" spans="3:7" x14ac:dyDescent="0.35">
      <c r="C684" t="s">
        <v>129</v>
      </c>
      <c r="D684" t="s">
        <v>139</v>
      </c>
      <c r="E684" t="s">
        <v>57</v>
      </c>
      <c r="F684" s="36">
        <v>1120</v>
      </c>
      <c r="G684" s="16" t="str">
        <f>HYPERLINK("#'Data'!A4749", "Households reporting being concerned about being forced to flee, by frequency broken down by households with at least one member with a reported and/o...")</f>
        <v>Households reporting being concerned about being forced to flee, by frequency broken down by households with at least one member with a reported and/o...</v>
      </c>
    </row>
    <row r="685" spans="3:7" x14ac:dyDescent="0.35">
      <c r="C685" t="s">
        <v>129</v>
      </c>
      <c r="D685" t="s">
        <v>139</v>
      </c>
      <c r="E685" t="s">
        <v>58</v>
      </c>
      <c r="F685" s="36">
        <v>1121</v>
      </c>
      <c r="G685" s="16" t="str">
        <f>HYPERLINK("#'Data'!A4755", "Households reporting being concerned about being forced to flee, by frequency broken down by urbanity on the admin of overall perc")</f>
        <v>Households reporting being concerned about being forced to flee, by frequency broken down by urbanity on the admin of overall perc</v>
      </c>
    </row>
    <row r="686" spans="3:7" x14ac:dyDescent="0.35">
      <c r="C686" t="s">
        <v>129</v>
      </c>
      <c r="D686" t="s">
        <v>139</v>
      </c>
      <c r="E686" t="s">
        <v>59</v>
      </c>
      <c r="F686" s="36">
        <v>1122</v>
      </c>
      <c r="G686" s="16" t="str">
        <f>HYPERLINK("#'Data'!A4761", "Households reporting being concerned about being forced to flee, by frequency broken down by household size on the admin of overall perc")</f>
        <v>Households reporting being concerned about being forced to flee, by frequency broken down by household size on the admin of overall perc</v>
      </c>
    </row>
    <row r="687" spans="3:7" x14ac:dyDescent="0.35">
      <c r="C687" t="s">
        <v>129</v>
      </c>
      <c r="D687" t="s">
        <v>139</v>
      </c>
      <c r="E687" t="s">
        <v>60</v>
      </c>
      <c r="F687" s="36">
        <v>1123</v>
      </c>
      <c r="G687" s="16" t="str">
        <f>HYPERLINK("#'Data'!A4768", "Households reporting being concerned about being forced to flee, by frequency broken down by income per capita (quartiles) on the admin of overall per...")</f>
        <v>Households reporting being concerned about being forced to flee, by frequency broken down by income per capita (quartiles) on the admin of overall per...</v>
      </c>
    </row>
    <row r="688" spans="3:7" x14ac:dyDescent="0.35">
      <c r="C688" t="s">
        <v>129</v>
      </c>
      <c r="D688" t="s">
        <v>139</v>
      </c>
      <c r="E688" t="s">
        <v>61</v>
      </c>
      <c r="F688" s="36">
        <v>1124</v>
      </c>
      <c r="G688" s="16" t="str">
        <f>HYPERLINK("#'Data'!A4776", "Households reporting being concerned about being forced to flee, by frequency broken down by gender of head of household on the admin of overall perc")</f>
        <v>Households reporting being concerned about being forced to flee, by frequency broken down by gender of head of household on the admin of overall perc</v>
      </c>
    </row>
    <row r="689" spans="3:7" x14ac:dyDescent="0.35">
      <c r="C689" t="s">
        <v>129</v>
      </c>
      <c r="D689" t="s">
        <v>139</v>
      </c>
      <c r="E689" t="s">
        <v>62</v>
      </c>
      <c r="F689" s="36">
        <v>1125</v>
      </c>
      <c r="G689" s="16" t="str">
        <f>HYPERLINK("#'Data'!A4784", "Households reporting being concerned about being forced to flee, by frequency broken down by age of adults in the households on the admin of overall p...")</f>
        <v>Households reporting being concerned about being forced to flee, by frequency broken down by age of adults in the households on the admin of overall p...</v>
      </c>
    </row>
    <row r="690" spans="3:7" x14ac:dyDescent="0.35">
      <c r="C690" t="s">
        <v>129</v>
      </c>
      <c r="D690" t="s">
        <v>139</v>
      </c>
      <c r="E690" t="s">
        <v>76</v>
      </c>
      <c r="F690" s="36">
        <v>1126</v>
      </c>
      <c r="G690" s="16" t="str">
        <f>HYPERLINK("#'Data'!A4791", "Households reporting being concerned about being forced to flee, by frequency broken down by households with at least one child (&lt;18 y.o.) on the admi...")</f>
        <v>Households reporting being concerned about being forced to flee, by frequency broken down by households with at least one child (&lt;18 y.o.) on the admi...</v>
      </c>
    </row>
    <row r="691" spans="3:7" x14ac:dyDescent="0.35">
      <c r="C691" t="s">
        <v>129</v>
      </c>
      <c r="D691" t="s">
        <v>139</v>
      </c>
      <c r="E691" t="s">
        <v>63</v>
      </c>
      <c r="F691" s="36">
        <v>1127</v>
      </c>
      <c r="G691" s="16" t="str">
        <f>HYPERLINK("#'Data'!A4797", "Households reporting being concerned about being forced to flee, by frequency broken down by displacement status of head of household on the admin of ...")</f>
        <v>Households reporting being concerned about being forced to flee, by frequency broken down by displacement status of head of household on the admin of ...</v>
      </c>
    </row>
    <row r="692" spans="3:7" x14ac:dyDescent="0.35">
      <c r="C692" t="s">
        <v>129</v>
      </c>
      <c r="D692" t="s">
        <v>139</v>
      </c>
      <c r="E692" t="s">
        <v>64</v>
      </c>
      <c r="F692" s="36">
        <v>1128</v>
      </c>
      <c r="G692" s="16" t="str">
        <f>HYPERLINK("#'Data'!A4806", "Households reporting being concerned about being forced to flee, by frequency broken down by IDP household on the admin of overall perc")</f>
        <v>Households reporting being concerned about being forced to flee, by frequency broken down by IDP household on the admin of overall perc</v>
      </c>
    </row>
    <row r="693" spans="3:7" x14ac:dyDescent="0.35">
      <c r="C693" t="s">
        <v>129</v>
      </c>
      <c r="D693" t="s">
        <v>139</v>
      </c>
      <c r="E693" t="s">
        <v>65</v>
      </c>
      <c r="F693" s="36">
        <v>1129</v>
      </c>
      <c r="G693" s="16" t="str">
        <f>HYPERLINK("#'Data'!A4812", "Households reporting being concerned about being forced to flee, by frequency broken down by proximity to frontline/border with Russian Federation on ...")</f>
        <v>Households reporting being concerned about being forced to flee, by frequency broken down by proximity to frontline/border with Russian Federation on ...</v>
      </c>
    </row>
    <row r="694" spans="3:7" x14ac:dyDescent="0.35">
      <c r="C694" t="s">
        <v>129</v>
      </c>
      <c r="D694" t="s">
        <v>139</v>
      </c>
      <c r="E694" t="s">
        <v>77</v>
      </c>
      <c r="F694" s="36">
        <v>1130</v>
      </c>
      <c r="G694" s="16" t="str">
        <f>HYPERLINK("#'Data'!A4819", "Households reporting being concerned about being forced to flee, by frequency broken down by caregiving status  on the admin of overall perc")</f>
        <v>Households reporting being concerned about being forced to flee, by frequency broken down by caregiving status  on the admin of overall perc</v>
      </c>
    </row>
    <row r="695" spans="3:7" x14ac:dyDescent="0.35">
      <c r="C695" t="s">
        <v>129</v>
      </c>
      <c r="D695" t="s">
        <v>139</v>
      </c>
      <c r="E695" t="s">
        <v>131</v>
      </c>
      <c r="F695" s="36">
        <v>1131</v>
      </c>
      <c r="G695" s="16" t="str">
        <f>HYPERLINK("#'Data'!A4827", "Households reporting being concerned about being forced to flee, by frequency broken down by gender of respondent on the admin of overall perc")</f>
        <v>Households reporting being concerned about being forced to flee, by frequency broken down by gender of respondent on the admin of overall perc</v>
      </c>
    </row>
    <row r="696" spans="3:7" x14ac:dyDescent="0.35">
      <c r="C696" t="s">
        <v>129</v>
      </c>
      <c r="D696" t="s">
        <v>139</v>
      </c>
      <c r="E696" t="s">
        <v>132</v>
      </c>
      <c r="F696" s="36">
        <v>1132</v>
      </c>
      <c r="G696" s="16" t="str">
        <f>HYPERLINK("#'Data'!A4834", "Households reporting being concerned about being forced to flee, by frequency broken down by age of respondents on the admin of overall perc")</f>
        <v>Households reporting being concerned about being forced to flee, by frequency broken down by age of respondents on the admin of overall perc</v>
      </c>
    </row>
    <row r="697" spans="3:7" x14ac:dyDescent="0.35">
      <c r="C697" t="s">
        <v>129</v>
      </c>
      <c r="D697" t="s">
        <v>139</v>
      </c>
      <c r="E697" t="s">
        <v>133</v>
      </c>
      <c r="F697" s="36">
        <v>1133</v>
      </c>
      <c r="G697" s="16" t="str">
        <f>HYPERLINK("#'Data'!A4842", "Households reporting being concerned about being forced to flee, by frequency broken down by gender and age of respondents on the admin of overall per...")</f>
        <v>Households reporting being concerned about being forced to flee, by frequency broken down by gender and age of respondents on the admin of overall per...</v>
      </c>
    </row>
    <row r="698" spans="3:7" x14ac:dyDescent="0.35">
      <c r="C698" t="s">
        <v>129</v>
      </c>
      <c r="D698" t="s">
        <v>140</v>
      </c>
      <c r="E698" t="s">
        <v>36</v>
      </c>
      <c r="F698" s="36">
        <v>1134</v>
      </c>
      <c r="G698" s="16" t="str">
        <f>HYPERLINK("#'Data'!A4855", "Households reporting being concerned about violence in the community, not related to the conflict, by frequency on the admin of overall perc")</f>
        <v>Households reporting being concerned about violence in the community, not related to the conflict, by frequency on the admin of overall perc</v>
      </c>
    </row>
    <row r="699" spans="3:7" x14ac:dyDescent="0.35">
      <c r="C699" t="s">
        <v>129</v>
      </c>
      <c r="D699" t="s">
        <v>140</v>
      </c>
      <c r="E699" t="s">
        <v>57</v>
      </c>
      <c r="F699" s="36">
        <v>1135</v>
      </c>
      <c r="G699" s="16" t="str">
        <f>HYPERLINK("#'Data'!A4860", "Households reporting being concerned about violence in the community, not related to the conflict, by frequency broken down by households with at leas...")</f>
        <v>Households reporting being concerned about violence in the community, not related to the conflict, by frequency broken down by households with at leas...</v>
      </c>
    </row>
    <row r="700" spans="3:7" x14ac:dyDescent="0.35">
      <c r="C700" t="s">
        <v>129</v>
      </c>
      <c r="D700" t="s">
        <v>140</v>
      </c>
      <c r="E700" t="s">
        <v>58</v>
      </c>
      <c r="F700" s="36">
        <v>1136</v>
      </c>
      <c r="G700" s="16" t="str">
        <f>HYPERLINK("#'Data'!A4866", "Households reporting being concerned about violence in the community, not related to the conflict, by frequency broken down by urbanity on the admin o...")</f>
        <v>Households reporting being concerned about violence in the community, not related to the conflict, by frequency broken down by urbanity on the admin o...</v>
      </c>
    </row>
    <row r="701" spans="3:7" x14ac:dyDescent="0.35">
      <c r="C701" t="s">
        <v>129</v>
      </c>
      <c r="D701" t="s">
        <v>140</v>
      </c>
      <c r="E701" t="s">
        <v>59</v>
      </c>
      <c r="F701" s="36">
        <v>1137</v>
      </c>
      <c r="G701" s="16" t="str">
        <f>HYPERLINK("#'Data'!A4872", "Households reporting being concerned about violence in the community, not related to the conflict, by frequency broken down by household size on the a...")</f>
        <v>Households reporting being concerned about violence in the community, not related to the conflict, by frequency broken down by household size on the a...</v>
      </c>
    </row>
    <row r="702" spans="3:7" x14ac:dyDescent="0.35">
      <c r="C702" t="s">
        <v>129</v>
      </c>
      <c r="D702" t="s">
        <v>140</v>
      </c>
      <c r="E702" t="s">
        <v>60</v>
      </c>
      <c r="F702" s="36">
        <v>1138</v>
      </c>
      <c r="G702" s="16" t="str">
        <f>HYPERLINK("#'Data'!A4879", "Households reporting being concerned about violence in the community, not related to the conflict, by frequency broken down by income per capita (quar...")</f>
        <v>Households reporting being concerned about violence in the community, not related to the conflict, by frequency broken down by income per capita (quar...</v>
      </c>
    </row>
    <row r="703" spans="3:7" x14ac:dyDescent="0.35">
      <c r="C703" t="s">
        <v>129</v>
      </c>
      <c r="D703" t="s">
        <v>140</v>
      </c>
      <c r="E703" t="s">
        <v>61</v>
      </c>
      <c r="F703" s="36">
        <v>1139</v>
      </c>
      <c r="G703" s="16" t="str">
        <f>HYPERLINK("#'Data'!A4887", "Households reporting being concerned about violence in the community, not related to the conflict, by frequency broken down by gender of head of house...")</f>
        <v>Households reporting being concerned about violence in the community, not related to the conflict, by frequency broken down by gender of head of house...</v>
      </c>
    </row>
    <row r="704" spans="3:7" x14ac:dyDescent="0.35">
      <c r="C704" t="s">
        <v>129</v>
      </c>
      <c r="D704" t="s">
        <v>140</v>
      </c>
      <c r="E704" t="s">
        <v>62</v>
      </c>
      <c r="F704" s="36">
        <v>1140</v>
      </c>
      <c r="G704" s="16" t="str">
        <f>HYPERLINK("#'Data'!A4895", "Households reporting being concerned about violence in the community, not related to the conflict, by frequency broken down by age of adults in the ho...")</f>
        <v>Households reporting being concerned about violence in the community, not related to the conflict, by frequency broken down by age of adults in the ho...</v>
      </c>
    </row>
    <row r="705" spans="3:7" x14ac:dyDescent="0.35">
      <c r="C705" t="s">
        <v>129</v>
      </c>
      <c r="D705" t="s">
        <v>140</v>
      </c>
      <c r="E705" t="s">
        <v>76</v>
      </c>
      <c r="F705" s="36">
        <v>1141</v>
      </c>
      <c r="G705" s="16" t="str">
        <f>HYPERLINK("#'Data'!A4902", "Households reporting being concerned about violence in the community, not related to the conflict, by frequency broken down by households with at leas...")</f>
        <v>Households reporting being concerned about violence in the community, not related to the conflict, by frequency broken down by households with at leas...</v>
      </c>
    </row>
    <row r="706" spans="3:7" x14ac:dyDescent="0.35">
      <c r="C706" t="s">
        <v>129</v>
      </c>
      <c r="D706" t="s">
        <v>140</v>
      </c>
      <c r="E706" t="s">
        <v>63</v>
      </c>
      <c r="F706" s="36">
        <v>1142</v>
      </c>
      <c r="G706" s="16" t="str">
        <f>HYPERLINK("#'Data'!A4908", "Households reporting being concerned about violence in the community, not related to the conflict, by frequency broken down by displacement status of ...")</f>
        <v>Households reporting being concerned about violence in the community, not related to the conflict, by frequency broken down by displacement status of ...</v>
      </c>
    </row>
    <row r="707" spans="3:7" x14ac:dyDescent="0.35">
      <c r="C707" t="s">
        <v>129</v>
      </c>
      <c r="D707" t="s">
        <v>140</v>
      </c>
      <c r="E707" t="s">
        <v>64</v>
      </c>
      <c r="F707" s="36">
        <v>1143</v>
      </c>
      <c r="G707" s="16" t="str">
        <f>HYPERLINK("#'Data'!A4917", "Households reporting being concerned about violence in the community, not related to the conflict, by frequency broken down by IDP household on the ad...")</f>
        <v>Households reporting being concerned about violence in the community, not related to the conflict, by frequency broken down by IDP household on the ad...</v>
      </c>
    </row>
    <row r="708" spans="3:7" x14ac:dyDescent="0.35">
      <c r="C708" t="s">
        <v>129</v>
      </c>
      <c r="D708" t="s">
        <v>140</v>
      </c>
      <c r="E708" t="s">
        <v>65</v>
      </c>
      <c r="F708" s="36">
        <v>1144</v>
      </c>
      <c r="G708" s="16" t="str">
        <f>HYPERLINK("#'Data'!A4923", "Households reporting being concerned about violence in the community, not related to the conflict, by frequency broken down by proximity to frontline/...")</f>
        <v>Households reporting being concerned about violence in the community, not related to the conflict, by frequency broken down by proximity to frontline/...</v>
      </c>
    </row>
    <row r="709" spans="3:7" x14ac:dyDescent="0.35">
      <c r="C709" t="s">
        <v>129</v>
      </c>
      <c r="D709" t="s">
        <v>140</v>
      </c>
      <c r="E709" t="s">
        <v>77</v>
      </c>
      <c r="F709" s="36">
        <v>1145</v>
      </c>
      <c r="G709" s="16" t="str">
        <f>HYPERLINK("#'Data'!A4930", "Households reporting being concerned about violence in the community, not related to the conflict, by frequency broken down by caregiving status  on t...")</f>
        <v>Households reporting being concerned about violence in the community, not related to the conflict, by frequency broken down by caregiving status  on t...</v>
      </c>
    </row>
    <row r="710" spans="3:7" x14ac:dyDescent="0.35">
      <c r="C710" t="s">
        <v>129</v>
      </c>
      <c r="D710" t="s">
        <v>140</v>
      </c>
      <c r="E710" t="s">
        <v>131</v>
      </c>
      <c r="F710" s="36">
        <v>1146</v>
      </c>
      <c r="G710" s="16" t="str">
        <f>HYPERLINK("#'Data'!A4938", "Households reporting being concerned about violence in the community, not related to the conflict, by frequency broken down by gender of respondent on...")</f>
        <v>Households reporting being concerned about violence in the community, not related to the conflict, by frequency broken down by gender of respondent on...</v>
      </c>
    </row>
    <row r="711" spans="3:7" x14ac:dyDescent="0.35">
      <c r="C711" t="s">
        <v>129</v>
      </c>
      <c r="D711" t="s">
        <v>140</v>
      </c>
      <c r="E711" t="s">
        <v>132</v>
      </c>
      <c r="F711" s="36">
        <v>1147</v>
      </c>
      <c r="G711" s="16" t="str">
        <f>HYPERLINK("#'Data'!A4945", "Households reporting being concerned about violence in the community, not related to the conflict, by frequency broken down by age of respondents on t...")</f>
        <v>Households reporting being concerned about violence in the community, not related to the conflict, by frequency broken down by age of respondents on t...</v>
      </c>
    </row>
    <row r="712" spans="3:7" x14ac:dyDescent="0.35">
      <c r="C712" t="s">
        <v>129</v>
      </c>
      <c r="D712" t="s">
        <v>140</v>
      </c>
      <c r="E712" t="s">
        <v>133</v>
      </c>
      <c r="F712" s="36">
        <v>1148</v>
      </c>
      <c r="G712" s="16" t="str">
        <f>HYPERLINK("#'Data'!A4953", "Households reporting being concerned about violence in the community, not related to the conflict, by frequency broken down by gender and age of respo...")</f>
        <v>Households reporting being concerned about violence in the community, not related to the conflict, by frequency broken down by gender and age of respo...</v>
      </c>
    </row>
    <row r="713" spans="3:7" x14ac:dyDescent="0.35">
      <c r="C713" t="s">
        <v>129</v>
      </c>
      <c r="D713" t="s">
        <v>141</v>
      </c>
      <c r="E713" t="s">
        <v>36</v>
      </c>
      <c r="F713" s="36">
        <v>1149</v>
      </c>
      <c r="G713" s="16" t="str">
        <f>HYPERLINK("#'Data'!A4966", "Households reporting being concerned about persecution/discrimination, by frequency on the admin of overall perc")</f>
        <v>Households reporting being concerned about persecution/discrimination, by frequency on the admin of overall perc</v>
      </c>
    </row>
    <row r="714" spans="3:7" x14ac:dyDescent="0.35">
      <c r="C714" t="s">
        <v>129</v>
      </c>
      <c r="D714" t="s">
        <v>141</v>
      </c>
      <c r="E714" t="s">
        <v>57</v>
      </c>
      <c r="F714" s="36">
        <v>1150</v>
      </c>
      <c r="G714" s="16" t="str">
        <f>HYPERLINK("#'Data'!A4971", "Households reporting being concerned about persecution/discrimination, by frequency broken down by households with at least one member with a reported...")</f>
        <v>Households reporting being concerned about persecution/discrimination, by frequency broken down by households with at least one member with a reported...</v>
      </c>
    </row>
    <row r="715" spans="3:7" x14ac:dyDescent="0.35">
      <c r="C715" t="s">
        <v>129</v>
      </c>
      <c r="D715" t="s">
        <v>141</v>
      </c>
      <c r="E715" t="s">
        <v>58</v>
      </c>
      <c r="F715" s="36">
        <v>1151</v>
      </c>
      <c r="G715" s="16" t="str">
        <f>HYPERLINK("#'Data'!A4977", "Households reporting being concerned about persecution/discrimination, by frequency broken down by urbanity on the admin of overall perc")</f>
        <v>Households reporting being concerned about persecution/discrimination, by frequency broken down by urbanity on the admin of overall perc</v>
      </c>
    </row>
    <row r="716" spans="3:7" x14ac:dyDescent="0.35">
      <c r="C716" t="s">
        <v>129</v>
      </c>
      <c r="D716" t="s">
        <v>141</v>
      </c>
      <c r="E716" t="s">
        <v>59</v>
      </c>
      <c r="F716" s="36">
        <v>1152</v>
      </c>
      <c r="G716" s="16" t="str">
        <f>HYPERLINK("#'Data'!A4983", "Households reporting being concerned about persecution/discrimination, by frequency broken down by household size on the admin of overall perc")</f>
        <v>Households reporting being concerned about persecution/discrimination, by frequency broken down by household size on the admin of overall perc</v>
      </c>
    </row>
    <row r="717" spans="3:7" x14ac:dyDescent="0.35">
      <c r="C717" t="s">
        <v>129</v>
      </c>
      <c r="D717" t="s">
        <v>141</v>
      </c>
      <c r="E717" t="s">
        <v>60</v>
      </c>
      <c r="F717" s="36">
        <v>1153</v>
      </c>
      <c r="G717" s="16" t="str">
        <f>HYPERLINK("#'Data'!A4990", "Households reporting being concerned about persecution/discrimination, by frequency broken down by income per capita (quartiles) on the admin of overa...")</f>
        <v>Households reporting being concerned about persecution/discrimination, by frequency broken down by income per capita (quartiles) on the admin of overa...</v>
      </c>
    </row>
    <row r="718" spans="3:7" x14ac:dyDescent="0.35">
      <c r="C718" t="s">
        <v>129</v>
      </c>
      <c r="D718" t="s">
        <v>141</v>
      </c>
      <c r="E718" t="s">
        <v>61</v>
      </c>
      <c r="F718" s="36">
        <v>1154</v>
      </c>
      <c r="G718" s="16" t="str">
        <f>HYPERLINK("#'Data'!A4998", "Households reporting being concerned about persecution/discrimination, by frequency broken down by gender of head of household on the admin of overall...")</f>
        <v>Households reporting being concerned about persecution/discrimination, by frequency broken down by gender of head of household on the admin of overall...</v>
      </c>
    </row>
    <row r="719" spans="3:7" x14ac:dyDescent="0.35">
      <c r="C719" t="s">
        <v>129</v>
      </c>
      <c r="D719" t="s">
        <v>141</v>
      </c>
      <c r="E719" t="s">
        <v>62</v>
      </c>
      <c r="F719" s="36">
        <v>1155</v>
      </c>
      <c r="G719" s="16" t="str">
        <f>HYPERLINK("#'Data'!A5006", "Households reporting being concerned about persecution/discrimination, by frequency broken down by age of adults in the households on the admin of ove...")</f>
        <v>Households reporting being concerned about persecution/discrimination, by frequency broken down by age of adults in the households on the admin of ove...</v>
      </c>
    </row>
    <row r="720" spans="3:7" x14ac:dyDescent="0.35">
      <c r="C720" t="s">
        <v>129</v>
      </c>
      <c r="D720" t="s">
        <v>141</v>
      </c>
      <c r="E720" t="s">
        <v>76</v>
      </c>
      <c r="F720" s="36">
        <v>1156</v>
      </c>
      <c r="G720" s="16" t="str">
        <f>HYPERLINK("#'Data'!A5013", "Households reporting being concerned about persecution/discrimination, by frequency broken down by households with at least one child (&lt;18 y.o.) on th...")</f>
        <v>Households reporting being concerned about persecution/discrimination, by frequency broken down by households with at least one child (&lt;18 y.o.) on th...</v>
      </c>
    </row>
    <row r="721" spans="3:7" x14ac:dyDescent="0.35">
      <c r="C721" t="s">
        <v>129</v>
      </c>
      <c r="D721" t="s">
        <v>141</v>
      </c>
      <c r="E721" t="s">
        <v>63</v>
      </c>
      <c r="F721" s="36">
        <v>1157</v>
      </c>
      <c r="G721" s="16" t="str">
        <f>HYPERLINK("#'Data'!A5019", "Households reporting being concerned about persecution/discrimination, by frequency broken down by displacement status of head of household on the adm...")</f>
        <v>Households reporting being concerned about persecution/discrimination, by frequency broken down by displacement status of head of household on the adm...</v>
      </c>
    </row>
    <row r="722" spans="3:7" x14ac:dyDescent="0.35">
      <c r="C722" t="s">
        <v>129</v>
      </c>
      <c r="D722" t="s">
        <v>141</v>
      </c>
      <c r="E722" t="s">
        <v>64</v>
      </c>
      <c r="F722" s="36">
        <v>1158</v>
      </c>
      <c r="G722" s="16" t="str">
        <f>HYPERLINK("#'Data'!A5028", "Households reporting being concerned about persecution/discrimination, by frequency broken down by IDP household on the admin of overall perc")</f>
        <v>Households reporting being concerned about persecution/discrimination, by frequency broken down by IDP household on the admin of overall perc</v>
      </c>
    </row>
    <row r="723" spans="3:7" x14ac:dyDescent="0.35">
      <c r="C723" t="s">
        <v>129</v>
      </c>
      <c r="D723" t="s">
        <v>141</v>
      </c>
      <c r="E723" t="s">
        <v>65</v>
      </c>
      <c r="F723" s="36">
        <v>1159</v>
      </c>
      <c r="G723" s="16" t="str">
        <f>HYPERLINK("#'Data'!A5034", "Households reporting being concerned about persecution/discrimination, by frequency broken down by proximity to frontline/border with Russian Federati...")</f>
        <v>Households reporting being concerned about persecution/discrimination, by frequency broken down by proximity to frontline/border with Russian Federati...</v>
      </c>
    </row>
    <row r="724" spans="3:7" x14ac:dyDescent="0.35">
      <c r="C724" t="s">
        <v>129</v>
      </c>
      <c r="D724" t="s">
        <v>141</v>
      </c>
      <c r="E724" t="s">
        <v>77</v>
      </c>
      <c r="F724" s="36">
        <v>1160</v>
      </c>
      <c r="G724" s="16" t="str">
        <f>HYPERLINK("#'Data'!A5041", "Households reporting being concerned about persecution/discrimination, by frequency broken down by caregiving status  on the admin of overall perc")</f>
        <v>Households reporting being concerned about persecution/discrimination, by frequency broken down by caregiving status  on the admin of overall perc</v>
      </c>
    </row>
    <row r="725" spans="3:7" x14ac:dyDescent="0.35">
      <c r="C725" t="s">
        <v>129</v>
      </c>
      <c r="D725" t="s">
        <v>141</v>
      </c>
      <c r="E725" t="s">
        <v>131</v>
      </c>
      <c r="F725" s="36">
        <v>1161</v>
      </c>
      <c r="G725" s="16" t="str">
        <f>HYPERLINK("#'Data'!A5049", "Households reporting being concerned about persecution/discrimination, by frequency broken down by gender of respondent on the admin of overall perc")</f>
        <v>Households reporting being concerned about persecution/discrimination, by frequency broken down by gender of respondent on the admin of overall perc</v>
      </c>
    </row>
    <row r="726" spans="3:7" x14ac:dyDescent="0.35">
      <c r="C726" t="s">
        <v>129</v>
      </c>
      <c r="D726" t="s">
        <v>141</v>
      </c>
      <c r="E726" t="s">
        <v>132</v>
      </c>
      <c r="F726" s="36">
        <v>1162</v>
      </c>
      <c r="G726" s="16" t="str">
        <f>HYPERLINK("#'Data'!A5056", "Households reporting being concerned about persecution/discrimination, by frequency broken down by age of respondents on the admin of overall perc")</f>
        <v>Households reporting being concerned about persecution/discrimination, by frequency broken down by age of respondents on the admin of overall perc</v>
      </c>
    </row>
    <row r="727" spans="3:7" x14ac:dyDescent="0.35">
      <c r="C727" t="s">
        <v>129</v>
      </c>
      <c r="D727" t="s">
        <v>141</v>
      </c>
      <c r="E727" t="s">
        <v>133</v>
      </c>
      <c r="F727" s="36">
        <v>1163</v>
      </c>
      <c r="G727" s="16" t="str">
        <f>HYPERLINK("#'Data'!A5064", "Households reporting being concerned about persecution/discrimination, by frequency broken down by gender and age of respondents on the admin of overa...")</f>
        <v>Households reporting being concerned about persecution/discrimination, by frequency broken down by gender and age of respondents on the admin of overa...</v>
      </c>
    </row>
    <row r="728" spans="3:7" x14ac:dyDescent="0.35">
      <c r="C728" t="s">
        <v>129</v>
      </c>
      <c r="D728" t="s">
        <v>142</v>
      </c>
      <c r="E728" t="s">
        <v>36</v>
      </c>
      <c r="F728" s="36">
        <v>1164</v>
      </c>
      <c r="G728" s="16" t="str">
        <f>HYPERLINK("#'Data'!A5077", "Households reporting being concerned about kidnapping/detention/abduction, by frequency on the admin of overall perc")</f>
        <v>Households reporting being concerned about kidnapping/detention/abduction, by frequency on the admin of overall perc</v>
      </c>
    </row>
    <row r="729" spans="3:7" x14ac:dyDescent="0.35">
      <c r="C729" t="s">
        <v>129</v>
      </c>
      <c r="D729" t="s">
        <v>142</v>
      </c>
      <c r="E729" t="s">
        <v>57</v>
      </c>
      <c r="F729" s="36">
        <v>1165</v>
      </c>
      <c r="G729" s="16" t="str">
        <f>HYPERLINK("#'Data'!A5082", "Households reporting being concerned about kidnapping/detention/abduction, by frequency broken down by households with at least one member with a repo...")</f>
        <v>Households reporting being concerned about kidnapping/detention/abduction, by frequency broken down by households with at least one member with a repo...</v>
      </c>
    </row>
    <row r="730" spans="3:7" x14ac:dyDescent="0.35">
      <c r="C730" t="s">
        <v>129</v>
      </c>
      <c r="D730" t="s">
        <v>142</v>
      </c>
      <c r="E730" t="s">
        <v>58</v>
      </c>
      <c r="F730" s="36">
        <v>1166</v>
      </c>
      <c r="G730" s="16" t="str">
        <f>HYPERLINK("#'Data'!A5088", "Households reporting being concerned about kidnapping/detention/abduction, by frequency broken down by urbanity on the admin of overall perc")</f>
        <v>Households reporting being concerned about kidnapping/detention/abduction, by frequency broken down by urbanity on the admin of overall perc</v>
      </c>
    </row>
    <row r="731" spans="3:7" x14ac:dyDescent="0.35">
      <c r="C731" t="s">
        <v>129</v>
      </c>
      <c r="D731" t="s">
        <v>142</v>
      </c>
      <c r="E731" t="s">
        <v>59</v>
      </c>
      <c r="F731" s="36">
        <v>1167</v>
      </c>
      <c r="G731" s="16" t="str">
        <f>HYPERLINK("#'Data'!A5094", "Households reporting being concerned about kidnapping/detention/abduction, by frequency broken down by household size on the admin of overall perc")</f>
        <v>Households reporting being concerned about kidnapping/detention/abduction, by frequency broken down by household size on the admin of overall perc</v>
      </c>
    </row>
    <row r="732" spans="3:7" x14ac:dyDescent="0.35">
      <c r="C732" t="s">
        <v>129</v>
      </c>
      <c r="D732" t="s">
        <v>142</v>
      </c>
      <c r="E732" t="s">
        <v>60</v>
      </c>
      <c r="F732" s="36">
        <v>1168</v>
      </c>
      <c r="G732" s="16" t="str">
        <f>HYPERLINK("#'Data'!A5101", "Households reporting being concerned about kidnapping/detention/abduction, by frequency broken down by income per capita (quartiles) on the admin of o...")</f>
        <v>Households reporting being concerned about kidnapping/detention/abduction, by frequency broken down by income per capita (quartiles) on the admin of o...</v>
      </c>
    </row>
    <row r="733" spans="3:7" x14ac:dyDescent="0.35">
      <c r="C733" t="s">
        <v>129</v>
      </c>
      <c r="D733" t="s">
        <v>142</v>
      </c>
      <c r="E733" t="s">
        <v>61</v>
      </c>
      <c r="F733" s="36">
        <v>1169</v>
      </c>
      <c r="G733" s="16" t="str">
        <f>HYPERLINK("#'Data'!A5109", "Households reporting being concerned about kidnapping/detention/abduction, by frequency broken down by gender of head of household on the admin of ove...")</f>
        <v>Households reporting being concerned about kidnapping/detention/abduction, by frequency broken down by gender of head of household on the admin of ove...</v>
      </c>
    </row>
    <row r="734" spans="3:7" x14ac:dyDescent="0.35">
      <c r="C734" t="s">
        <v>129</v>
      </c>
      <c r="D734" t="s">
        <v>142</v>
      </c>
      <c r="E734" t="s">
        <v>62</v>
      </c>
      <c r="F734" s="36">
        <v>1170</v>
      </c>
      <c r="G734" s="16" t="str">
        <f>HYPERLINK("#'Data'!A5117", "Households reporting being concerned about kidnapping/detention/abduction, by frequency broken down by age of adults in the households on the admin of...")</f>
        <v>Households reporting being concerned about kidnapping/detention/abduction, by frequency broken down by age of adults in the households on the admin of...</v>
      </c>
    </row>
    <row r="735" spans="3:7" x14ac:dyDescent="0.35">
      <c r="C735" t="s">
        <v>129</v>
      </c>
      <c r="D735" t="s">
        <v>142</v>
      </c>
      <c r="E735" t="s">
        <v>76</v>
      </c>
      <c r="F735" s="36">
        <v>1171</v>
      </c>
      <c r="G735" s="16" t="str">
        <f>HYPERLINK("#'Data'!A5124", "Households reporting being concerned about kidnapping/detention/abduction, by frequency broken down by households with at least one child (&lt;18 y.o.) o...")</f>
        <v>Households reporting being concerned about kidnapping/detention/abduction, by frequency broken down by households with at least one child (&lt;18 y.o.) o...</v>
      </c>
    </row>
    <row r="736" spans="3:7" x14ac:dyDescent="0.35">
      <c r="C736" t="s">
        <v>129</v>
      </c>
      <c r="D736" t="s">
        <v>142</v>
      </c>
      <c r="E736" t="s">
        <v>63</v>
      </c>
      <c r="F736" s="36">
        <v>1172</v>
      </c>
      <c r="G736" s="16" t="str">
        <f>HYPERLINK("#'Data'!A5130", "Households reporting being concerned about kidnapping/detention/abduction, by frequency broken down by displacement status of head of household on the...")</f>
        <v>Households reporting being concerned about kidnapping/detention/abduction, by frequency broken down by displacement status of head of household on the...</v>
      </c>
    </row>
    <row r="737" spans="3:7" x14ac:dyDescent="0.35">
      <c r="C737" t="s">
        <v>129</v>
      </c>
      <c r="D737" t="s">
        <v>142</v>
      </c>
      <c r="E737" t="s">
        <v>64</v>
      </c>
      <c r="F737" s="36">
        <v>1173</v>
      </c>
      <c r="G737" s="16" t="str">
        <f>HYPERLINK("#'Data'!A5139", "Households reporting being concerned about kidnapping/detention/abduction, by frequency broken down by IDP household on the admin of overall perc")</f>
        <v>Households reporting being concerned about kidnapping/detention/abduction, by frequency broken down by IDP household on the admin of overall perc</v>
      </c>
    </row>
    <row r="738" spans="3:7" x14ac:dyDescent="0.35">
      <c r="C738" t="s">
        <v>129</v>
      </c>
      <c r="D738" t="s">
        <v>142</v>
      </c>
      <c r="E738" t="s">
        <v>65</v>
      </c>
      <c r="F738" s="36">
        <v>1174</v>
      </c>
      <c r="G738" s="16" t="str">
        <f>HYPERLINK("#'Data'!A5145", "Households reporting being concerned about kidnapping/detention/abduction, by frequency broken down by proximity to frontline/border with Russian Fede...")</f>
        <v>Households reporting being concerned about kidnapping/detention/abduction, by frequency broken down by proximity to frontline/border with Russian Fede...</v>
      </c>
    </row>
    <row r="739" spans="3:7" x14ac:dyDescent="0.35">
      <c r="C739" t="s">
        <v>129</v>
      </c>
      <c r="D739" t="s">
        <v>142</v>
      </c>
      <c r="E739" t="s">
        <v>77</v>
      </c>
      <c r="F739" s="36">
        <v>1175</v>
      </c>
      <c r="G739" s="16" t="str">
        <f>HYPERLINK("#'Data'!A5152", "Households reporting being concerned about kidnapping/detention/abduction, by frequency broken down by caregiving status  on the admin of overall perc")</f>
        <v>Households reporting being concerned about kidnapping/detention/abduction, by frequency broken down by caregiving status  on the admin of overall perc</v>
      </c>
    </row>
    <row r="740" spans="3:7" x14ac:dyDescent="0.35">
      <c r="C740" t="s">
        <v>129</v>
      </c>
      <c r="D740" t="s">
        <v>142</v>
      </c>
      <c r="E740" t="s">
        <v>131</v>
      </c>
      <c r="F740" s="36">
        <v>1176</v>
      </c>
      <c r="G740" s="16" t="str">
        <f>HYPERLINK("#'Data'!A5160", "Households reporting being concerned about kidnapping/detention/abduction, by frequency broken down by gender of respondent on the admin of overall pe...")</f>
        <v>Households reporting being concerned about kidnapping/detention/abduction, by frequency broken down by gender of respondent on the admin of overall pe...</v>
      </c>
    </row>
    <row r="741" spans="3:7" x14ac:dyDescent="0.35">
      <c r="C741" t="s">
        <v>129</v>
      </c>
      <c r="D741" t="s">
        <v>142</v>
      </c>
      <c r="E741" t="s">
        <v>132</v>
      </c>
      <c r="F741" s="36">
        <v>1177</v>
      </c>
      <c r="G741" s="16" t="str">
        <f>HYPERLINK("#'Data'!A5167", "Households reporting being concerned about kidnapping/detention/abduction, by frequency broken down by age of respondents on the admin of overall perc")</f>
        <v>Households reporting being concerned about kidnapping/detention/abduction, by frequency broken down by age of respondents on the admin of overall perc</v>
      </c>
    </row>
    <row r="742" spans="3:7" x14ac:dyDescent="0.35">
      <c r="C742" t="s">
        <v>129</v>
      </c>
      <c r="D742" t="s">
        <v>142</v>
      </c>
      <c r="E742" t="s">
        <v>133</v>
      </c>
      <c r="F742" s="36">
        <v>1178</v>
      </c>
      <c r="G742" s="16" t="str">
        <f>HYPERLINK("#'Data'!A5175", "Households reporting being concerned about kidnapping/detention/abduction, by frequency broken down by gender and age of respondents on the admin of o...")</f>
        <v>Households reporting being concerned about kidnapping/detention/abduction, by frequency broken down by gender and age of respondents on the admin of o...</v>
      </c>
    </row>
    <row r="743" spans="3:7" x14ac:dyDescent="0.35">
      <c r="C743" t="s">
        <v>129</v>
      </c>
      <c r="D743" t="s">
        <v>143</v>
      </c>
      <c r="E743" t="s">
        <v>36</v>
      </c>
      <c r="F743" s="36">
        <v>1179</v>
      </c>
      <c r="G743" s="16" t="str">
        <f>HYPERLINK("#'Data'!A5188", "Households by reported safety and security concerns for WOMEN in the area, by concern on the admin of overall perc")</f>
        <v>Households by reported safety and security concerns for WOMEN in the area, by concern on the admin of overall perc</v>
      </c>
    </row>
    <row r="744" spans="3:7" x14ac:dyDescent="0.35">
      <c r="C744" t="s">
        <v>129</v>
      </c>
      <c r="D744" t="s">
        <v>143</v>
      </c>
      <c r="E744" t="s">
        <v>57</v>
      </c>
      <c r="F744" s="36">
        <v>1180</v>
      </c>
      <c r="G744" s="16" t="str">
        <f>HYPERLINK("#'Data'!A5193", "Households by reported safety and security concerns for WOMEN in the area, by concern broken down by households with at least one member with a report...")</f>
        <v>Households by reported safety and security concerns for WOMEN in the area, by concern broken down by households with at least one member with a report...</v>
      </c>
    </row>
    <row r="745" spans="3:7" x14ac:dyDescent="0.35">
      <c r="C745" t="s">
        <v>129</v>
      </c>
      <c r="D745" t="s">
        <v>143</v>
      </c>
      <c r="E745" t="s">
        <v>58</v>
      </c>
      <c r="F745" s="36">
        <v>1181</v>
      </c>
      <c r="G745" s="16" t="str">
        <f>HYPERLINK("#'Data'!A5199", "Households by reported safety and security concerns for WOMEN in the area, by concern broken down by urbanity on the admin of overall perc")</f>
        <v>Households by reported safety and security concerns for WOMEN in the area, by concern broken down by urbanity on the admin of overall perc</v>
      </c>
    </row>
    <row r="746" spans="3:7" x14ac:dyDescent="0.35">
      <c r="C746" t="s">
        <v>129</v>
      </c>
      <c r="D746" t="s">
        <v>143</v>
      </c>
      <c r="E746" t="s">
        <v>59</v>
      </c>
      <c r="F746" s="36">
        <v>1182</v>
      </c>
      <c r="G746" s="16" t="str">
        <f>HYPERLINK("#'Data'!A5205", "Households by reported safety and security concerns for WOMEN in the area, by concern broken down by household size on the admin of overall perc")</f>
        <v>Households by reported safety and security concerns for WOMEN in the area, by concern broken down by household size on the admin of overall perc</v>
      </c>
    </row>
    <row r="747" spans="3:7" x14ac:dyDescent="0.35">
      <c r="C747" t="s">
        <v>129</v>
      </c>
      <c r="D747" t="s">
        <v>143</v>
      </c>
      <c r="E747" t="s">
        <v>60</v>
      </c>
      <c r="F747" s="36">
        <v>1183</v>
      </c>
      <c r="G747" s="16" t="str">
        <f>HYPERLINK("#'Data'!A5212", "Households by reported safety and security concerns for WOMEN in the area, by concern broken down by income per capita (quartiles) on the admin of ove...")</f>
        <v>Households by reported safety and security concerns for WOMEN in the area, by concern broken down by income per capita (quartiles) on the admin of ove...</v>
      </c>
    </row>
    <row r="748" spans="3:7" x14ac:dyDescent="0.35">
      <c r="C748" t="s">
        <v>129</v>
      </c>
      <c r="D748" t="s">
        <v>143</v>
      </c>
      <c r="E748" t="s">
        <v>61</v>
      </c>
      <c r="F748" s="36">
        <v>1184</v>
      </c>
      <c r="G748" s="16" t="str">
        <f>HYPERLINK("#'Data'!A5220", "Households by reported safety and security concerns for WOMEN in the area, by concern broken down by gender of head of household on the admin of overa...")</f>
        <v>Households by reported safety and security concerns for WOMEN in the area, by concern broken down by gender of head of household on the admin of overa...</v>
      </c>
    </row>
    <row r="749" spans="3:7" x14ac:dyDescent="0.35">
      <c r="C749" t="s">
        <v>129</v>
      </c>
      <c r="D749" t="s">
        <v>143</v>
      </c>
      <c r="E749" t="s">
        <v>62</v>
      </c>
      <c r="F749" s="36">
        <v>1185</v>
      </c>
      <c r="G749" s="16" t="str">
        <f>HYPERLINK("#'Data'!A5228", "Households by reported safety and security concerns for WOMEN in the area, by concern broken down by age of adults in the households on the admin of o...")</f>
        <v>Households by reported safety and security concerns for WOMEN in the area, by concern broken down by age of adults in the households on the admin of o...</v>
      </c>
    </row>
    <row r="750" spans="3:7" x14ac:dyDescent="0.35">
      <c r="C750" t="s">
        <v>129</v>
      </c>
      <c r="D750" t="s">
        <v>143</v>
      </c>
      <c r="E750" t="s">
        <v>76</v>
      </c>
      <c r="F750" s="36">
        <v>1186</v>
      </c>
      <c r="G750" s="16" t="str">
        <f>HYPERLINK("#'Data'!A5235", "Households by reported safety and security concerns for WOMEN in the area, by concern broken down by households with at least one child (&lt;18 y.o.) on ...")</f>
        <v>Households by reported safety and security concerns for WOMEN in the area, by concern broken down by households with at least one child (&lt;18 y.o.) on ...</v>
      </c>
    </row>
    <row r="751" spans="3:7" x14ac:dyDescent="0.35">
      <c r="C751" t="s">
        <v>129</v>
      </c>
      <c r="D751" t="s">
        <v>143</v>
      </c>
      <c r="E751" t="s">
        <v>63</v>
      </c>
      <c r="F751" s="36">
        <v>1187</v>
      </c>
      <c r="G751" s="16" t="str">
        <f>HYPERLINK("#'Data'!A5241", "Households by reported safety and security concerns for WOMEN in the area, by concern broken down by displacement status of head of household on the a...")</f>
        <v>Households by reported safety and security concerns for WOMEN in the area, by concern broken down by displacement status of head of household on the a...</v>
      </c>
    </row>
    <row r="752" spans="3:7" x14ac:dyDescent="0.35">
      <c r="C752" t="s">
        <v>129</v>
      </c>
      <c r="D752" t="s">
        <v>143</v>
      </c>
      <c r="E752" t="s">
        <v>64</v>
      </c>
      <c r="F752" s="36">
        <v>1188</v>
      </c>
      <c r="G752" s="16" t="str">
        <f>HYPERLINK("#'Data'!A5250", "Households by reported safety and security concerns for WOMEN in the area, by concern broken down by IDP household on the admin of overall perc")</f>
        <v>Households by reported safety and security concerns for WOMEN in the area, by concern broken down by IDP household on the admin of overall perc</v>
      </c>
    </row>
    <row r="753" spans="3:7" x14ac:dyDescent="0.35">
      <c r="C753" t="s">
        <v>129</v>
      </c>
      <c r="D753" t="s">
        <v>143</v>
      </c>
      <c r="E753" t="s">
        <v>65</v>
      </c>
      <c r="F753" s="36">
        <v>1189</v>
      </c>
      <c r="G753" s="16" t="str">
        <f>HYPERLINK("#'Data'!A5256", "Households by reported safety and security concerns for WOMEN in the area, by concern broken down by proximity to frontline/border with Russian Federa...")</f>
        <v>Households by reported safety and security concerns for WOMEN in the area, by concern broken down by proximity to frontline/border with Russian Federa...</v>
      </c>
    </row>
    <row r="754" spans="3:7" x14ac:dyDescent="0.35">
      <c r="C754" t="s">
        <v>129</v>
      </c>
      <c r="D754" t="s">
        <v>143</v>
      </c>
      <c r="E754" t="s">
        <v>77</v>
      </c>
      <c r="F754" s="36">
        <v>1190</v>
      </c>
      <c r="G754" s="16" t="str">
        <f>HYPERLINK("#'Data'!A5263", "Households by reported safety and security concerns for WOMEN in the area, by concern broken down by caregiving status  on the admin of overall perc")</f>
        <v>Households by reported safety and security concerns for WOMEN in the area, by concern broken down by caregiving status  on the admin of overall perc</v>
      </c>
    </row>
    <row r="755" spans="3:7" x14ac:dyDescent="0.35">
      <c r="C755" t="s">
        <v>129</v>
      </c>
      <c r="D755" t="s">
        <v>143</v>
      </c>
      <c r="E755" t="s">
        <v>131</v>
      </c>
      <c r="F755" s="36">
        <v>1191</v>
      </c>
      <c r="G755" s="16" t="str">
        <f>HYPERLINK("#'Data'!A5271", "Households by reported safety and security concerns for WOMEN in the area, by concern broken down by gender of respondent on the admin of overall perc")</f>
        <v>Households by reported safety and security concerns for WOMEN in the area, by concern broken down by gender of respondent on the admin of overall perc</v>
      </c>
    </row>
    <row r="756" spans="3:7" x14ac:dyDescent="0.35">
      <c r="C756" t="s">
        <v>129</v>
      </c>
      <c r="D756" t="s">
        <v>143</v>
      </c>
      <c r="E756" t="s">
        <v>132</v>
      </c>
      <c r="F756" s="36">
        <v>1192</v>
      </c>
      <c r="G756" s="16" t="str">
        <f>HYPERLINK("#'Data'!A5278", "Households by reported safety and security concerns for WOMEN in the area, by concern broken down by age of respondents on the admin of overall perc")</f>
        <v>Households by reported safety and security concerns for WOMEN in the area, by concern broken down by age of respondents on the admin of overall perc</v>
      </c>
    </row>
    <row r="757" spans="3:7" x14ac:dyDescent="0.35">
      <c r="C757" t="s">
        <v>129</v>
      </c>
      <c r="D757" t="s">
        <v>143</v>
      </c>
      <c r="E757" t="s">
        <v>133</v>
      </c>
      <c r="F757" s="36">
        <v>1193</v>
      </c>
      <c r="G757" s="16" t="str">
        <f>HYPERLINK("#'Data'!A5286", "Households by reported safety and security concerns for WOMEN in the area, by concern broken down by gender and age of respondents on the admin of ove...")</f>
        <v>Households by reported safety and security concerns for WOMEN in the area, by concern broken down by gender and age of respondents on the admin of ove...</v>
      </c>
    </row>
    <row r="758" spans="3:7" x14ac:dyDescent="0.35">
      <c r="C758" t="s">
        <v>129</v>
      </c>
      <c r="D758" t="s">
        <v>144</v>
      </c>
      <c r="E758" t="s">
        <v>36</v>
      </c>
      <c r="F758" s="36">
        <v>1194</v>
      </c>
      <c r="G758" s="16" t="str">
        <f>HYPERLINK("#'Data'!A5299", "Percentage of female respondents reporting that at least one female member of their household felt unsafe walking in their community, by frequency on ...")</f>
        <v>Percentage of female respondents reporting that at least one female member of their household felt unsafe walking in their community, by frequency on ...</v>
      </c>
    </row>
    <row r="759" spans="3:7" x14ac:dyDescent="0.35">
      <c r="C759" t="s">
        <v>129</v>
      </c>
      <c r="D759" t="s">
        <v>144</v>
      </c>
      <c r="E759" t="s">
        <v>57</v>
      </c>
      <c r="F759" s="36">
        <v>1195</v>
      </c>
      <c r="G759" s="16" t="str">
        <f>HYPERLINK("#'Data'!A5304", "Percentage of female respondents reporting that at least one female member of their household felt unsafe walking in their community, by frequency bro...")</f>
        <v>Percentage of female respondents reporting that at least one female member of their household felt unsafe walking in their community, by frequency bro...</v>
      </c>
    </row>
    <row r="760" spans="3:7" x14ac:dyDescent="0.35">
      <c r="C760" t="s">
        <v>129</v>
      </c>
      <c r="D760" t="s">
        <v>144</v>
      </c>
      <c r="E760" t="s">
        <v>58</v>
      </c>
      <c r="F760" s="36">
        <v>1196</v>
      </c>
      <c r="G760" s="16" t="str">
        <f>HYPERLINK("#'Data'!A5310", "Percentage of female respondents reporting that at least one female member of their household felt unsafe walking in their community, by frequency bro...")</f>
        <v>Percentage of female respondents reporting that at least one female member of their household felt unsafe walking in their community, by frequency bro...</v>
      </c>
    </row>
    <row r="761" spans="3:7" x14ac:dyDescent="0.35">
      <c r="C761" t="s">
        <v>129</v>
      </c>
      <c r="D761" t="s">
        <v>144</v>
      </c>
      <c r="E761" t="s">
        <v>59</v>
      </c>
      <c r="F761" s="36">
        <v>1197</v>
      </c>
      <c r="G761" s="16" t="str">
        <f>HYPERLINK("#'Data'!A5316", "Percentage of female respondents reporting that at least one female member of their household felt unsafe walking in their community, by frequency bro...")</f>
        <v>Percentage of female respondents reporting that at least one female member of their household felt unsafe walking in their community, by frequency bro...</v>
      </c>
    </row>
    <row r="762" spans="3:7" x14ac:dyDescent="0.35">
      <c r="C762" t="s">
        <v>129</v>
      </c>
      <c r="D762" t="s">
        <v>144</v>
      </c>
      <c r="E762" t="s">
        <v>60</v>
      </c>
      <c r="F762" s="36">
        <v>1198</v>
      </c>
      <c r="G762" s="16" t="str">
        <f>HYPERLINK("#'Data'!A5323", "Percentage of female respondents reporting that at least one female member of their household felt unsafe walking in their community, by frequency bro...")</f>
        <v>Percentage of female respondents reporting that at least one female member of their household felt unsafe walking in their community, by frequency bro...</v>
      </c>
    </row>
    <row r="763" spans="3:7" x14ac:dyDescent="0.35">
      <c r="C763" t="s">
        <v>129</v>
      </c>
      <c r="D763" t="s">
        <v>144</v>
      </c>
      <c r="E763" t="s">
        <v>61</v>
      </c>
      <c r="F763" s="36">
        <v>1199</v>
      </c>
      <c r="G763" s="16" t="str">
        <f>HYPERLINK("#'Data'!A5331", "Percentage of female respondents reporting that at least one female member of their household felt unsafe walking in their community, by frequency bro...")</f>
        <v>Percentage of female respondents reporting that at least one female member of their household felt unsafe walking in their community, by frequency bro...</v>
      </c>
    </row>
    <row r="764" spans="3:7" x14ac:dyDescent="0.35">
      <c r="C764" t="s">
        <v>129</v>
      </c>
      <c r="D764" t="s">
        <v>144</v>
      </c>
      <c r="E764" t="s">
        <v>62</v>
      </c>
      <c r="F764" s="36">
        <v>1200</v>
      </c>
      <c r="G764" s="16" t="str">
        <f>HYPERLINK("#'Data'!A5339", "Percentage of female respondents reporting that at least one female member of their household felt unsafe walking in their community, by frequency bro...")</f>
        <v>Percentage of female respondents reporting that at least one female member of their household felt unsafe walking in their community, by frequency bro...</v>
      </c>
    </row>
    <row r="765" spans="3:7" x14ac:dyDescent="0.35">
      <c r="C765" t="s">
        <v>129</v>
      </c>
      <c r="D765" t="s">
        <v>144</v>
      </c>
      <c r="E765" t="s">
        <v>76</v>
      </c>
      <c r="F765" s="36">
        <v>1201</v>
      </c>
      <c r="G765" s="16" t="str">
        <f>HYPERLINK("#'Data'!A5346", "Percentage of female respondents reporting that at least one female member of their household felt unsafe walking in their community, by frequency bro...")</f>
        <v>Percentage of female respondents reporting that at least one female member of their household felt unsafe walking in their community, by frequency bro...</v>
      </c>
    </row>
    <row r="766" spans="3:7" x14ac:dyDescent="0.35">
      <c r="C766" t="s">
        <v>129</v>
      </c>
      <c r="D766" t="s">
        <v>144</v>
      </c>
      <c r="E766" t="s">
        <v>63</v>
      </c>
      <c r="F766" s="36">
        <v>1202</v>
      </c>
      <c r="G766" s="16" t="str">
        <f>HYPERLINK("#'Data'!A5352", "Percentage of female respondents reporting that at least one female member of their household felt unsafe walking in their community, by frequency bro...")</f>
        <v>Percentage of female respondents reporting that at least one female member of their household felt unsafe walking in their community, by frequency bro...</v>
      </c>
    </row>
    <row r="767" spans="3:7" x14ac:dyDescent="0.35">
      <c r="C767" t="s">
        <v>129</v>
      </c>
      <c r="D767" t="s">
        <v>144</v>
      </c>
      <c r="E767" t="s">
        <v>64</v>
      </c>
      <c r="F767" s="36">
        <v>1203</v>
      </c>
      <c r="G767" s="16" t="str">
        <f>HYPERLINK("#'Data'!A5361", "Percentage of female respondents reporting that at least one female member of their household felt unsafe walking in their community, by frequency bro...")</f>
        <v>Percentage of female respondents reporting that at least one female member of their household felt unsafe walking in their community, by frequency bro...</v>
      </c>
    </row>
    <row r="768" spans="3:7" x14ac:dyDescent="0.35">
      <c r="C768" t="s">
        <v>129</v>
      </c>
      <c r="D768" t="s">
        <v>144</v>
      </c>
      <c r="E768" t="s">
        <v>65</v>
      </c>
      <c r="F768" s="36">
        <v>1204</v>
      </c>
      <c r="G768" s="16" t="str">
        <f>HYPERLINK("#'Data'!A5367", "Percentage of female respondents reporting that at least one female member of their household felt unsafe walking in their community, by frequency bro...")</f>
        <v>Percentage of female respondents reporting that at least one female member of their household felt unsafe walking in their community, by frequency bro...</v>
      </c>
    </row>
    <row r="769" spans="3:7" x14ac:dyDescent="0.35">
      <c r="C769" t="s">
        <v>129</v>
      </c>
      <c r="D769" t="s">
        <v>144</v>
      </c>
      <c r="E769" t="s">
        <v>77</v>
      </c>
      <c r="F769" s="36">
        <v>1205</v>
      </c>
      <c r="G769" s="16" t="str">
        <f>HYPERLINK("#'Data'!A5374", "Percentage of female respondents reporting that at least one female member of their household felt unsafe walking in their community, by frequency bro...")</f>
        <v>Percentage of female respondents reporting that at least one female member of their household felt unsafe walking in their community, by frequency bro...</v>
      </c>
    </row>
    <row r="770" spans="3:7" x14ac:dyDescent="0.35">
      <c r="C770" t="s">
        <v>129</v>
      </c>
      <c r="D770" t="s">
        <v>144</v>
      </c>
      <c r="E770" t="s">
        <v>132</v>
      </c>
      <c r="F770" s="36">
        <v>1207</v>
      </c>
      <c r="G770" s="16" t="str">
        <f>HYPERLINK("#'Data'!A5381", "Percentage of female respondents reporting that at least one female member of their household felt unsafe walking in their community, by frequency bro...")</f>
        <v>Percentage of female respondents reporting that at least one female member of their household felt unsafe walking in their community, by frequency bro...</v>
      </c>
    </row>
    <row r="771" spans="3:7" x14ac:dyDescent="0.35">
      <c r="C771" t="s">
        <v>129</v>
      </c>
      <c r="D771" t="s">
        <v>145</v>
      </c>
      <c r="E771" t="s">
        <v>36</v>
      </c>
      <c r="F771" s="36">
        <v>1209</v>
      </c>
      <c r="G771" s="16" t="str">
        <f>HYPERLINK("#'Data'!A5389", "Percentage of households reporting areas/places that women and girls usually avoid, by type on the admin of overall perc")</f>
        <v>Percentage of households reporting areas/places that women and girls usually avoid, by type on the admin of overall perc</v>
      </c>
    </row>
    <row r="772" spans="3:7" x14ac:dyDescent="0.35">
      <c r="C772" t="s">
        <v>129</v>
      </c>
      <c r="D772" t="s">
        <v>145</v>
      </c>
      <c r="E772" t="s">
        <v>57</v>
      </c>
      <c r="F772" s="36">
        <v>1210</v>
      </c>
      <c r="G772" s="16" t="str">
        <f>HYPERLINK("#'Data'!A5394", "Percentage of households reporting areas/places that women and girls usually avoid, by type broken down by households with at least one member with a ...")</f>
        <v>Percentage of households reporting areas/places that women and girls usually avoid, by type broken down by households with at least one member with a ...</v>
      </c>
    </row>
    <row r="773" spans="3:7" x14ac:dyDescent="0.35">
      <c r="C773" t="s">
        <v>129</v>
      </c>
      <c r="D773" t="s">
        <v>145</v>
      </c>
      <c r="E773" t="s">
        <v>58</v>
      </c>
      <c r="F773" s="36">
        <v>1211</v>
      </c>
      <c r="G773" s="16" t="str">
        <f>HYPERLINK("#'Data'!A5400", "Percentage of households reporting areas/places that women and girls usually avoid, by type broken down by urbanity on the admin of overall perc")</f>
        <v>Percentage of households reporting areas/places that women and girls usually avoid, by type broken down by urbanity on the admin of overall perc</v>
      </c>
    </row>
    <row r="774" spans="3:7" x14ac:dyDescent="0.35">
      <c r="C774" t="s">
        <v>129</v>
      </c>
      <c r="D774" t="s">
        <v>145</v>
      </c>
      <c r="E774" t="s">
        <v>59</v>
      </c>
      <c r="F774" s="36">
        <v>1212</v>
      </c>
      <c r="G774" s="16" t="str">
        <f>HYPERLINK("#'Data'!A5406", "Percentage of households reporting areas/places that women and girls usually avoid, by type broken down by household size on the admin of overall perc")</f>
        <v>Percentage of households reporting areas/places that women and girls usually avoid, by type broken down by household size on the admin of overall perc</v>
      </c>
    </row>
    <row r="775" spans="3:7" x14ac:dyDescent="0.35">
      <c r="C775" t="s">
        <v>129</v>
      </c>
      <c r="D775" t="s">
        <v>145</v>
      </c>
      <c r="E775" t="s">
        <v>60</v>
      </c>
      <c r="F775" s="36">
        <v>1213</v>
      </c>
      <c r="G775" s="16" t="str">
        <f>HYPERLINK("#'Data'!A5413", "Percentage of households reporting areas/places that women and girls usually avoid, by type broken down by income per capita (quartiles) on the admin ...")</f>
        <v>Percentage of households reporting areas/places that women and girls usually avoid, by type broken down by income per capita (quartiles) on the admin ...</v>
      </c>
    </row>
    <row r="776" spans="3:7" x14ac:dyDescent="0.35">
      <c r="C776" t="s">
        <v>129</v>
      </c>
      <c r="D776" t="s">
        <v>145</v>
      </c>
      <c r="E776" t="s">
        <v>61</v>
      </c>
      <c r="F776" s="36">
        <v>1214</v>
      </c>
      <c r="G776" s="16" t="str">
        <f>HYPERLINK("#'Data'!A5421", "Percentage of households reporting areas/places that women and girls usually avoid, by type broken down by gender of head of household on the admin of...")</f>
        <v>Percentage of households reporting areas/places that women and girls usually avoid, by type broken down by gender of head of household on the admin of...</v>
      </c>
    </row>
    <row r="777" spans="3:7" x14ac:dyDescent="0.35">
      <c r="C777" t="s">
        <v>129</v>
      </c>
      <c r="D777" t="s">
        <v>145</v>
      </c>
      <c r="E777" t="s">
        <v>62</v>
      </c>
      <c r="F777" s="36">
        <v>1215</v>
      </c>
      <c r="G777" s="16" t="str">
        <f>HYPERLINK("#'Data'!A5429", "Percentage of households reporting areas/places that women and girls usually avoid, by type broken down by age of adults in the households on the admi...")</f>
        <v>Percentage of households reporting areas/places that women and girls usually avoid, by type broken down by age of adults in the households on the admi...</v>
      </c>
    </row>
    <row r="778" spans="3:7" x14ac:dyDescent="0.35">
      <c r="C778" t="s">
        <v>129</v>
      </c>
      <c r="D778" t="s">
        <v>145</v>
      </c>
      <c r="E778" t="s">
        <v>76</v>
      </c>
      <c r="F778" s="36">
        <v>1216</v>
      </c>
      <c r="G778" s="16" t="str">
        <f>HYPERLINK("#'Data'!A5436", "Percentage of households reporting areas/places that women and girls usually avoid, by type broken down by households with at least one child (&lt;18 y.o...")</f>
        <v>Percentage of households reporting areas/places that women and girls usually avoid, by type broken down by households with at least one child (&lt;18 y.o...</v>
      </c>
    </row>
    <row r="779" spans="3:7" x14ac:dyDescent="0.35">
      <c r="C779" t="s">
        <v>129</v>
      </c>
      <c r="D779" t="s">
        <v>145</v>
      </c>
      <c r="E779" t="s">
        <v>63</v>
      </c>
      <c r="F779" s="36">
        <v>1217</v>
      </c>
      <c r="G779" s="16" t="str">
        <f>HYPERLINK("#'Data'!A5442", "Percentage of households reporting areas/places that women and girls usually avoid, by type broken down by displacement status of head of household on...")</f>
        <v>Percentage of households reporting areas/places that women and girls usually avoid, by type broken down by displacement status of head of household on...</v>
      </c>
    </row>
    <row r="780" spans="3:7" x14ac:dyDescent="0.35">
      <c r="C780" t="s">
        <v>129</v>
      </c>
      <c r="D780" t="s">
        <v>145</v>
      </c>
      <c r="E780" t="s">
        <v>64</v>
      </c>
      <c r="F780" s="36">
        <v>1218</v>
      </c>
      <c r="G780" s="16" t="str">
        <f>HYPERLINK("#'Data'!A5451", "Percentage of households reporting areas/places that women and girls usually avoid, by type broken down by IDP household on the admin of overall perc")</f>
        <v>Percentage of households reporting areas/places that women and girls usually avoid, by type broken down by IDP household on the admin of overall perc</v>
      </c>
    </row>
    <row r="781" spans="3:7" x14ac:dyDescent="0.35">
      <c r="C781" t="s">
        <v>129</v>
      </c>
      <c r="D781" t="s">
        <v>145</v>
      </c>
      <c r="E781" t="s">
        <v>65</v>
      </c>
      <c r="F781" s="36">
        <v>1219</v>
      </c>
      <c r="G781" s="16" t="str">
        <f>HYPERLINK("#'Data'!A5457", "Percentage of households reporting areas/places that women and girls usually avoid, by type broken down by proximity to frontline/border with Russian ...")</f>
        <v>Percentage of households reporting areas/places that women and girls usually avoid, by type broken down by proximity to frontline/border with Russian ...</v>
      </c>
    </row>
    <row r="782" spans="3:7" x14ac:dyDescent="0.35">
      <c r="C782" t="s">
        <v>129</v>
      </c>
      <c r="D782" t="s">
        <v>145</v>
      </c>
      <c r="E782" t="s">
        <v>77</v>
      </c>
      <c r="F782" s="36">
        <v>1220</v>
      </c>
      <c r="G782" s="16" t="str">
        <f>HYPERLINK("#'Data'!A5464", "Percentage of households reporting areas/places that women and girls usually avoid, by type broken down by caregiving status  on the admin of overall ...")</f>
        <v>Percentage of households reporting areas/places that women and girls usually avoid, by type broken down by caregiving status  on the admin of overall ...</v>
      </c>
    </row>
    <row r="783" spans="3:7" x14ac:dyDescent="0.35">
      <c r="C783" t="s">
        <v>129</v>
      </c>
      <c r="D783" t="s">
        <v>145</v>
      </c>
      <c r="E783" t="s">
        <v>131</v>
      </c>
      <c r="F783" s="36">
        <v>1221</v>
      </c>
      <c r="G783" s="16" t="str">
        <f>HYPERLINK("#'Data'!A5472", "Percentage of households reporting areas/places that women and girls usually avoid, by type broken down by gender of respondent on the admin of overal...")</f>
        <v>Percentage of households reporting areas/places that women and girls usually avoid, by type broken down by gender of respondent on the admin of overal...</v>
      </c>
    </row>
    <row r="784" spans="3:7" x14ac:dyDescent="0.35">
      <c r="C784" t="s">
        <v>129</v>
      </c>
      <c r="D784" t="s">
        <v>145</v>
      </c>
      <c r="E784" t="s">
        <v>132</v>
      </c>
      <c r="F784" s="36">
        <v>1222</v>
      </c>
      <c r="G784" s="16" t="str">
        <f>HYPERLINK("#'Data'!A5478", "Percentage of households reporting areas/places that women and girls usually avoid, by type broken down by age of respondents on the admin of overall ...")</f>
        <v>Percentage of households reporting areas/places that women and girls usually avoid, by type broken down by age of respondents on the admin of overall ...</v>
      </c>
    </row>
    <row r="785" spans="3:7" x14ac:dyDescent="0.35">
      <c r="C785" t="s">
        <v>129</v>
      </c>
      <c r="D785" t="s">
        <v>145</v>
      </c>
      <c r="E785" t="s">
        <v>133</v>
      </c>
      <c r="F785" s="36">
        <v>1223</v>
      </c>
      <c r="G785" s="16" t="str">
        <f>HYPERLINK("#'Data'!A5486", "Percentage of households reporting areas/places that women and girls usually avoid, by type broken down by gender and age of respondents on the admin ...")</f>
        <v>Percentage of households reporting areas/places that women and girls usually avoid, by type broken down by gender and age of respondents on the admin ...</v>
      </c>
    </row>
    <row r="786" spans="3:7" x14ac:dyDescent="0.35">
      <c r="C786" t="s">
        <v>129</v>
      </c>
      <c r="D786" t="s">
        <v>146</v>
      </c>
      <c r="E786" t="s">
        <v>36</v>
      </c>
      <c r="F786" s="36">
        <v>1224</v>
      </c>
      <c r="G786" s="16" t="str">
        <f>HYPERLINK("#'Data'!A5498", "Households by reported safety and security concerns for MEN in the area, by concern on the admin of overall perc")</f>
        <v>Households by reported safety and security concerns for MEN in the area, by concern on the admin of overall perc</v>
      </c>
    </row>
    <row r="787" spans="3:7" x14ac:dyDescent="0.35">
      <c r="C787" t="s">
        <v>129</v>
      </c>
      <c r="D787" t="s">
        <v>146</v>
      </c>
      <c r="E787" t="s">
        <v>57</v>
      </c>
      <c r="F787" s="36">
        <v>1225</v>
      </c>
      <c r="G787" s="16" t="str">
        <f>HYPERLINK("#'Data'!A5503", "Households by reported safety and security concerns for MEN in the area, by concern broken down by households with at least one member with a reported...")</f>
        <v>Households by reported safety and security concerns for MEN in the area, by concern broken down by households with at least one member with a reported...</v>
      </c>
    </row>
    <row r="788" spans="3:7" x14ac:dyDescent="0.35">
      <c r="C788" t="s">
        <v>129</v>
      </c>
      <c r="D788" t="s">
        <v>146</v>
      </c>
      <c r="E788" t="s">
        <v>58</v>
      </c>
      <c r="F788" s="36">
        <v>1226</v>
      </c>
      <c r="G788" s="16" t="str">
        <f>HYPERLINK("#'Data'!A5509", "Households by reported safety and security concerns for MEN in the area, by concern broken down by urbanity on the admin of overall perc")</f>
        <v>Households by reported safety and security concerns for MEN in the area, by concern broken down by urbanity on the admin of overall perc</v>
      </c>
    </row>
    <row r="789" spans="3:7" x14ac:dyDescent="0.35">
      <c r="C789" t="s">
        <v>129</v>
      </c>
      <c r="D789" t="s">
        <v>146</v>
      </c>
      <c r="E789" t="s">
        <v>59</v>
      </c>
      <c r="F789" s="36">
        <v>1227</v>
      </c>
      <c r="G789" s="16" t="str">
        <f>HYPERLINK("#'Data'!A5515", "Households by reported safety and security concerns for MEN in the area, by concern broken down by household size on the admin of overall perc")</f>
        <v>Households by reported safety and security concerns for MEN in the area, by concern broken down by household size on the admin of overall perc</v>
      </c>
    </row>
    <row r="790" spans="3:7" x14ac:dyDescent="0.35">
      <c r="C790" t="s">
        <v>129</v>
      </c>
      <c r="D790" t="s">
        <v>146</v>
      </c>
      <c r="E790" t="s">
        <v>60</v>
      </c>
      <c r="F790" s="36">
        <v>1228</v>
      </c>
      <c r="G790" s="16" t="str">
        <f>HYPERLINK("#'Data'!A5522", "Households by reported safety and security concerns for MEN in the area, by concern broken down by income per capita (quartiles) on the admin of overa...")</f>
        <v>Households by reported safety and security concerns for MEN in the area, by concern broken down by income per capita (quartiles) on the admin of overa...</v>
      </c>
    </row>
    <row r="791" spans="3:7" x14ac:dyDescent="0.35">
      <c r="C791" t="s">
        <v>129</v>
      </c>
      <c r="D791" t="s">
        <v>146</v>
      </c>
      <c r="E791" t="s">
        <v>61</v>
      </c>
      <c r="F791" s="36">
        <v>1229</v>
      </c>
      <c r="G791" s="16" t="str">
        <f>HYPERLINK("#'Data'!A5530", "Households by reported safety and security concerns for MEN in the area, by concern broken down by gender of head of household on the admin of overall...")</f>
        <v>Households by reported safety and security concerns for MEN in the area, by concern broken down by gender of head of household on the admin of overall...</v>
      </c>
    </row>
    <row r="792" spans="3:7" x14ac:dyDescent="0.35">
      <c r="C792" t="s">
        <v>129</v>
      </c>
      <c r="D792" t="s">
        <v>146</v>
      </c>
      <c r="E792" t="s">
        <v>62</v>
      </c>
      <c r="F792" s="36">
        <v>1230</v>
      </c>
      <c r="G792" s="16" t="str">
        <f>HYPERLINK("#'Data'!A5538", "Households by reported safety and security concerns for MEN in the area, by concern broken down by age of adults in the households on the admin of ove...")</f>
        <v>Households by reported safety and security concerns for MEN in the area, by concern broken down by age of adults in the households on the admin of ove...</v>
      </c>
    </row>
    <row r="793" spans="3:7" x14ac:dyDescent="0.35">
      <c r="C793" t="s">
        <v>129</v>
      </c>
      <c r="D793" t="s">
        <v>146</v>
      </c>
      <c r="E793" t="s">
        <v>76</v>
      </c>
      <c r="F793" s="36">
        <v>1231</v>
      </c>
      <c r="G793" s="16" t="str">
        <f>HYPERLINK("#'Data'!A5545", "Households by reported safety and security concerns for MEN in the area, by concern broken down by households with at least one child (&lt;18 y.o.) on th...")</f>
        <v>Households by reported safety and security concerns for MEN in the area, by concern broken down by households with at least one child (&lt;18 y.o.) on th...</v>
      </c>
    </row>
    <row r="794" spans="3:7" x14ac:dyDescent="0.35">
      <c r="C794" t="s">
        <v>129</v>
      </c>
      <c r="D794" t="s">
        <v>146</v>
      </c>
      <c r="E794" t="s">
        <v>63</v>
      </c>
      <c r="F794" s="36">
        <v>1232</v>
      </c>
      <c r="G794" s="16" t="str">
        <f>HYPERLINK("#'Data'!A5551", "Households by reported safety and security concerns for MEN in the area, by concern broken down by displacement status of head of household on the adm...")</f>
        <v>Households by reported safety and security concerns for MEN in the area, by concern broken down by displacement status of head of household on the adm...</v>
      </c>
    </row>
    <row r="795" spans="3:7" x14ac:dyDescent="0.35">
      <c r="C795" t="s">
        <v>129</v>
      </c>
      <c r="D795" t="s">
        <v>146</v>
      </c>
      <c r="E795" t="s">
        <v>64</v>
      </c>
      <c r="F795" s="36">
        <v>1233</v>
      </c>
      <c r="G795" s="16" t="str">
        <f>HYPERLINK("#'Data'!A5560", "Households by reported safety and security concerns for MEN in the area, by concern broken down by IDP household on the admin of overall perc")</f>
        <v>Households by reported safety and security concerns for MEN in the area, by concern broken down by IDP household on the admin of overall perc</v>
      </c>
    </row>
    <row r="796" spans="3:7" x14ac:dyDescent="0.35">
      <c r="C796" t="s">
        <v>129</v>
      </c>
      <c r="D796" t="s">
        <v>146</v>
      </c>
      <c r="E796" t="s">
        <v>65</v>
      </c>
      <c r="F796" s="36">
        <v>1234</v>
      </c>
      <c r="G796" s="16" t="str">
        <f>HYPERLINK("#'Data'!A5566", "Households by reported safety and security concerns for MEN in the area, by concern broken down by proximity to frontline/border with Russian Federati...")</f>
        <v>Households by reported safety and security concerns for MEN in the area, by concern broken down by proximity to frontline/border with Russian Federati...</v>
      </c>
    </row>
    <row r="797" spans="3:7" x14ac:dyDescent="0.35">
      <c r="C797" t="s">
        <v>129</v>
      </c>
      <c r="D797" t="s">
        <v>146</v>
      </c>
      <c r="E797" t="s">
        <v>77</v>
      </c>
      <c r="F797" s="36">
        <v>1235</v>
      </c>
      <c r="G797" s="16" t="str">
        <f>HYPERLINK("#'Data'!A5573", "Households by reported safety and security concerns for MEN in the area, by concern broken down by caregiving status  on the admin of overall perc")</f>
        <v>Households by reported safety and security concerns for MEN in the area, by concern broken down by caregiving status  on the admin of overall perc</v>
      </c>
    </row>
    <row r="798" spans="3:7" x14ac:dyDescent="0.35">
      <c r="C798" t="s">
        <v>129</v>
      </c>
      <c r="D798" t="s">
        <v>146</v>
      </c>
      <c r="E798" t="s">
        <v>131</v>
      </c>
      <c r="F798" s="36">
        <v>1236</v>
      </c>
      <c r="G798" s="16" t="str">
        <f>HYPERLINK("#'Data'!A5581", "Households by reported safety and security concerns for MEN in the area, by concern broken down by gender of respondent on the admin of overall perc")</f>
        <v>Households by reported safety and security concerns for MEN in the area, by concern broken down by gender of respondent on the admin of overall perc</v>
      </c>
    </row>
    <row r="799" spans="3:7" x14ac:dyDescent="0.35">
      <c r="C799" t="s">
        <v>129</v>
      </c>
      <c r="D799" t="s">
        <v>146</v>
      </c>
      <c r="E799" t="s">
        <v>132</v>
      </c>
      <c r="F799" s="36">
        <v>1237</v>
      </c>
      <c r="G799" s="16" t="str">
        <f>HYPERLINK("#'Data'!A5588", "Households by reported safety and security concerns for MEN in the area, by concern broken down by age of respondents on the admin of overall perc")</f>
        <v>Households by reported safety and security concerns for MEN in the area, by concern broken down by age of respondents on the admin of overall perc</v>
      </c>
    </row>
    <row r="800" spans="3:7" x14ac:dyDescent="0.35">
      <c r="C800" t="s">
        <v>129</v>
      </c>
      <c r="D800" t="s">
        <v>146</v>
      </c>
      <c r="E800" t="s">
        <v>133</v>
      </c>
      <c r="F800" s="36">
        <v>1238</v>
      </c>
      <c r="G800" s="16" t="str">
        <f>HYPERLINK("#'Data'!A5596", "Households by reported safety and security concerns for MEN in the area, by concern broken down by gender and age of respondents on the admin of overa...")</f>
        <v>Households by reported safety and security concerns for MEN in the area, by concern broken down by gender and age of respondents on the admin of overa...</v>
      </c>
    </row>
    <row r="801" spans="3:7" x14ac:dyDescent="0.35">
      <c r="C801" t="s">
        <v>129</v>
      </c>
      <c r="D801" t="s">
        <v>147</v>
      </c>
      <c r="E801" t="s">
        <v>36</v>
      </c>
      <c r="F801" s="36">
        <v>1239</v>
      </c>
      <c r="G801" s="16" t="str">
        <f>HYPERLINK("#'Data'!A5609", "Households by reported safety and security concerns for CHILDREN in the area, by concern on the admin of overall perc")</f>
        <v>Households by reported safety and security concerns for CHILDREN in the area, by concern on the admin of overall perc</v>
      </c>
    </row>
    <row r="802" spans="3:7" x14ac:dyDescent="0.35">
      <c r="C802" t="s">
        <v>129</v>
      </c>
      <c r="D802" t="s">
        <v>147</v>
      </c>
      <c r="E802" t="s">
        <v>57</v>
      </c>
      <c r="F802" s="36">
        <v>1240</v>
      </c>
      <c r="G802" s="16" t="str">
        <f>HYPERLINK("#'Data'!A5614", "Households by reported safety and security concerns for CHILDREN in the area, by concern broken down by households with at least one member with a rep...")</f>
        <v>Households by reported safety and security concerns for CHILDREN in the area, by concern broken down by households with at least one member with a rep...</v>
      </c>
    </row>
    <row r="803" spans="3:7" x14ac:dyDescent="0.35">
      <c r="C803" t="s">
        <v>129</v>
      </c>
      <c r="D803" t="s">
        <v>147</v>
      </c>
      <c r="E803" t="s">
        <v>58</v>
      </c>
      <c r="F803" s="36">
        <v>1241</v>
      </c>
      <c r="G803" s="16" t="str">
        <f>HYPERLINK("#'Data'!A5620", "Households by reported safety and security concerns for CHILDREN in the area, by concern broken down by urbanity on the admin of overall perc")</f>
        <v>Households by reported safety and security concerns for CHILDREN in the area, by concern broken down by urbanity on the admin of overall perc</v>
      </c>
    </row>
    <row r="804" spans="3:7" x14ac:dyDescent="0.35">
      <c r="C804" t="s">
        <v>129</v>
      </c>
      <c r="D804" t="s">
        <v>147</v>
      </c>
      <c r="E804" t="s">
        <v>59</v>
      </c>
      <c r="F804" s="36">
        <v>1242</v>
      </c>
      <c r="G804" s="16" t="str">
        <f>HYPERLINK("#'Data'!A5626", "Households by reported safety and security concerns for CHILDREN in the area, by concern broken down by household size on the admin of overall perc")</f>
        <v>Households by reported safety and security concerns for CHILDREN in the area, by concern broken down by household size on the admin of overall perc</v>
      </c>
    </row>
    <row r="805" spans="3:7" x14ac:dyDescent="0.35">
      <c r="C805" t="s">
        <v>129</v>
      </c>
      <c r="D805" t="s">
        <v>147</v>
      </c>
      <c r="E805" t="s">
        <v>60</v>
      </c>
      <c r="F805" s="36">
        <v>1243</v>
      </c>
      <c r="G805" s="16" t="str">
        <f>HYPERLINK("#'Data'!A5633", "Households by reported safety and security concerns for CHILDREN in the area, by concern broken down by income per capita (quartiles) on the admin of ...")</f>
        <v>Households by reported safety and security concerns for CHILDREN in the area, by concern broken down by income per capita (quartiles) on the admin of ...</v>
      </c>
    </row>
    <row r="806" spans="3:7" x14ac:dyDescent="0.35">
      <c r="C806" t="s">
        <v>129</v>
      </c>
      <c r="D806" t="s">
        <v>147</v>
      </c>
      <c r="E806" t="s">
        <v>61</v>
      </c>
      <c r="F806" s="36">
        <v>1244</v>
      </c>
      <c r="G806" s="16" t="str">
        <f>HYPERLINK("#'Data'!A5641", "Households by reported safety and security concerns for CHILDREN in the area, by concern broken down by gender of head of household on the admin of ov...")</f>
        <v>Households by reported safety and security concerns for CHILDREN in the area, by concern broken down by gender of head of household on the admin of ov...</v>
      </c>
    </row>
    <row r="807" spans="3:7" x14ac:dyDescent="0.35">
      <c r="C807" t="s">
        <v>129</v>
      </c>
      <c r="D807" t="s">
        <v>147</v>
      </c>
      <c r="E807" t="s">
        <v>62</v>
      </c>
      <c r="F807" s="36">
        <v>1245</v>
      </c>
      <c r="G807" s="16" t="str">
        <f>HYPERLINK("#'Data'!A5649", "Households by reported safety and security concerns for CHILDREN in the area, by concern broken down by age of adults in the households on the admin o...")</f>
        <v>Households by reported safety and security concerns for CHILDREN in the area, by concern broken down by age of adults in the households on the admin o...</v>
      </c>
    </row>
    <row r="808" spans="3:7" x14ac:dyDescent="0.35">
      <c r="C808" t="s">
        <v>129</v>
      </c>
      <c r="D808" t="s">
        <v>147</v>
      </c>
      <c r="E808" t="s">
        <v>76</v>
      </c>
      <c r="F808" s="36">
        <v>1246</v>
      </c>
      <c r="G808" s="16" t="str">
        <f>HYPERLINK("#'Data'!A5656", "Households by reported safety and security concerns for CHILDREN in the area, by concern broken down by households with at least one child (&lt;18 y.o.) ...")</f>
        <v>Households by reported safety and security concerns for CHILDREN in the area, by concern broken down by households with at least one child (&lt;18 y.o.) ...</v>
      </c>
    </row>
    <row r="809" spans="3:7" x14ac:dyDescent="0.35">
      <c r="C809" t="s">
        <v>129</v>
      </c>
      <c r="D809" t="s">
        <v>147</v>
      </c>
      <c r="E809" t="s">
        <v>63</v>
      </c>
      <c r="F809" s="36">
        <v>1247</v>
      </c>
      <c r="G809" s="16" t="str">
        <f>HYPERLINK("#'Data'!A5662", "Households by reported safety and security concerns for CHILDREN in the area, by concern broken down by displacement status of head of household on th...")</f>
        <v>Households by reported safety and security concerns for CHILDREN in the area, by concern broken down by displacement status of head of household on th...</v>
      </c>
    </row>
    <row r="810" spans="3:7" x14ac:dyDescent="0.35">
      <c r="C810" t="s">
        <v>129</v>
      </c>
      <c r="D810" t="s">
        <v>147</v>
      </c>
      <c r="E810" t="s">
        <v>64</v>
      </c>
      <c r="F810" s="36">
        <v>1248</v>
      </c>
      <c r="G810" s="16" t="str">
        <f>HYPERLINK("#'Data'!A5671", "Households by reported safety and security concerns for CHILDREN in the area, by concern broken down by IDP household on the admin of overall perc")</f>
        <v>Households by reported safety and security concerns for CHILDREN in the area, by concern broken down by IDP household on the admin of overall perc</v>
      </c>
    </row>
    <row r="811" spans="3:7" x14ac:dyDescent="0.35">
      <c r="C811" t="s">
        <v>129</v>
      </c>
      <c r="D811" t="s">
        <v>147</v>
      </c>
      <c r="E811" t="s">
        <v>65</v>
      </c>
      <c r="F811" s="36">
        <v>1249</v>
      </c>
      <c r="G811" s="16" t="str">
        <f>HYPERLINK("#'Data'!A5677", "Households by reported safety and security concerns for CHILDREN in the area, by concern broken down by proximity to frontline/border with Russian Fed...")</f>
        <v>Households by reported safety and security concerns for CHILDREN in the area, by concern broken down by proximity to frontline/border with Russian Fed...</v>
      </c>
    </row>
    <row r="812" spans="3:7" x14ac:dyDescent="0.35">
      <c r="C812" t="s">
        <v>129</v>
      </c>
      <c r="D812" t="s">
        <v>147</v>
      </c>
      <c r="E812" t="s">
        <v>77</v>
      </c>
      <c r="F812" s="36">
        <v>1250</v>
      </c>
      <c r="G812" s="16" t="str">
        <f>HYPERLINK("#'Data'!A5684", "Households by reported safety and security concerns for CHILDREN in the area, by concern broken down by caregiving status  on the admin of overall per...")</f>
        <v>Households by reported safety and security concerns for CHILDREN in the area, by concern broken down by caregiving status  on the admin of overall per...</v>
      </c>
    </row>
    <row r="813" spans="3:7" x14ac:dyDescent="0.35">
      <c r="C813" t="s">
        <v>129</v>
      </c>
      <c r="D813" t="s">
        <v>147</v>
      </c>
      <c r="E813" t="s">
        <v>131</v>
      </c>
      <c r="F813" s="36">
        <v>1251</v>
      </c>
      <c r="G813" s="16" t="str">
        <f>HYPERLINK("#'Data'!A5692", "Households by reported safety and security concerns for CHILDREN in the area, by concern broken down by gender of respondent on the admin of overall p...")</f>
        <v>Households by reported safety and security concerns for CHILDREN in the area, by concern broken down by gender of respondent on the admin of overall p...</v>
      </c>
    </row>
    <row r="814" spans="3:7" x14ac:dyDescent="0.35">
      <c r="C814" t="s">
        <v>129</v>
      </c>
      <c r="D814" t="s">
        <v>147</v>
      </c>
      <c r="E814" t="s">
        <v>132</v>
      </c>
      <c r="F814" s="36">
        <v>1252</v>
      </c>
      <c r="G814" s="16" t="str">
        <f>HYPERLINK("#'Data'!A5699", "Households by reported safety and security concerns for CHILDREN in the area, by concern broken down by age of respondents on the admin of overall per...")</f>
        <v>Households by reported safety and security concerns for CHILDREN in the area, by concern broken down by age of respondents on the admin of overall per...</v>
      </c>
    </row>
    <row r="815" spans="3:7" x14ac:dyDescent="0.35">
      <c r="C815" t="s">
        <v>129</v>
      </c>
      <c r="D815" t="s">
        <v>147</v>
      </c>
      <c r="E815" t="s">
        <v>133</v>
      </c>
      <c r="F815" s="36">
        <v>1253</v>
      </c>
      <c r="G815" s="16" t="str">
        <f>HYPERLINK("#'Data'!A5707", "Households by reported safety and security concerns for CHILDREN in the area, by concern broken down by gender and age of respondents on the admin of ...")</f>
        <v>Households by reported safety and security concerns for CHILDREN in the area, by concern broken down by gender and age of respondents on the admin of ...</v>
      </c>
    </row>
    <row r="816" spans="3:7" x14ac:dyDescent="0.35">
      <c r="C816" t="s">
        <v>129</v>
      </c>
      <c r="D816" t="s">
        <v>148</v>
      </c>
      <c r="E816" t="s">
        <v>36</v>
      </c>
      <c r="F816" s="36">
        <v>1254</v>
      </c>
      <c r="G816" s="16" t="str">
        <f>HYPERLINK("#'Data'!A5720", "Housing/land/property (HLP) concerns of households, by concern on the admin of overall perc")</f>
        <v>Housing/land/property (HLP) concerns of households, by concern on the admin of overall perc</v>
      </c>
    </row>
    <row r="817" spans="3:7" x14ac:dyDescent="0.35">
      <c r="C817" t="s">
        <v>129</v>
      </c>
      <c r="D817" t="s">
        <v>148</v>
      </c>
      <c r="E817" t="s">
        <v>57</v>
      </c>
      <c r="F817" s="36">
        <v>1255</v>
      </c>
      <c r="G817" s="16" t="str">
        <f>HYPERLINK("#'Data'!A5725", "Housing/land/property (HLP) concerns of households, by concern broken down by households with at least one member with a reported and/or registered di...")</f>
        <v>Housing/land/property (HLP) concerns of households, by concern broken down by households with at least one member with a reported and/or registered di...</v>
      </c>
    </row>
    <row r="818" spans="3:7" x14ac:dyDescent="0.35">
      <c r="C818" t="s">
        <v>129</v>
      </c>
      <c r="D818" t="s">
        <v>148</v>
      </c>
      <c r="E818" t="s">
        <v>58</v>
      </c>
      <c r="F818" s="36">
        <v>1256</v>
      </c>
      <c r="G818" s="16" t="str">
        <f>HYPERLINK("#'Data'!A5731", "Housing/land/property (HLP) concerns of households, by concern broken down by urbanity on the admin of overall perc")</f>
        <v>Housing/land/property (HLP) concerns of households, by concern broken down by urbanity on the admin of overall perc</v>
      </c>
    </row>
    <row r="819" spans="3:7" x14ac:dyDescent="0.35">
      <c r="C819" t="s">
        <v>129</v>
      </c>
      <c r="D819" t="s">
        <v>148</v>
      </c>
      <c r="E819" t="s">
        <v>59</v>
      </c>
      <c r="F819" s="36">
        <v>1257</v>
      </c>
      <c r="G819" s="16" t="str">
        <f>HYPERLINK("#'Data'!A5737", "Housing/land/property (HLP) concerns of households, by concern broken down by household size on the admin of overall perc")</f>
        <v>Housing/land/property (HLP) concerns of households, by concern broken down by household size on the admin of overall perc</v>
      </c>
    </row>
    <row r="820" spans="3:7" x14ac:dyDescent="0.35">
      <c r="C820" t="s">
        <v>129</v>
      </c>
      <c r="D820" t="s">
        <v>148</v>
      </c>
      <c r="E820" t="s">
        <v>60</v>
      </c>
      <c r="F820" s="36">
        <v>1258</v>
      </c>
      <c r="G820" s="16" t="str">
        <f>HYPERLINK("#'Data'!A5744", "Housing/land/property (HLP) concerns of households, by concern broken down by income per capita (quartiles) on the admin of overall perc")</f>
        <v>Housing/land/property (HLP) concerns of households, by concern broken down by income per capita (quartiles) on the admin of overall perc</v>
      </c>
    </row>
    <row r="821" spans="3:7" x14ac:dyDescent="0.35">
      <c r="C821" t="s">
        <v>129</v>
      </c>
      <c r="D821" t="s">
        <v>148</v>
      </c>
      <c r="E821" t="s">
        <v>61</v>
      </c>
      <c r="F821" s="36">
        <v>1259</v>
      </c>
      <c r="G821" s="16" t="str">
        <f>HYPERLINK("#'Data'!A5752", "Housing/land/property (HLP) concerns of households, by concern broken down by gender of head of household on the admin of overall perc")</f>
        <v>Housing/land/property (HLP) concerns of households, by concern broken down by gender of head of household on the admin of overall perc</v>
      </c>
    </row>
    <row r="822" spans="3:7" x14ac:dyDescent="0.35">
      <c r="C822" t="s">
        <v>129</v>
      </c>
      <c r="D822" t="s">
        <v>148</v>
      </c>
      <c r="E822" t="s">
        <v>62</v>
      </c>
      <c r="F822" s="36">
        <v>1260</v>
      </c>
      <c r="G822" s="16" t="str">
        <f>HYPERLINK("#'Data'!A5760", "Housing/land/property (HLP) concerns of households, by concern broken down by age of adults in the households on the admin of overall perc")</f>
        <v>Housing/land/property (HLP) concerns of households, by concern broken down by age of adults in the households on the admin of overall perc</v>
      </c>
    </row>
    <row r="823" spans="3:7" x14ac:dyDescent="0.35">
      <c r="C823" t="s">
        <v>129</v>
      </c>
      <c r="D823" t="s">
        <v>148</v>
      </c>
      <c r="E823" t="s">
        <v>76</v>
      </c>
      <c r="F823" s="36">
        <v>1261</v>
      </c>
      <c r="G823" s="16" t="str">
        <f>HYPERLINK("#'Data'!A5767", "Housing/land/property (HLP) concerns of households, by concern broken down by households with at least one child (&lt;18 y.o.) on the admin of overall pe...")</f>
        <v>Housing/land/property (HLP) concerns of households, by concern broken down by households with at least one child (&lt;18 y.o.) on the admin of overall pe...</v>
      </c>
    </row>
    <row r="824" spans="3:7" x14ac:dyDescent="0.35">
      <c r="C824" t="s">
        <v>129</v>
      </c>
      <c r="D824" t="s">
        <v>148</v>
      </c>
      <c r="E824" t="s">
        <v>63</v>
      </c>
      <c r="F824" s="36">
        <v>1262</v>
      </c>
      <c r="G824" s="16" t="str">
        <f>HYPERLINK("#'Data'!A5773", "Housing/land/property (HLP) concerns of households, by concern broken down by displacement status of head of household on the admin of overall perc")</f>
        <v>Housing/land/property (HLP) concerns of households, by concern broken down by displacement status of head of household on the admin of overall perc</v>
      </c>
    </row>
    <row r="825" spans="3:7" x14ac:dyDescent="0.35">
      <c r="C825" t="s">
        <v>129</v>
      </c>
      <c r="D825" t="s">
        <v>148</v>
      </c>
      <c r="E825" t="s">
        <v>64</v>
      </c>
      <c r="F825" s="36">
        <v>1263</v>
      </c>
      <c r="G825" s="16" t="str">
        <f>HYPERLINK("#'Data'!A5782", "Housing/land/property (HLP) concerns of households, by concern broken down by IDP household on the admin of overall perc")</f>
        <v>Housing/land/property (HLP) concerns of households, by concern broken down by IDP household on the admin of overall perc</v>
      </c>
    </row>
    <row r="826" spans="3:7" x14ac:dyDescent="0.35">
      <c r="C826" t="s">
        <v>129</v>
      </c>
      <c r="D826" t="s">
        <v>148</v>
      </c>
      <c r="E826" t="s">
        <v>65</v>
      </c>
      <c r="F826" s="36">
        <v>1264</v>
      </c>
      <c r="G826" s="16" t="str">
        <f>HYPERLINK("#'Data'!A5788", "Housing/land/property (HLP) concerns of households, by concern broken down by proximity to frontline/border with Russian Federation on the admin of ov...")</f>
        <v>Housing/land/property (HLP) concerns of households, by concern broken down by proximity to frontline/border with Russian Federation on the admin of ov...</v>
      </c>
    </row>
    <row r="827" spans="3:7" x14ac:dyDescent="0.35">
      <c r="C827" t="s">
        <v>129</v>
      </c>
      <c r="D827" t="s">
        <v>148</v>
      </c>
      <c r="E827" t="s">
        <v>77</v>
      </c>
      <c r="F827" s="36">
        <v>1265</v>
      </c>
      <c r="G827" s="16" t="str">
        <f>HYPERLINK("#'Data'!A5795", "Housing/land/property (HLP) concerns of households, by concern broken down by caregiving status  on the admin of overall perc")</f>
        <v>Housing/land/property (HLP) concerns of households, by concern broken down by caregiving status  on the admin of overall perc</v>
      </c>
    </row>
    <row r="828" spans="3:7" x14ac:dyDescent="0.35">
      <c r="C828" t="s">
        <v>129</v>
      </c>
      <c r="D828" t="s">
        <v>148</v>
      </c>
      <c r="E828" t="s">
        <v>131</v>
      </c>
      <c r="F828" s="36">
        <v>1266</v>
      </c>
      <c r="G828" s="16" t="str">
        <f>HYPERLINK("#'Data'!A5803", "Housing/land/property (HLP) concerns of households, by concern broken down by gender of respondent on the admin of overall perc")</f>
        <v>Housing/land/property (HLP) concerns of households, by concern broken down by gender of respondent on the admin of overall perc</v>
      </c>
    </row>
    <row r="829" spans="3:7" x14ac:dyDescent="0.35">
      <c r="C829" t="s">
        <v>129</v>
      </c>
      <c r="D829" t="s">
        <v>148</v>
      </c>
      <c r="E829" t="s">
        <v>132</v>
      </c>
      <c r="F829" s="36">
        <v>1267</v>
      </c>
      <c r="G829" s="16" t="str">
        <f>HYPERLINK("#'Data'!A5810", "Housing/land/property (HLP) concerns of households, by concern broken down by age of respondents on the admin of overall perc")</f>
        <v>Housing/land/property (HLP) concerns of households, by concern broken down by age of respondents on the admin of overall perc</v>
      </c>
    </row>
    <row r="830" spans="3:7" x14ac:dyDescent="0.35">
      <c r="C830" t="s">
        <v>129</v>
      </c>
      <c r="D830" t="s">
        <v>148</v>
      </c>
      <c r="E830" t="s">
        <v>133</v>
      </c>
      <c r="F830" s="36">
        <v>1268</v>
      </c>
      <c r="G830" s="16" t="str">
        <f>HYPERLINK("#'Data'!A5818", "Housing/land/property (HLP) concerns of households, by concern broken down by gender and age of respondents on the admin of overall perc")</f>
        <v>Housing/land/property (HLP) concerns of households, by concern broken down by gender and age of respondents on the admin of overall perc</v>
      </c>
    </row>
    <row r="831" spans="3:7" x14ac:dyDescent="0.35">
      <c r="C831" t="s">
        <v>129</v>
      </c>
      <c r="D831" t="s">
        <v>149</v>
      </c>
      <c r="E831" t="s">
        <v>36</v>
      </c>
      <c r="F831" s="36">
        <v>1269</v>
      </c>
      <c r="G831" s="16" t="str">
        <f>HYPERLINK("#'Data'!A5831", "Households by presence of explosive ordnance present in community on the admin of overall perc")</f>
        <v>Households by presence of explosive ordnance present in community on the admin of overall perc</v>
      </c>
    </row>
    <row r="832" spans="3:7" x14ac:dyDescent="0.35">
      <c r="C832" t="s">
        <v>129</v>
      </c>
      <c r="D832" t="s">
        <v>149</v>
      </c>
      <c r="E832" t="s">
        <v>57</v>
      </c>
      <c r="F832" s="36">
        <v>1270</v>
      </c>
      <c r="G832" s="16" t="str">
        <f>HYPERLINK("#'Data'!A5836", "Households by presence of explosive ordnance present in community broken down by households with at least one member with a reported and/or registered...")</f>
        <v>Households by presence of explosive ordnance present in community broken down by households with at least one member with a reported and/or registered...</v>
      </c>
    </row>
    <row r="833" spans="3:7" x14ac:dyDescent="0.35">
      <c r="C833" t="s">
        <v>129</v>
      </c>
      <c r="D833" t="s">
        <v>149</v>
      </c>
      <c r="E833" t="s">
        <v>58</v>
      </c>
      <c r="F833" s="36">
        <v>1271</v>
      </c>
      <c r="G833" s="16" t="str">
        <f>HYPERLINK("#'Data'!A5842", "Households by presence of explosive ordnance present in community broken down by urbanity on the admin of overall perc")</f>
        <v>Households by presence of explosive ordnance present in community broken down by urbanity on the admin of overall perc</v>
      </c>
    </row>
    <row r="834" spans="3:7" x14ac:dyDescent="0.35">
      <c r="C834" t="s">
        <v>129</v>
      </c>
      <c r="D834" t="s">
        <v>149</v>
      </c>
      <c r="E834" t="s">
        <v>59</v>
      </c>
      <c r="F834" s="36">
        <v>1272</v>
      </c>
      <c r="G834" s="16" t="str">
        <f>HYPERLINK("#'Data'!A5848", "Households by presence of explosive ordnance present in community broken down by household size on the admin of overall perc")</f>
        <v>Households by presence of explosive ordnance present in community broken down by household size on the admin of overall perc</v>
      </c>
    </row>
    <row r="835" spans="3:7" x14ac:dyDescent="0.35">
      <c r="C835" t="s">
        <v>129</v>
      </c>
      <c r="D835" t="s">
        <v>149</v>
      </c>
      <c r="E835" t="s">
        <v>60</v>
      </c>
      <c r="F835" s="36">
        <v>1273</v>
      </c>
      <c r="G835" s="16" t="str">
        <f>HYPERLINK("#'Data'!A5855", "Households by presence of explosive ordnance present in community broken down by income per capita (quartiles) on the admin of overall perc")</f>
        <v>Households by presence of explosive ordnance present in community broken down by income per capita (quartiles) on the admin of overall perc</v>
      </c>
    </row>
    <row r="836" spans="3:7" x14ac:dyDescent="0.35">
      <c r="C836" t="s">
        <v>129</v>
      </c>
      <c r="D836" t="s">
        <v>149</v>
      </c>
      <c r="E836" t="s">
        <v>61</v>
      </c>
      <c r="F836" s="36">
        <v>1274</v>
      </c>
      <c r="G836" s="16" t="str">
        <f>HYPERLINK("#'Data'!A5863", "Households by presence of explosive ordnance present in community broken down by gender of head of household on the admin of overall perc")</f>
        <v>Households by presence of explosive ordnance present in community broken down by gender of head of household on the admin of overall perc</v>
      </c>
    </row>
    <row r="837" spans="3:7" x14ac:dyDescent="0.35">
      <c r="C837" t="s">
        <v>129</v>
      </c>
      <c r="D837" t="s">
        <v>149</v>
      </c>
      <c r="E837" t="s">
        <v>62</v>
      </c>
      <c r="F837" s="36">
        <v>1275</v>
      </c>
      <c r="G837" s="16" t="str">
        <f>HYPERLINK("#'Data'!A5871", "Households by presence of explosive ordnance present in community broken down by age of adults in the households on the admin of overall perc")</f>
        <v>Households by presence of explosive ordnance present in community broken down by age of adults in the households on the admin of overall perc</v>
      </c>
    </row>
    <row r="838" spans="3:7" x14ac:dyDescent="0.35">
      <c r="C838" t="s">
        <v>129</v>
      </c>
      <c r="D838" t="s">
        <v>149</v>
      </c>
      <c r="E838" t="s">
        <v>76</v>
      </c>
      <c r="F838" s="36">
        <v>1276</v>
      </c>
      <c r="G838" s="16" t="str">
        <f>HYPERLINK("#'Data'!A5878", "Households by presence of explosive ordnance present in community broken down by households with at least one child (&lt;18 y.o.) on the admin of overall...")</f>
        <v>Households by presence of explosive ordnance present in community broken down by households with at least one child (&lt;18 y.o.) on the admin of overall...</v>
      </c>
    </row>
    <row r="839" spans="3:7" x14ac:dyDescent="0.35">
      <c r="C839" t="s">
        <v>129</v>
      </c>
      <c r="D839" t="s">
        <v>149</v>
      </c>
      <c r="E839" t="s">
        <v>63</v>
      </c>
      <c r="F839" s="36">
        <v>1277</v>
      </c>
      <c r="G839" s="16" t="str">
        <f>HYPERLINK("#'Data'!A5884", "Households by presence of explosive ordnance present in community broken down by displacement status of head of household on the admin of overall perc")</f>
        <v>Households by presence of explosive ordnance present in community broken down by displacement status of head of household on the admin of overall perc</v>
      </c>
    </row>
    <row r="840" spans="3:7" x14ac:dyDescent="0.35">
      <c r="C840" t="s">
        <v>129</v>
      </c>
      <c r="D840" t="s">
        <v>149</v>
      </c>
      <c r="E840" t="s">
        <v>64</v>
      </c>
      <c r="F840" s="36">
        <v>1278</v>
      </c>
      <c r="G840" s="16" t="str">
        <f>HYPERLINK("#'Data'!A5893", "Households by presence of explosive ordnance present in community broken down by IDP household on the admin of overall perc")</f>
        <v>Households by presence of explosive ordnance present in community broken down by IDP household on the admin of overall perc</v>
      </c>
    </row>
    <row r="841" spans="3:7" x14ac:dyDescent="0.35">
      <c r="C841" t="s">
        <v>129</v>
      </c>
      <c r="D841" t="s">
        <v>149</v>
      </c>
      <c r="E841" t="s">
        <v>65</v>
      </c>
      <c r="F841" s="36">
        <v>1279</v>
      </c>
      <c r="G841" s="16" t="str">
        <f>HYPERLINK("#'Data'!A5899", "Households by presence of explosive ordnance present in community broken down by proximity to frontline/border with Russian Federation on the admin of...")</f>
        <v>Households by presence of explosive ordnance present in community broken down by proximity to frontline/border with Russian Federation on the admin of...</v>
      </c>
    </row>
    <row r="842" spans="3:7" x14ac:dyDescent="0.35">
      <c r="C842" t="s">
        <v>129</v>
      </c>
      <c r="D842" t="s">
        <v>149</v>
      </c>
      <c r="E842" t="s">
        <v>77</v>
      </c>
      <c r="F842" s="36">
        <v>1280</v>
      </c>
      <c r="G842" s="16" t="str">
        <f>HYPERLINK("#'Data'!A5906", "Households by presence of explosive ordnance present in community broken down by caregiving status  on the admin of overall perc")</f>
        <v>Households by presence of explosive ordnance present in community broken down by caregiving status  on the admin of overall perc</v>
      </c>
    </row>
    <row r="843" spans="3:7" x14ac:dyDescent="0.35">
      <c r="C843" t="s">
        <v>129</v>
      </c>
      <c r="D843" t="s">
        <v>149</v>
      </c>
      <c r="E843" t="s">
        <v>131</v>
      </c>
      <c r="F843" s="36">
        <v>1281</v>
      </c>
      <c r="G843" s="16" t="str">
        <f>HYPERLINK("#'Data'!A5914", "Households by presence of explosive ordnance present in community broken down by gender of respondent on the admin of overall perc")</f>
        <v>Households by presence of explosive ordnance present in community broken down by gender of respondent on the admin of overall perc</v>
      </c>
    </row>
    <row r="844" spans="3:7" x14ac:dyDescent="0.35">
      <c r="C844" t="s">
        <v>129</v>
      </c>
      <c r="D844" t="s">
        <v>149</v>
      </c>
      <c r="E844" t="s">
        <v>132</v>
      </c>
      <c r="F844" s="36">
        <v>1282</v>
      </c>
      <c r="G844" s="16" t="str">
        <f>HYPERLINK("#'Data'!A5921", "Households by presence of explosive ordnance present in community broken down by age of respondents on the admin of overall perc")</f>
        <v>Households by presence of explosive ordnance present in community broken down by age of respondents on the admin of overall perc</v>
      </c>
    </row>
    <row r="845" spans="3:7" x14ac:dyDescent="0.35">
      <c r="C845" t="s">
        <v>129</v>
      </c>
      <c r="D845" t="s">
        <v>149</v>
      </c>
      <c r="E845" t="s">
        <v>133</v>
      </c>
      <c r="F845" s="36">
        <v>1283</v>
      </c>
      <c r="G845" s="16" t="str">
        <f>HYPERLINK("#'Data'!A5929", "Households by presence of explosive ordnance present in community broken down by gender and age of respondents on the admin of overall perc")</f>
        <v>Households by presence of explosive ordnance present in community broken down by gender and age of respondents on the admin of overall perc</v>
      </c>
    </row>
    <row r="846" spans="3:7" x14ac:dyDescent="0.35">
      <c r="C846" t="s">
        <v>129</v>
      </c>
      <c r="D846" t="s">
        <v>150</v>
      </c>
      <c r="E846" t="s">
        <v>36</v>
      </c>
      <c r="F846" s="36">
        <v>1284</v>
      </c>
      <c r="G846" s="16" t="str">
        <f>HYPERLINK("#'Data'!A5942", "Households reporting that explosive ordnances affect the livelihoods of people in the community on the admin of overall perc")</f>
        <v>Households reporting that explosive ordnances affect the livelihoods of people in the community on the admin of overall perc</v>
      </c>
    </row>
    <row r="847" spans="3:7" x14ac:dyDescent="0.35">
      <c r="C847" t="s">
        <v>129</v>
      </c>
      <c r="D847" t="s">
        <v>150</v>
      </c>
      <c r="E847" t="s">
        <v>57</v>
      </c>
      <c r="F847" s="36">
        <v>1285</v>
      </c>
      <c r="G847" s="16" t="str">
        <f>HYPERLINK("#'Data'!A5947", "Households reporting that explosive ordnances affect the livelihoods of people in the community broken down by households with at least one member wit...")</f>
        <v>Households reporting that explosive ordnances affect the livelihoods of people in the community broken down by households with at least one member wit...</v>
      </c>
    </row>
    <row r="848" spans="3:7" x14ac:dyDescent="0.35">
      <c r="C848" t="s">
        <v>129</v>
      </c>
      <c r="D848" t="s">
        <v>150</v>
      </c>
      <c r="E848" t="s">
        <v>58</v>
      </c>
      <c r="F848" s="36">
        <v>1286</v>
      </c>
      <c r="G848" s="16" t="str">
        <f>HYPERLINK("#'Data'!A5953", "Households reporting that explosive ordnances affect the livelihoods of people in the community broken down by urbanity on the admin of overall perc")</f>
        <v>Households reporting that explosive ordnances affect the livelihoods of people in the community broken down by urbanity on the admin of overall perc</v>
      </c>
    </row>
    <row r="849" spans="3:7" x14ac:dyDescent="0.35">
      <c r="C849" t="s">
        <v>129</v>
      </c>
      <c r="D849" t="s">
        <v>150</v>
      </c>
      <c r="E849" t="s">
        <v>59</v>
      </c>
      <c r="F849" s="36">
        <v>1287</v>
      </c>
      <c r="G849" s="16" t="str">
        <f>HYPERLINK("#'Data'!A5959", "Households reporting that explosive ordnances affect the livelihoods of people in the community broken down by household size on the admin of overall ...")</f>
        <v>Households reporting that explosive ordnances affect the livelihoods of people in the community broken down by household size on the admin of overall ...</v>
      </c>
    </row>
    <row r="850" spans="3:7" x14ac:dyDescent="0.35">
      <c r="C850" t="s">
        <v>129</v>
      </c>
      <c r="D850" t="s">
        <v>150</v>
      </c>
      <c r="E850" t="s">
        <v>60</v>
      </c>
      <c r="F850" s="36">
        <v>1288</v>
      </c>
      <c r="G850" s="16" t="str">
        <f>HYPERLINK("#'Data'!A5966", "Households reporting that explosive ordnances affect the livelihoods of people in the community broken down by income per capita (quartiles) on the ad...")</f>
        <v>Households reporting that explosive ordnances affect the livelihoods of people in the community broken down by income per capita (quartiles) on the ad...</v>
      </c>
    </row>
    <row r="851" spans="3:7" x14ac:dyDescent="0.35">
      <c r="C851" t="s">
        <v>129</v>
      </c>
      <c r="D851" t="s">
        <v>150</v>
      </c>
      <c r="E851" t="s">
        <v>61</v>
      </c>
      <c r="F851" s="36">
        <v>1289</v>
      </c>
      <c r="G851" s="16" t="str">
        <f>HYPERLINK("#'Data'!A5974", "Households reporting that explosive ordnances affect the livelihoods of people in the community broken down by gender of head of household on the admi...")</f>
        <v>Households reporting that explosive ordnances affect the livelihoods of people in the community broken down by gender of head of household on the admi...</v>
      </c>
    </row>
    <row r="852" spans="3:7" x14ac:dyDescent="0.35">
      <c r="C852" t="s">
        <v>129</v>
      </c>
      <c r="D852" t="s">
        <v>150</v>
      </c>
      <c r="E852" t="s">
        <v>62</v>
      </c>
      <c r="F852" s="36">
        <v>1290</v>
      </c>
      <c r="G852" s="16" t="str">
        <f>HYPERLINK("#'Data'!A5981", "Households reporting that explosive ordnances affect the livelihoods of people in the community broken down by age of adults in the households on the ...")</f>
        <v>Households reporting that explosive ordnances affect the livelihoods of people in the community broken down by age of adults in the households on the ...</v>
      </c>
    </row>
    <row r="853" spans="3:7" x14ac:dyDescent="0.35">
      <c r="C853" t="s">
        <v>129</v>
      </c>
      <c r="D853" t="s">
        <v>150</v>
      </c>
      <c r="E853" t="s">
        <v>76</v>
      </c>
      <c r="F853" s="36">
        <v>1291</v>
      </c>
      <c r="G853" s="16" t="str">
        <f>HYPERLINK("#'Data'!A5988", "Households reporting that explosive ordnances affect the livelihoods of people in the community broken down by households with at least one child (&lt;18...")</f>
        <v>Households reporting that explosive ordnances affect the livelihoods of people in the community broken down by households with at least one child (&lt;18...</v>
      </c>
    </row>
    <row r="854" spans="3:7" x14ac:dyDescent="0.35">
      <c r="C854" t="s">
        <v>129</v>
      </c>
      <c r="D854" t="s">
        <v>150</v>
      </c>
      <c r="E854" t="s">
        <v>63</v>
      </c>
      <c r="F854" s="36">
        <v>1292</v>
      </c>
      <c r="G854" s="16" t="str">
        <f>HYPERLINK("#'Data'!A5994", "Households reporting that explosive ordnances affect the livelihoods of people in the community broken down by displacement status of head of househol...")</f>
        <v>Households reporting that explosive ordnances affect the livelihoods of people in the community broken down by displacement status of head of househol...</v>
      </c>
    </row>
    <row r="855" spans="3:7" x14ac:dyDescent="0.35">
      <c r="C855" t="s">
        <v>129</v>
      </c>
      <c r="D855" t="s">
        <v>150</v>
      </c>
      <c r="E855" t="s">
        <v>64</v>
      </c>
      <c r="F855" s="36">
        <v>1293</v>
      </c>
      <c r="G855" s="16" t="str">
        <f>HYPERLINK("#'Data'!A6003", "Households reporting that explosive ordnances affect the livelihoods of people in the community broken down by IDP household on the admin of overall p...")</f>
        <v>Households reporting that explosive ordnances affect the livelihoods of people in the community broken down by IDP household on the admin of overall p...</v>
      </c>
    </row>
    <row r="856" spans="3:7" x14ac:dyDescent="0.35">
      <c r="C856" t="s">
        <v>129</v>
      </c>
      <c r="D856" t="s">
        <v>150</v>
      </c>
      <c r="E856" t="s">
        <v>65</v>
      </c>
      <c r="F856" s="36">
        <v>1294</v>
      </c>
      <c r="G856" s="16" t="str">
        <f>HYPERLINK("#'Data'!A6009", "Households reporting that explosive ordnances affect the livelihoods of people in the community broken down by proximity to frontline/border with Russ...")</f>
        <v>Households reporting that explosive ordnances affect the livelihoods of people in the community broken down by proximity to frontline/border with Russ...</v>
      </c>
    </row>
    <row r="857" spans="3:7" x14ac:dyDescent="0.35">
      <c r="C857" t="s">
        <v>129</v>
      </c>
      <c r="D857" t="s">
        <v>150</v>
      </c>
      <c r="E857" t="s">
        <v>77</v>
      </c>
      <c r="F857" s="36">
        <v>1295</v>
      </c>
      <c r="G857" s="16" t="str">
        <f>HYPERLINK("#'Data'!A6016", "Households reporting that explosive ordnances affect the livelihoods of people in the community broken down by caregiving status  on the admin of over...")</f>
        <v>Households reporting that explosive ordnances affect the livelihoods of people in the community broken down by caregiving status  on the admin of over...</v>
      </c>
    </row>
    <row r="858" spans="3:7" x14ac:dyDescent="0.35">
      <c r="C858" t="s">
        <v>129</v>
      </c>
      <c r="D858" t="s">
        <v>150</v>
      </c>
      <c r="E858" t="s">
        <v>131</v>
      </c>
      <c r="F858" s="36">
        <v>1296</v>
      </c>
      <c r="G858" s="16" t="str">
        <f>HYPERLINK("#'Data'!A6024", "Households reporting that explosive ordnances affect the livelihoods of people in the community broken down by gender of respondent on the admin of ov...")</f>
        <v>Households reporting that explosive ordnances affect the livelihoods of people in the community broken down by gender of respondent on the admin of ov...</v>
      </c>
    </row>
    <row r="859" spans="3:7" x14ac:dyDescent="0.35">
      <c r="C859" t="s">
        <v>129</v>
      </c>
      <c r="D859" t="s">
        <v>150</v>
      </c>
      <c r="E859" t="s">
        <v>132</v>
      </c>
      <c r="F859" s="36">
        <v>1297</v>
      </c>
      <c r="G859" s="16" t="str">
        <f>HYPERLINK("#'Data'!A6030", "Households reporting that explosive ordnances affect the livelihoods of people in the community broken down by age of respondents on the admin of over...")</f>
        <v>Households reporting that explosive ordnances affect the livelihoods of people in the community broken down by age of respondents on the admin of over...</v>
      </c>
    </row>
    <row r="860" spans="3:7" x14ac:dyDescent="0.35">
      <c r="C860" t="s">
        <v>129</v>
      </c>
      <c r="D860" t="s">
        <v>150</v>
      </c>
      <c r="E860" t="s">
        <v>133</v>
      </c>
      <c r="F860" s="36">
        <v>1298</v>
      </c>
      <c r="G860" s="16" t="str">
        <f>HYPERLINK("#'Data'!A6038", "Households reporting that explosive ordnances affect the livelihoods of people in the community broken down by gender and age of respondents on the ad...")</f>
        <v>Households reporting that explosive ordnances affect the livelihoods of people in the community broken down by gender and age of respondents on the ad...</v>
      </c>
    </row>
    <row r="861" spans="3:7" x14ac:dyDescent="0.35">
      <c r="C861" t="s">
        <v>129</v>
      </c>
      <c r="D861" t="s">
        <v>151</v>
      </c>
      <c r="E861" t="s">
        <v>36</v>
      </c>
      <c r="F861" s="36">
        <v>1299</v>
      </c>
      <c r="G861" s="16" t="str">
        <f>HYPERLINK("#'Data'!A6050", "Households by frequency of training/awareness on safe behaviours towards Explosive Ordnances on the admin of overall mean")</f>
        <v>Households by frequency of training/awareness on safe behaviours towards Explosive Ordnances on the admin of overall mean</v>
      </c>
    </row>
    <row r="862" spans="3:7" x14ac:dyDescent="0.35">
      <c r="C862" t="s">
        <v>129</v>
      </c>
      <c r="D862" t="s">
        <v>151</v>
      </c>
      <c r="E862" t="s">
        <v>57</v>
      </c>
      <c r="F862" s="36">
        <v>1300</v>
      </c>
      <c r="G862" s="16" t="str">
        <f>HYPERLINK("#'Data'!A6055", "Households by frequency of training/awareness on safe behaviours towards Explosive Ordnances broken down by households with at least one member with a...")</f>
        <v>Households by frequency of training/awareness on safe behaviours towards Explosive Ordnances broken down by households with at least one member with a...</v>
      </c>
    </row>
    <row r="863" spans="3:7" x14ac:dyDescent="0.35">
      <c r="C863" t="s">
        <v>129</v>
      </c>
      <c r="D863" t="s">
        <v>151</v>
      </c>
      <c r="E863" t="s">
        <v>58</v>
      </c>
      <c r="F863" s="36">
        <v>1301</v>
      </c>
      <c r="G863" s="16" t="str">
        <f>HYPERLINK("#'Data'!A6061", "Households by frequency of training/awareness on safe behaviours towards Explosive Ordnances broken down by urbanity on the admin of overall mean")</f>
        <v>Households by frequency of training/awareness on safe behaviours towards Explosive Ordnances broken down by urbanity on the admin of overall mean</v>
      </c>
    </row>
    <row r="864" spans="3:7" x14ac:dyDescent="0.35">
      <c r="C864" t="s">
        <v>129</v>
      </c>
      <c r="D864" t="s">
        <v>151</v>
      </c>
      <c r="E864" t="s">
        <v>59</v>
      </c>
      <c r="F864" s="36">
        <v>1302</v>
      </c>
      <c r="G864" s="16" t="str">
        <f>HYPERLINK("#'Data'!A6067", "Households by frequency of training/awareness on safe behaviours towards Explosive Ordnances broken down by household size on the admin of overall mea...")</f>
        <v>Households by frequency of training/awareness on safe behaviours towards Explosive Ordnances broken down by household size on the admin of overall mea...</v>
      </c>
    </row>
    <row r="865" spans="3:7" x14ac:dyDescent="0.35">
      <c r="C865" t="s">
        <v>129</v>
      </c>
      <c r="D865" t="s">
        <v>151</v>
      </c>
      <c r="E865" t="s">
        <v>60</v>
      </c>
      <c r="F865" s="36">
        <v>1303</v>
      </c>
      <c r="G865" s="16" t="str">
        <f>HYPERLINK("#'Data'!A6074", "Households by frequency of training/awareness on safe behaviours towards Explosive Ordnances broken down by income per capita (quartiles) on the admin...")</f>
        <v>Households by frequency of training/awareness on safe behaviours towards Explosive Ordnances broken down by income per capita (quartiles) on the admin...</v>
      </c>
    </row>
    <row r="866" spans="3:7" x14ac:dyDescent="0.35">
      <c r="C866" t="s">
        <v>129</v>
      </c>
      <c r="D866" t="s">
        <v>151</v>
      </c>
      <c r="E866" t="s">
        <v>61</v>
      </c>
      <c r="F866" s="36">
        <v>1304</v>
      </c>
      <c r="G866" s="16" t="str">
        <f>HYPERLINK("#'Data'!A6082", "Households by frequency of training/awareness on safe behaviours towards Explosive Ordnances broken down by gender of head of household on the admin o...")</f>
        <v>Households by frequency of training/awareness on safe behaviours towards Explosive Ordnances broken down by gender of head of household on the admin o...</v>
      </c>
    </row>
    <row r="867" spans="3:7" x14ac:dyDescent="0.35">
      <c r="C867" t="s">
        <v>129</v>
      </c>
      <c r="D867" t="s">
        <v>151</v>
      </c>
      <c r="E867" t="s">
        <v>62</v>
      </c>
      <c r="F867" s="36">
        <v>1305</v>
      </c>
      <c r="G867" s="16" t="str">
        <f>HYPERLINK("#'Data'!A6090", "Households by frequency of training/awareness on safe behaviours towards Explosive Ordnances broken down by age of adults in the households on the adm...")</f>
        <v>Households by frequency of training/awareness on safe behaviours towards Explosive Ordnances broken down by age of adults in the households on the adm...</v>
      </c>
    </row>
    <row r="868" spans="3:7" x14ac:dyDescent="0.35">
      <c r="C868" t="s">
        <v>129</v>
      </c>
      <c r="D868" t="s">
        <v>151</v>
      </c>
      <c r="E868" t="s">
        <v>76</v>
      </c>
      <c r="F868" s="36">
        <v>1306</v>
      </c>
      <c r="G868" s="16" t="str">
        <f>HYPERLINK("#'Data'!A6097", "Households by frequency of training/awareness on safe behaviours towards Explosive Ordnances broken down by households with at least one child (&lt;18 y....")</f>
        <v>Households by frequency of training/awareness on safe behaviours towards Explosive Ordnances broken down by households with at least one child (&lt;18 y....</v>
      </c>
    </row>
    <row r="869" spans="3:7" x14ac:dyDescent="0.35">
      <c r="C869" t="s">
        <v>129</v>
      </c>
      <c r="D869" t="s">
        <v>151</v>
      </c>
      <c r="E869" t="s">
        <v>63</v>
      </c>
      <c r="F869" s="36">
        <v>1307</v>
      </c>
      <c r="G869" s="16" t="str">
        <f>HYPERLINK("#'Data'!A6103", "Households by frequency of training/awareness on safe behaviours towards Explosive Ordnances broken down by displacement status of head of household o...")</f>
        <v>Households by frequency of training/awareness on safe behaviours towards Explosive Ordnances broken down by displacement status of head of household o...</v>
      </c>
    </row>
    <row r="870" spans="3:7" x14ac:dyDescent="0.35">
      <c r="C870" t="s">
        <v>129</v>
      </c>
      <c r="D870" t="s">
        <v>151</v>
      </c>
      <c r="E870" t="s">
        <v>64</v>
      </c>
      <c r="F870" s="36">
        <v>1308</v>
      </c>
      <c r="G870" s="16" t="str">
        <f>HYPERLINK("#'Data'!A6112", "Households by frequency of training/awareness on safe behaviours towards Explosive Ordnances broken down by IDP household on the admin of overall mean")</f>
        <v>Households by frequency of training/awareness on safe behaviours towards Explosive Ordnances broken down by IDP household on the admin of overall mean</v>
      </c>
    </row>
    <row r="871" spans="3:7" x14ac:dyDescent="0.35">
      <c r="C871" t="s">
        <v>129</v>
      </c>
      <c r="D871" t="s">
        <v>151</v>
      </c>
      <c r="E871" t="s">
        <v>65</v>
      </c>
      <c r="F871" s="36">
        <v>1309</v>
      </c>
      <c r="G871" s="16" t="str">
        <f>HYPERLINK("#'Data'!A6118", "Households by frequency of training/awareness on safe behaviours towards Explosive Ordnances broken down by proximity to frontline/border with Russian...")</f>
        <v>Households by frequency of training/awareness on safe behaviours towards Explosive Ordnances broken down by proximity to frontline/border with Russian...</v>
      </c>
    </row>
    <row r="872" spans="3:7" x14ac:dyDescent="0.35">
      <c r="C872" t="s">
        <v>129</v>
      </c>
      <c r="D872" t="s">
        <v>151</v>
      </c>
      <c r="E872" t="s">
        <v>77</v>
      </c>
      <c r="F872" s="36">
        <v>1310</v>
      </c>
      <c r="G872" s="16" t="str">
        <f>HYPERLINK("#'Data'!A6125", "Households by frequency of training/awareness on safe behaviours towards Explosive Ordnances broken down by caregiving status  on the admin of overall...")</f>
        <v>Households by frequency of training/awareness on safe behaviours towards Explosive Ordnances broken down by caregiving status  on the admin of overall...</v>
      </c>
    </row>
    <row r="873" spans="3:7" x14ac:dyDescent="0.35">
      <c r="C873" t="s">
        <v>129</v>
      </c>
      <c r="D873" t="s">
        <v>151</v>
      </c>
      <c r="E873" t="s">
        <v>131</v>
      </c>
      <c r="F873" s="36">
        <v>1311</v>
      </c>
      <c r="G873" s="16" t="str">
        <f>HYPERLINK("#'Data'!A6133", "Households by frequency of training/awareness on safe behaviours towards Explosive Ordnances broken down by gender of respondent on the admin of overa...")</f>
        <v>Households by frequency of training/awareness on safe behaviours towards Explosive Ordnances broken down by gender of respondent on the admin of overa...</v>
      </c>
    </row>
    <row r="874" spans="3:7" x14ac:dyDescent="0.35">
      <c r="C874" t="s">
        <v>129</v>
      </c>
      <c r="D874" t="s">
        <v>151</v>
      </c>
      <c r="E874" t="s">
        <v>132</v>
      </c>
      <c r="F874" s="36">
        <v>1312</v>
      </c>
      <c r="G874" s="16" t="str">
        <f>HYPERLINK("#'Data'!A6140", "Households by frequency of training/awareness on safe behaviours towards Explosive Ordnances broken down by age of respondents on the admin of overall...")</f>
        <v>Households by frequency of training/awareness on safe behaviours towards Explosive Ordnances broken down by age of respondents on the admin of overall...</v>
      </c>
    </row>
    <row r="875" spans="3:7" x14ac:dyDescent="0.35">
      <c r="C875" t="s">
        <v>129</v>
      </c>
      <c r="D875" t="s">
        <v>151</v>
      </c>
      <c r="E875" t="s">
        <v>133</v>
      </c>
      <c r="F875" s="36">
        <v>1313</v>
      </c>
      <c r="G875" s="16" t="str">
        <f>HYPERLINK("#'Data'!A6148", "Households by frequency of training/awareness on safe behaviours towards Explosive Ordnances broken down by gender and age of respondents on the admin...")</f>
        <v>Households by frequency of training/awareness on safe behaviours towards Explosive Ordnances broken down by gender and age of respondents on the admin...</v>
      </c>
    </row>
    <row r="876" spans="3:7" x14ac:dyDescent="0.35">
      <c r="C876" t="s">
        <v>117</v>
      </c>
      <c r="D876" t="s">
        <v>152</v>
      </c>
      <c r="E876" t="s">
        <v>36</v>
      </c>
      <c r="F876" s="36">
        <v>1314</v>
      </c>
      <c r="G876" s="16" t="str">
        <f>HYPERLINK("#'Data'!A6161", "Percentage of households by current shelter situation on the admin of overall perc")</f>
        <v>Percentage of households by current shelter situation on the admin of overall perc</v>
      </c>
    </row>
    <row r="877" spans="3:7" x14ac:dyDescent="0.35">
      <c r="C877" t="s">
        <v>117</v>
      </c>
      <c r="D877" t="s">
        <v>152</v>
      </c>
      <c r="E877" t="s">
        <v>57</v>
      </c>
      <c r="F877" s="36">
        <v>1315</v>
      </c>
      <c r="G877" s="16" t="str">
        <f>HYPERLINK("#'Data'!A6166", "Percentage of households by current shelter situation broken down by households with at least one member with a reported and/or registered disability ...")</f>
        <v>Percentage of households by current shelter situation broken down by households with at least one member with a reported and/or registered disability ...</v>
      </c>
    </row>
    <row r="878" spans="3:7" x14ac:dyDescent="0.35">
      <c r="C878" t="s">
        <v>117</v>
      </c>
      <c r="D878" t="s">
        <v>152</v>
      </c>
      <c r="E878" t="s">
        <v>58</v>
      </c>
      <c r="F878" s="36">
        <v>1316</v>
      </c>
      <c r="G878" s="16" t="str">
        <f>HYPERLINK("#'Data'!A6172", "Percentage of households by current shelter situation broken down by urbanity on the admin of overall perc")</f>
        <v>Percentage of households by current shelter situation broken down by urbanity on the admin of overall perc</v>
      </c>
    </row>
    <row r="879" spans="3:7" x14ac:dyDescent="0.35">
      <c r="C879" t="s">
        <v>117</v>
      </c>
      <c r="D879" t="s">
        <v>152</v>
      </c>
      <c r="E879" t="s">
        <v>59</v>
      </c>
      <c r="F879" s="36">
        <v>1317</v>
      </c>
      <c r="G879" s="16" t="str">
        <f>HYPERLINK("#'Data'!A6178", "Percentage of households by current shelter situation broken down by household size on the admin of overall perc")</f>
        <v>Percentage of households by current shelter situation broken down by household size on the admin of overall perc</v>
      </c>
    </row>
    <row r="880" spans="3:7" x14ac:dyDescent="0.35">
      <c r="C880" t="s">
        <v>117</v>
      </c>
      <c r="D880" t="s">
        <v>152</v>
      </c>
      <c r="E880" t="s">
        <v>60</v>
      </c>
      <c r="F880" s="36">
        <v>1318</v>
      </c>
      <c r="G880" s="16" t="str">
        <f>HYPERLINK("#'Data'!A6185", "Percentage of households by current shelter situation broken down by income per capita (quartiles) on the admin of overall perc")</f>
        <v>Percentage of households by current shelter situation broken down by income per capita (quartiles) on the admin of overall perc</v>
      </c>
    </row>
    <row r="881" spans="3:7" x14ac:dyDescent="0.35">
      <c r="C881" t="s">
        <v>117</v>
      </c>
      <c r="D881" t="s">
        <v>152</v>
      </c>
      <c r="E881" t="s">
        <v>61</v>
      </c>
      <c r="F881" s="36">
        <v>1319</v>
      </c>
      <c r="G881" s="16" t="str">
        <f>HYPERLINK("#'Data'!A6193", "Percentage of households by current shelter situation broken down by gender of head of household on the admin of overall perc")</f>
        <v>Percentage of households by current shelter situation broken down by gender of head of household on the admin of overall perc</v>
      </c>
    </row>
    <row r="882" spans="3:7" x14ac:dyDescent="0.35">
      <c r="C882" t="s">
        <v>117</v>
      </c>
      <c r="D882" t="s">
        <v>152</v>
      </c>
      <c r="E882" t="s">
        <v>62</v>
      </c>
      <c r="F882" s="36">
        <v>1320</v>
      </c>
      <c r="G882" s="16" t="str">
        <f>HYPERLINK("#'Data'!A6201", "Percentage of households by current shelter situation broken down by age of adults in the households on the admin of overall perc")</f>
        <v>Percentage of households by current shelter situation broken down by age of adults in the households on the admin of overall perc</v>
      </c>
    </row>
    <row r="883" spans="3:7" x14ac:dyDescent="0.35">
      <c r="C883" t="s">
        <v>117</v>
      </c>
      <c r="D883" t="s">
        <v>152</v>
      </c>
      <c r="E883" t="s">
        <v>76</v>
      </c>
      <c r="F883" s="36">
        <v>1321</v>
      </c>
      <c r="G883" s="16" t="str">
        <f>HYPERLINK("#'Data'!A6208", "Percentage of households by current shelter situation broken down by households with at least one child (&lt;18 y.o.) on the admin of overall perc")</f>
        <v>Percentage of households by current shelter situation broken down by households with at least one child (&lt;18 y.o.) on the admin of overall perc</v>
      </c>
    </row>
    <row r="884" spans="3:7" x14ac:dyDescent="0.35">
      <c r="C884" t="s">
        <v>117</v>
      </c>
      <c r="D884" t="s">
        <v>152</v>
      </c>
      <c r="E884" t="s">
        <v>63</v>
      </c>
      <c r="F884" s="36">
        <v>1322</v>
      </c>
      <c r="G884" s="16" t="str">
        <f>HYPERLINK("#'Data'!A6214", "Percentage of households by current shelter situation broken down by displacement status of head of household on the admin of overall perc")</f>
        <v>Percentage of households by current shelter situation broken down by displacement status of head of household on the admin of overall perc</v>
      </c>
    </row>
    <row r="885" spans="3:7" x14ac:dyDescent="0.35">
      <c r="C885" t="s">
        <v>117</v>
      </c>
      <c r="D885" t="s">
        <v>152</v>
      </c>
      <c r="E885" t="s">
        <v>64</v>
      </c>
      <c r="F885" s="36">
        <v>1323</v>
      </c>
      <c r="G885" s="16" t="str">
        <f>HYPERLINK("#'Data'!A6223", "Percentage of households by current shelter situation broken down by IDP household on the admin of overall perc")</f>
        <v>Percentage of households by current shelter situation broken down by IDP household on the admin of overall perc</v>
      </c>
    </row>
    <row r="886" spans="3:7" x14ac:dyDescent="0.35">
      <c r="C886" t="s">
        <v>117</v>
      </c>
      <c r="D886" t="s">
        <v>152</v>
      </c>
      <c r="E886" t="s">
        <v>65</v>
      </c>
      <c r="F886" s="36">
        <v>1324</v>
      </c>
      <c r="G886" s="16" t="str">
        <f>HYPERLINK("#'Data'!A6229", "Percentage of households by current shelter situation broken down by proximity to frontline/border with Russian Federation on the admin of overall per...")</f>
        <v>Percentage of households by current shelter situation broken down by proximity to frontline/border with Russian Federation on the admin of overall per...</v>
      </c>
    </row>
    <row r="887" spans="3:7" x14ac:dyDescent="0.35">
      <c r="C887" t="s">
        <v>117</v>
      </c>
      <c r="D887" t="s">
        <v>152</v>
      </c>
      <c r="E887" t="s">
        <v>77</v>
      </c>
      <c r="F887" s="36">
        <v>1325</v>
      </c>
      <c r="G887" s="16" t="str">
        <f>HYPERLINK("#'Data'!A6236", "Percentage of households by current shelter situation broken down by caregiving status  on the admin of overall perc")</f>
        <v>Percentage of households by current shelter situation broken down by caregiving status  on the admin of overall perc</v>
      </c>
    </row>
    <row r="888" spans="3:7" x14ac:dyDescent="0.35">
      <c r="C888" t="s">
        <v>117</v>
      </c>
      <c r="D888" t="s">
        <v>153</v>
      </c>
      <c r="E888" t="s">
        <v>36</v>
      </c>
      <c r="F888" s="36">
        <v>1326</v>
      </c>
      <c r="G888" s="16" t="str">
        <f>HYPERLINK("#'Data'!A6244", "Percentage of households by current shelter type  on the admin of overall perc")</f>
        <v>Percentage of households by current shelter type  on the admin of overall perc</v>
      </c>
    </row>
    <row r="889" spans="3:7" x14ac:dyDescent="0.35">
      <c r="C889" t="s">
        <v>117</v>
      </c>
      <c r="D889" t="s">
        <v>153</v>
      </c>
      <c r="E889" t="s">
        <v>57</v>
      </c>
      <c r="F889" s="36">
        <v>1327</v>
      </c>
      <c r="G889" s="16" t="str">
        <f>HYPERLINK("#'Data'!A6249", "Percentage of households by current shelter type  broken down by households with at least one member with a reported and/or registered disability on t...")</f>
        <v>Percentage of households by current shelter type  broken down by households with at least one member with a reported and/or registered disability on t...</v>
      </c>
    </row>
    <row r="890" spans="3:7" x14ac:dyDescent="0.35">
      <c r="C890" t="s">
        <v>117</v>
      </c>
      <c r="D890" t="s">
        <v>153</v>
      </c>
      <c r="E890" t="s">
        <v>58</v>
      </c>
      <c r="F890" s="36">
        <v>1328</v>
      </c>
      <c r="G890" s="16" t="str">
        <f>HYPERLINK("#'Data'!A6255", "Percentage of households by current shelter type  broken down by urbanity on the admin of overall perc")</f>
        <v>Percentage of households by current shelter type  broken down by urbanity on the admin of overall perc</v>
      </c>
    </row>
    <row r="891" spans="3:7" x14ac:dyDescent="0.35">
      <c r="C891" t="s">
        <v>117</v>
      </c>
      <c r="D891" t="s">
        <v>153</v>
      </c>
      <c r="E891" t="s">
        <v>59</v>
      </c>
      <c r="F891" s="36">
        <v>1329</v>
      </c>
      <c r="G891" s="16" t="str">
        <f>HYPERLINK("#'Data'!A6261", "Percentage of households by current shelter type  broken down by household size on the admin of overall perc")</f>
        <v>Percentage of households by current shelter type  broken down by household size on the admin of overall perc</v>
      </c>
    </row>
    <row r="892" spans="3:7" x14ac:dyDescent="0.35">
      <c r="C892" t="s">
        <v>117</v>
      </c>
      <c r="D892" t="s">
        <v>153</v>
      </c>
      <c r="E892" t="s">
        <v>60</v>
      </c>
      <c r="F892" s="36">
        <v>1330</v>
      </c>
      <c r="G892" s="16" t="str">
        <f>HYPERLINK("#'Data'!A6268", "Percentage of households by current shelter type  broken down by income per capita (quartiles) on the admin of overall perc")</f>
        <v>Percentage of households by current shelter type  broken down by income per capita (quartiles) on the admin of overall perc</v>
      </c>
    </row>
    <row r="893" spans="3:7" x14ac:dyDescent="0.35">
      <c r="C893" t="s">
        <v>117</v>
      </c>
      <c r="D893" t="s">
        <v>153</v>
      </c>
      <c r="E893" t="s">
        <v>61</v>
      </c>
      <c r="F893" s="36">
        <v>1331</v>
      </c>
      <c r="G893" s="16" t="str">
        <f>HYPERLINK("#'Data'!A6276", "Percentage of households by current shelter type  broken down by gender of head of household on the admin of overall perc")</f>
        <v>Percentage of households by current shelter type  broken down by gender of head of household on the admin of overall perc</v>
      </c>
    </row>
    <row r="894" spans="3:7" x14ac:dyDescent="0.35">
      <c r="C894" t="s">
        <v>117</v>
      </c>
      <c r="D894" t="s">
        <v>153</v>
      </c>
      <c r="E894" t="s">
        <v>62</v>
      </c>
      <c r="F894" s="36">
        <v>1332</v>
      </c>
      <c r="G894" s="16" t="str">
        <f>HYPERLINK("#'Data'!A6284", "Percentage of households by current shelter type  broken down by age of adults in the households on the admin of overall perc")</f>
        <v>Percentage of households by current shelter type  broken down by age of adults in the households on the admin of overall perc</v>
      </c>
    </row>
    <row r="895" spans="3:7" x14ac:dyDescent="0.35">
      <c r="C895" t="s">
        <v>117</v>
      </c>
      <c r="D895" t="s">
        <v>153</v>
      </c>
      <c r="E895" t="s">
        <v>76</v>
      </c>
      <c r="F895" s="36">
        <v>1333</v>
      </c>
      <c r="G895" s="16" t="str">
        <f>HYPERLINK("#'Data'!A6291", "Percentage of households by current shelter type  broken down by households with at least one child (&lt;18 y.o.) on the admin of overall perc")</f>
        <v>Percentage of households by current shelter type  broken down by households with at least one child (&lt;18 y.o.) on the admin of overall perc</v>
      </c>
    </row>
    <row r="896" spans="3:7" x14ac:dyDescent="0.35">
      <c r="C896" t="s">
        <v>117</v>
      </c>
      <c r="D896" t="s">
        <v>153</v>
      </c>
      <c r="E896" t="s">
        <v>63</v>
      </c>
      <c r="F896" s="36">
        <v>1334</v>
      </c>
      <c r="G896" s="16" t="str">
        <f>HYPERLINK("#'Data'!A6297", "Percentage of households by current shelter type  broken down by displacement status of head of household on the admin of overall perc")</f>
        <v>Percentage of households by current shelter type  broken down by displacement status of head of household on the admin of overall perc</v>
      </c>
    </row>
    <row r="897" spans="3:7" x14ac:dyDescent="0.35">
      <c r="C897" t="s">
        <v>117</v>
      </c>
      <c r="D897" t="s">
        <v>153</v>
      </c>
      <c r="E897" t="s">
        <v>64</v>
      </c>
      <c r="F897" s="36">
        <v>1335</v>
      </c>
      <c r="G897" s="16" t="str">
        <f>HYPERLINK("#'Data'!A6306", "Percentage of households by current shelter type  broken down by IDP household on the admin of overall perc")</f>
        <v>Percentage of households by current shelter type  broken down by IDP household on the admin of overall perc</v>
      </c>
    </row>
    <row r="898" spans="3:7" x14ac:dyDescent="0.35">
      <c r="C898" t="s">
        <v>117</v>
      </c>
      <c r="D898" t="s">
        <v>153</v>
      </c>
      <c r="E898" t="s">
        <v>65</v>
      </c>
      <c r="F898" s="36">
        <v>1336</v>
      </c>
      <c r="G898" s="16" t="str">
        <f>HYPERLINK("#'Data'!A6312", "Percentage of households by current shelter type  broken down by proximity to frontline/border with Russian Federation on the admin of overall perc")</f>
        <v>Percentage of households by current shelter type  broken down by proximity to frontline/border with Russian Federation on the admin of overall perc</v>
      </c>
    </row>
    <row r="899" spans="3:7" x14ac:dyDescent="0.35">
      <c r="C899" t="s">
        <v>117</v>
      </c>
      <c r="D899" t="s">
        <v>153</v>
      </c>
      <c r="E899" t="s">
        <v>77</v>
      </c>
      <c r="F899" s="36">
        <v>1337</v>
      </c>
      <c r="G899" s="16" t="str">
        <f>HYPERLINK("#'Data'!A6319", "Percentage of households by current shelter type  broken down by caregiving status  on the admin of overall perc")</f>
        <v>Percentage of households by current shelter type  broken down by caregiving status  on the admin of overall perc</v>
      </c>
    </row>
    <row r="900" spans="3:7" x14ac:dyDescent="0.35">
      <c r="C900" t="s">
        <v>117</v>
      </c>
      <c r="D900" t="s">
        <v>154</v>
      </c>
      <c r="E900" t="s">
        <v>36</v>
      </c>
      <c r="F900" s="36">
        <v>1338</v>
      </c>
      <c r="G900" s="16" t="str">
        <f>HYPERLINK("#'Data'!A6327", "Shelter size (squared meters) on the admin of overall mean")</f>
        <v>Shelter size (squared meters) on the admin of overall mean</v>
      </c>
    </row>
    <row r="901" spans="3:7" x14ac:dyDescent="0.35">
      <c r="C901" t="s">
        <v>117</v>
      </c>
      <c r="D901" t="s">
        <v>154</v>
      </c>
      <c r="E901" t="s">
        <v>57</v>
      </c>
      <c r="F901" s="36">
        <v>1339</v>
      </c>
      <c r="G901" s="16" t="str">
        <f>HYPERLINK("#'Data'!A6332", "Shelter size (squared meters) broken down by households with at least one member with a reported and/or registered disability on the admin of overall ...")</f>
        <v>Shelter size (squared meters) broken down by households with at least one member with a reported and/or registered disability on the admin of overall ...</v>
      </c>
    </row>
    <row r="902" spans="3:7" x14ac:dyDescent="0.35">
      <c r="C902" t="s">
        <v>117</v>
      </c>
      <c r="D902" t="s">
        <v>154</v>
      </c>
      <c r="E902" t="s">
        <v>58</v>
      </c>
      <c r="F902" s="36">
        <v>1340</v>
      </c>
      <c r="G902" s="16" t="str">
        <f>HYPERLINK("#'Data'!A6338", "Shelter size (squared meters) broken down by urbanity on the admin of overall mean")</f>
        <v>Shelter size (squared meters) broken down by urbanity on the admin of overall mean</v>
      </c>
    </row>
    <row r="903" spans="3:7" x14ac:dyDescent="0.35">
      <c r="C903" t="s">
        <v>117</v>
      </c>
      <c r="D903" t="s">
        <v>154</v>
      </c>
      <c r="E903" t="s">
        <v>59</v>
      </c>
      <c r="F903" s="36">
        <v>1341</v>
      </c>
      <c r="G903" s="16" t="str">
        <f>HYPERLINK("#'Data'!A6344", "Shelter size (squared meters) broken down by household size on the admin of overall mean")</f>
        <v>Shelter size (squared meters) broken down by household size on the admin of overall mean</v>
      </c>
    </row>
    <row r="904" spans="3:7" x14ac:dyDescent="0.35">
      <c r="C904" t="s">
        <v>117</v>
      </c>
      <c r="D904" t="s">
        <v>154</v>
      </c>
      <c r="E904" t="s">
        <v>60</v>
      </c>
      <c r="F904" s="36">
        <v>1342</v>
      </c>
      <c r="G904" s="16" t="str">
        <f>HYPERLINK("#'Data'!A6351", "Shelter size (squared meters) broken down by income per capita (quartiles) on the admin of overall mean")</f>
        <v>Shelter size (squared meters) broken down by income per capita (quartiles) on the admin of overall mean</v>
      </c>
    </row>
    <row r="905" spans="3:7" x14ac:dyDescent="0.35">
      <c r="C905" t="s">
        <v>117</v>
      </c>
      <c r="D905" t="s">
        <v>154</v>
      </c>
      <c r="E905" t="s">
        <v>61</v>
      </c>
      <c r="F905" s="36">
        <v>1343</v>
      </c>
      <c r="G905" s="16" t="str">
        <f>HYPERLINK("#'Data'!A6359", "Shelter size (squared meters) broken down by gender of head of household on the admin of overall mean")</f>
        <v>Shelter size (squared meters) broken down by gender of head of household on the admin of overall mean</v>
      </c>
    </row>
    <row r="906" spans="3:7" x14ac:dyDescent="0.35">
      <c r="C906" t="s">
        <v>117</v>
      </c>
      <c r="D906" t="s">
        <v>154</v>
      </c>
      <c r="E906" t="s">
        <v>62</v>
      </c>
      <c r="F906" s="36">
        <v>1344</v>
      </c>
      <c r="G906" s="16" t="str">
        <f>HYPERLINK("#'Data'!A6367", "Shelter size (squared meters) broken down by age of adults in the households on the admin of overall mean")</f>
        <v>Shelter size (squared meters) broken down by age of adults in the households on the admin of overall mean</v>
      </c>
    </row>
    <row r="907" spans="3:7" x14ac:dyDescent="0.35">
      <c r="C907" t="s">
        <v>117</v>
      </c>
      <c r="D907" t="s">
        <v>154</v>
      </c>
      <c r="E907" t="s">
        <v>76</v>
      </c>
      <c r="F907" s="36">
        <v>1345</v>
      </c>
      <c r="G907" s="16" t="str">
        <f>HYPERLINK("#'Data'!A6374", "Shelter size (squared meters) broken down by households with at least one child (&lt;18 y.o.) on the admin of overall mean")</f>
        <v>Shelter size (squared meters) broken down by households with at least one child (&lt;18 y.o.) on the admin of overall mean</v>
      </c>
    </row>
    <row r="908" spans="3:7" x14ac:dyDescent="0.35">
      <c r="C908" t="s">
        <v>117</v>
      </c>
      <c r="D908" t="s">
        <v>154</v>
      </c>
      <c r="E908" t="s">
        <v>63</v>
      </c>
      <c r="F908" s="36">
        <v>1346</v>
      </c>
      <c r="G908" s="16" t="str">
        <f>HYPERLINK("#'Data'!A6380", "Shelter size (squared meters) broken down by displacement status of head of household on the admin of overall mean")</f>
        <v>Shelter size (squared meters) broken down by displacement status of head of household on the admin of overall mean</v>
      </c>
    </row>
    <row r="909" spans="3:7" x14ac:dyDescent="0.35">
      <c r="C909" t="s">
        <v>117</v>
      </c>
      <c r="D909" t="s">
        <v>154</v>
      </c>
      <c r="E909" t="s">
        <v>64</v>
      </c>
      <c r="F909" s="36">
        <v>1347</v>
      </c>
      <c r="G909" s="16" t="str">
        <f>HYPERLINK("#'Data'!A6389", "Shelter size (squared meters) broken down by IDP household on the admin of overall mean")</f>
        <v>Shelter size (squared meters) broken down by IDP household on the admin of overall mean</v>
      </c>
    </row>
    <row r="910" spans="3:7" x14ac:dyDescent="0.35">
      <c r="C910" t="s">
        <v>117</v>
      </c>
      <c r="D910" t="s">
        <v>154</v>
      </c>
      <c r="E910" t="s">
        <v>65</v>
      </c>
      <c r="F910" s="36">
        <v>1348</v>
      </c>
      <c r="G910" s="16" t="str">
        <f>HYPERLINK("#'Data'!A6395", "Shelter size (squared meters) broken down by proximity to frontline/border with Russian Federation on the admin of overall mean")</f>
        <v>Shelter size (squared meters) broken down by proximity to frontline/border with Russian Federation on the admin of overall mean</v>
      </c>
    </row>
    <row r="911" spans="3:7" x14ac:dyDescent="0.35">
      <c r="C911" t="s">
        <v>117</v>
      </c>
      <c r="D911" t="s">
        <v>154</v>
      </c>
      <c r="E911" t="s">
        <v>77</v>
      </c>
      <c r="F911" s="36">
        <v>1349</v>
      </c>
      <c r="G911" s="16" t="str">
        <f>HYPERLINK("#'Data'!A6402", "Shelter size (squared meters) broken down by caregiving status  on the admin of overall mean")</f>
        <v>Shelter size (squared meters) broken down by caregiving status  on the admin of overall mean</v>
      </c>
    </row>
    <row r="912" spans="3:7" x14ac:dyDescent="0.35">
      <c r="C912" t="s">
        <v>117</v>
      </c>
      <c r="D912" t="s">
        <v>155</v>
      </c>
      <c r="E912" t="s">
        <v>36</v>
      </c>
      <c r="F912" s="36">
        <v>1350</v>
      </c>
      <c r="G912" s="16" t="str">
        <f>HYPERLINK("#'Data'!A6410", "Number of individuals sharing a shelter on the admin of overall mean")</f>
        <v>Number of individuals sharing a shelter on the admin of overall mean</v>
      </c>
    </row>
    <row r="913" spans="3:7" x14ac:dyDescent="0.35">
      <c r="C913" t="s">
        <v>117</v>
      </c>
      <c r="D913" t="s">
        <v>155</v>
      </c>
      <c r="E913" t="s">
        <v>57</v>
      </c>
      <c r="F913" s="36">
        <v>1351</v>
      </c>
      <c r="G913" s="16" t="str">
        <f>HYPERLINK("#'Data'!A6415", "Number of individuals sharing a shelter broken down by households with at least one member with a reported and/or registered disability on the admin o...")</f>
        <v>Number of individuals sharing a shelter broken down by households with at least one member with a reported and/or registered disability on the admin o...</v>
      </c>
    </row>
    <row r="914" spans="3:7" x14ac:dyDescent="0.35">
      <c r="C914" t="s">
        <v>117</v>
      </c>
      <c r="D914" t="s">
        <v>155</v>
      </c>
      <c r="E914" t="s">
        <v>58</v>
      </c>
      <c r="F914" s="36">
        <v>1352</v>
      </c>
      <c r="G914" s="16" t="str">
        <f>HYPERLINK("#'Data'!A6421", "Number of individuals sharing a shelter broken down by urbanity on the admin of overall mean")</f>
        <v>Number of individuals sharing a shelter broken down by urbanity on the admin of overall mean</v>
      </c>
    </row>
    <row r="915" spans="3:7" x14ac:dyDescent="0.35">
      <c r="C915" t="s">
        <v>117</v>
      </c>
      <c r="D915" t="s">
        <v>155</v>
      </c>
      <c r="E915" t="s">
        <v>59</v>
      </c>
      <c r="F915" s="36">
        <v>1353</v>
      </c>
      <c r="G915" s="16" t="str">
        <f>HYPERLINK("#'Data'!A6427", "Number of individuals sharing a shelter broken down by household size on the admin of overall mean")</f>
        <v>Number of individuals sharing a shelter broken down by household size on the admin of overall mean</v>
      </c>
    </row>
    <row r="916" spans="3:7" x14ac:dyDescent="0.35">
      <c r="C916" t="s">
        <v>117</v>
      </c>
      <c r="D916" t="s">
        <v>155</v>
      </c>
      <c r="E916" t="s">
        <v>60</v>
      </c>
      <c r="F916" s="36">
        <v>1354</v>
      </c>
      <c r="G916" s="16" t="str">
        <f>HYPERLINK("#'Data'!A6434", "Number of individuals sharing a shelter broken down by income per capita (quartiles) on the admin of overall mean")</f>
        <v>Number of individuals sharing a shelter broken down by income per capita (quartiles) on the admin of overall mean</v>
      </c>
    </row>
    <row r="917" spans="3:7" x14ac:dyDescent="0.35">
      <c r="C917" t="s">
        <v>117</v>
      </c>
      <c r="D917" t="s">
        <v>155</v>
      </c>
      <c r="E917" t="s">
        <v>61</v>
      </c>
      <c r="F917" s="36">
        <v>1355</v>
      </c>
      <c r="G917" s="16" t="str">
        <f>HYPERLINK("#'Data'!A6442", "Number of individuals sharing a shelter broken down by gender of head of household on the admin of overall mean")</f>
        <v>Number of individuals sharing a shelter broken down by gender of head of household on the admin of overall mean</v>
      </c>
    </row>
    <row r="918" spans="3:7" x14ac:dyDescent="0.35">
      <c r="C918" t="s">
        <v>117</v>
      </c>
      <c r="D918" t="s">
        <v>155</v>
      </c>
      <c r="E918" t="s">
        <v>62</v>
      </c>
      <c r="F918" s="36">
        <v>1356</v>
      </c>
      <c r="G918" s="16" t="str">
        <f>HYPERLINK("#'Data'!A6450", "Number of individuals sharing a shelter broken down by age of adults in the households on the admin of overall mean")</f>
        <v>Number of individuals sharing a shelter broken down by age of adults in the households on the admin of overall mean</v>
      </c>
    </row>
    <row r="919" spans="3:7" x14ac:dyDescent="0.35">
      <c r="C919" t="s">
        <v>117</v>
      </c>
      <c r="D919" t="s">
        <v>155</v>
      </c>
      <c r="E919" t="s">
        <v>76</v>
      </c>
      <c r="F919" s="36">
        <v>1357</v>
      </c>
      <c r="G919" s="16" t="str">
        <f>HYPERLINK("#'Data'!A6457", "Number of individuals sharing a shelter broken down by households with at least one child (&lt;18 y.o.) on the admin of overall mean")</f>
        <v>Number of individuals sharing a shelter broken down by households with at least one child (&lt;18 y.o.) on the admin of overall mean</v>
      </c>
    </row>
    <row r="920" spans="3:7" x14ac:dyDescent="0.35">
      <c r="C920" t="s">
        <v>117</v>
      </c>
      <c r="D920" t="s">
        <v>155</v>
      </c>
      <c r="E920" t="s">
        <v>63</v>
      </c>
      <c r="F920" s="36">
        <v>1358</v>
      </c>
      <c r="G920" s="16" t="str">
        <f>HYPERLINK("#'Data'!A6463", "Number of individuals sharing a shelter broken down by displacement status of head of household on the admin of overall mean")</f>
        <v>Number of individuals sharing a shelter broken down by displacement status of head of household on the admin of overall mean</v>
      </c>
    </row>
    <row r="921" spans="3:7" x14ac:dyDescent="0.35">
      <c r="C921" t="s">
        <v>117</v>
      </c>
      <c r="D921" t="s">
        <v>155</v>
      </c>
      <c r="E921" t="s">
        <v>64</v>
      </c>
      <c r="F921" s="36">
        <v>1359</v>
      </c>
      <c r="G921" s="16" t="str">
        <f>HYPERLINK("#'Data'!A6472", "Number of individuals sharing a shelter broken down by IDP household on the admin of overall mean")</f>
        <v>Number of individuals sharing a shelter broken down by IDP household on the admin of overall mean</v>
      </c>
    </row>
    <row r="922" spans="3:7" x14ac:dyDescent="0.35">
      <c r="C922" t="s">
        <v>117</v>
      </c>
      <c r="D922" t="s">
        <v>155</v>
      </c>
      <c r="E922" t="s">
        <v>65</v>
      </c>
      <c r="F922" s="36">
        <v>1360</v>
      </c>
      <c r="G922" s="16" t="str">
        <f>HYPERLINK("#'Data'!A6478", "Number of individuals sharing a shelter broken down by proximity to frontline/border with Russian Federation on the admin of overall mean")</f>
        <v>Number of individuals sharing a shelter broken down by proximity to frontline/border with Russian Federation on the admin of overall mean</v>
      </c>
    </row>
    <row r="923" spans="3:7" x14ac:dyDescent="0.35">
      <c r="C923" t="s">
        <v>117</v>
      </c>
      <c r="D923" t="s">
        <v>155</v>
      </c>
      <c r="E923" t="s">
        <v>77</v>
      </c>
      <c r="F923" s="36">
        <v>1361</v>
      </c>
      <c r="G923" s="16" t="str">
        <f>HYPERLINK("#'Data'!A6485", "Number of individuals sharing a shelter broken down by caregiving status  on the admin of overall mean")</f>
        <v>Number of individuals sharing a shelter broken down by caregiving status  on the admin of overall mean</v>
      </c>
    </row>
    <row r="924" spans="3:7" x14ac:dyDescent="0.35">
      <c r="C924" t="s">
        <v>117</v>
      </c>
      <c r="D924" t="s">
        <v>156</v>
      </c>
      <c r="E924" t="s">
        <v>36</v>
      </c>
      <c r="F924" s="36">
        <v>1362</v>
      </c>
      <c r="G924" s="16" t="str">
        <f>HYPERLINK("#'Data'!A6493", "Percentage of households by occupancy arrangement of current shelter on the admin of overall perc")</f>
        <v>Percentage of households by occupancy arrangement of current shelter on the admin of overall perc</v>
      </c>
    </row>
    <row r="925" spans="3:7" x14ac:dyDescent="0.35">
      <c r="C925" t="s">
        <v>117</v>
      </c>
      <c r="D925" t="s">
        <v>156</v>
      </c>
      <c r="E925" t="s">
        <v>57</v>
      </c>
      <c r="F925" s="36">
        <v>1363</v>
      </c>
      <c r="G925" s="16" t="str">
        <f>HYPERLINK("#'Data'!A6498", "Percentage of households by occupancy arrangement of current shelter broken down by households with at least one member with a reported and/or registe...")</f>
        <v>Percentage of households by occupancy arrangement of current shelter broken down by households with at least one member with a reported and/or registe...</v>
      </c>
    </row>
    <row r="926" spans="3:7" x14ac:dyDescent="0.35">
      <c r="C926" t="s">
        <v>117</v>
      </c>
      <c r="D926" t="s">
        <v>156</v>
      </c>
      <c r="E926" t="s">
        <v>58</v>
      </c>
      <c r="F926" s="36">
        <v>1364</v>
      </c>
      <c r="G926" s="16" t="str">
        <f>HYPERLINK("#'Data'!A6504", "Percentage of households by occupancy arrangement of current shelter broken down by urbanity on the admin of overall perc")</f>
        <v>Percentage of households by occupancy arrangement of current shelter broken down by urbanity on the admin of overall perc</v>
      </c>
    </row>
    <row r="927" spans="3:7" x14ac:dyDescent="0.35">
      <c r="C927" t="s">
        <v>117</v>
      </c>
      <c r="D927" t="s">
        <v>156</v>
      </c>
      <c r="E927" t="s">
        <v>59</v>
      </c>
      <c r="F927" s="36">
        <v>1365</v>
      </c>
      <c r="G927" s="16" t="str">
        <f>HYPERLINK("#'Data'!A6510", "Percentage of households by occupancy arrangement of current shelter broken down by household size on the admin of overall perc")</f>
        <v>Percentage of households by occupancy arrangement of current shelter broken down by household size on the admin of overall perc</v>
      </c>
    </row>
    <row r="928" spans="3:7" x14ac:dyDescent="0.35">
      <c r="C928" t="s">
        <v>117</v>
      </c>
      <c r="D928" t="s">
        <v>156</v>
      </c>
      <c r="E928" t="s">
        <v>60</v>
      </c>
      <c r="F928" s="36">
        <v>1366</v>
      </c>
      <c r="G928" s="16" t="str">
        <f>HYPERLINK("#'Data'!A6517", "Percentage of households by occupancy arrangement of current shelter broken down by income per capita (quartiles) on the admin of overall perc")</f>
        <v>Percentage of households by occupancy arrangement of current shelter broken down by income per capita (quartiles) on the admin of overall perc</v>
      </c>
    </row>
    <row r="929" spans="3:7" x14ac:dyDescent="0.35">
      <c r="C929" t="s">
        <v>117</v>
      </c>
      <c r="D929" t="s">
        <v>156</v>
      </c>
      <c r="E929" t="s">
        <v>61</v>
      </c>
      <c r="F929" s="36">
        <v>1367</v>
      </c>
      <c r="G929" s="16" t="str">
        <f>HYPERLINK("#'Data'!A6525", "Percentage of households by occupancy arrangement of current shelter broken down by gender of head of household on the admin of overall perc")</f>
        <v>Percentage of households by occupancy arrangement of current shelter broken down by gender of head of household on the admin of overall perc</v>
      </c>
    </row>
    <row r="930" spans="3:7" x14ac:dyDescent="0.35">
      <c r="C930" t="s">
        <v>117</v>
      </c>
      <c r="D930" t="s">
        <v>156</v>
      </c>
      <c r="E930" t="s">
        <v>62</v>
      </c>
      <c r="F930" s="36">
        <v>1368</v>
      </c>
      <c r="G930" s="16" t="str">
        <f>HYPERLINK("#'Data'!A6533", "Percentage of households by occupancy arrangement of current shelter broken down by age of adults in the households on the admin of overall perc")</f>
        <v>Percentage of households by occupancy arrangement of current shelter broken down by age of adults in the households on the admin of overall perc</v>
      </c>
    </row>
    <row r="931" spans="3:7" x14ac:dyDescent="0.35">
      <c r="C931" t="s">
        <v>117</v>
      </c>
      <c r="D931" t="s">
        <v>156</v>
      </c>
      <c r="E931" t="s">
        <v>76</v>
      </c>
      <c r="F931" s="36">
        <v>1369</v>
      </c>
      <c r="G931" s="16" t="str">
        <f>HYPERLINK("#'Data'!A6540", "Percentage of households by occupancy arrangement of current shelter broken down by households with at least one child (&lt;18 y.o.) on the admin of over...")</f>
        <v>Percentage of households by occupancy arrangement of current shelter broken down by households with at least one child (&lt;18 y.o.) on the admin of over...</v>
      </c>
    </row>
    <row r="932" spans="3:7" x14ac:dyDescent="0.35">
      <c r="C932" t="s">
        <v>117</v>
      </c>
      <c r="D932" t="s">
        <v>156</v>
      </c>
      <c r="E932" t="s">
        <v>63</v>
      </c>
      <c r="F932" s="36">
        <v>1370</v>
      </c>
      <c r="G932" s="16" t="str">
        <f>HYPERLINK("#'Data'!A6546", "Percentage of households by occupancy arrangement of current shelter broken down by displacement status of head of household on the admin of overall p...")</f>
        <v>Percentage of households by occupancy arrangement of current shelter broken down by displacement status of head of household on the admin of overall p...</v>
      </c>
    </row>
    <row r="933" spans="3:7" x14ac:dyDescent="0.35">
      <c r="C933" t="s">
        <v>117</v>
      </c>
      <c r="D933" t="s">
        <v>156</v>
      </c>
      <c r="E933" t="s">
        <v>64</v>
      </c>
      <c r="F933" s="36">
        <v>1371</v>
      </c>
      <c r="G933" s="16" t="str">
        <f>HYPERLINK("#'Data'!A6555", "Percentage of households by occupancy arrangement of current shelter broken down by IDP household on the admin of overall perc")</f>
        <v>Percentage of households by occupancy arrangement of current shelter broken down by IDP household on the admin of overall perc</v>
      </c>
    </row>
    <row r="934" spans="3:7" x14ac:dyDescent="0.35">
      <c r="C934" t="s">
        <v>117</v>
      </c>
      <c r="D934" t="s">
        <v>156</v>
      </c>
      <c r="E934" t="s">
        <v>65</v>
      </c>
      <c r="F934" s="36">
        <v>1372</v>
      </c>
      <c r="G934" s="16" t="str">
        <f>HYPERLINK("#'Data'!A6561", "Percentage of households by occupancy arrangement of current shelter broken down by proximity to frontline/border with Russian Federation on the admin...")</f>
        <v>Percentage of households by occupancy arrangement of current shelter broken down by proximity to frontline/border with Russian Federation on the admin...</v>
      </c>
    </row>
    <row r="935" spans="3:7" x14ac:dyDescent="0.35">
      <c r="C935" t="s">
        <v>117</v>
      </c>
      <c r="D935" t="s">
        <v>156</v>
      </c>
      <c r="E935" t="s">
        <v>77</v>
      </c>
      <c r="F935" s="36">
        <v>1373</v>
      </c>
      <c r="G935" s="16" t="str">
        <f>HYPERLINK("#'Data'!A6568", "Percentage of households by occupancy arrangement of current shelter broken down by caregiving status  on the admin of overall perc")</f>
        <v>Percentage of households by occupancy arrangement of current shelter broken down by caregiving status  on the admin of overall perc</v>
      </c>
    </row>
    <row r="936" spans="3:7" x14ac:dyDescent="0.35">
      <c r="C936" t="s">
        <v>117</v>
      </c>
      <c r="D936" t="s">
        <v>157</v>
      </c>
      <c r="E936" t="s">
        <v>36</v>
      </c>
      <c r="F936" s="36">
        <v>1374</v>
      </c>
      <c r="G936" s="16" t="str">
        <f>HYPERLINK("#'Data'!A6576", "Percentage of households feeling at risk of eviction within the next 6 months on the admin of overall perc")</f>
        <v>Percentage of households feeling at risk of eviction within the next 6 months on the admin of overall perc</v>
      </c>
    </row>
    <row r="937" spans="3:7" x14ac:dyDescent="0.35">
      <c r="C937" t="s">
        <v>117</v>
      </c>
      <c r="D937" t="s">
        <v>157</v>
      </c>
      <c r="E937" t="s">
        <v>57</v>
      </c>
      <c r="F937" s="36">
        <v>1375</v>
      </c>
      <c r="G937" s="16" t="str">
        <f>HYPERLINK("#'Data'!A6581", "Percentage of households feeling at risk of eviction within the next 6 months broken down by households with at least one member with a reported and/o...")</f>
        <v>Percentage of households feeling at risk of eviction within the next 6 months broken down by households with at least one member with a reported and/o...</v>
      </c>
    </row>
    <row r="938" spans="3:7" x14ac:dyDescent="0.35">
      <c r="C938" t="s">
        <v>117</v>
      </c>
      <c r="D938" t="s">
        <v>157</v>
      </c>
      <c r="E938" t="s">
        <v>58</v>
      </c>
      <c r="F938" s="36">
        <v>1376</v>
      </c>
      <c r="G938" s="16" t="str">
        <f>HYPERLINK("#'Data'!A6587", "Percentage of households feeling at risk of eviction within the next 6 months broken down by urbanity on the admin of overall perc")</f>
        <v>Percentage of households feeling at risk of eviction within the next 6 months broken down by urbanity on the admin of overall perc</v>
      </c>
    </row>
    <row r="939" spans="3:7" x14ac:dyDescent="0.35">
      <c r="C939" t="s">
        <v>117</v>
      </c>
      <c r="D939" t="s">
        <v>157</v>
      </c>
      <c r="E939" t="s">
        <v>59</v>
      </c>
      <c r="F939" s="36">
        <v>1377</v>
      </c>
      <c r="G939" s="16" t="str">
        <f>HYPERLINK("#'Data'!A6593", "Percentage of households feeling at risk of eviction within the next 6 months broken down by household size on the admin of overall perc")</f>
        <v>Percentage of households feeling at risk of eviction within the next 6 months broken down by household size on the admin of overall perc</v>
      </c>
    </row>
    <row r="940" spans="3:7" x14ac:dyDescent="0.35">
      <c r="C940" t="s">
        <v>117</v>
      </c>
      <c r="D940" t="s">
        <v>157</v>
      </c>
      <c r="E940" t="s">
        <v>60</v>
      </c>
      <c r="F940" s="36">
        <v>1378</v>
      </c>
      <c r="G940" s="16" t="str">
        <f>HYPERLINK("#'Data'!A6600", "Percentage of households feeling at risk of eviction within the next 6 months broken down by income per capita (quartiles) on the admin of overall per...")</f>
        <v>Percentage of households feeling at risk of eviction within the next 6 months broken down by income per capita (quartiles) on the admin of overall per...</v>
      </c>
    </row>
    <row r="941" spans="3:7" x14ac:dyDescent="0.35">
      <c r="C941" t="s">
        <v>117</v>
      </c>
      <c r="D941" t="s">
        <v>157</v>
      </c>
      <c r="E941" t="s">
        <v>61</v>
      </c>
      <c r="F941" s="36">
        <v>1379</v>
      </c>
      <c r="G941" s="16" t="str">
        <f>HYPERLINK("#'Data'!A6608", "Percentage of households feeling at risk of eviction within the next 6 months broken down by gender of head of household on the admin of overall perc")</f>
        <v>Percentage of households feeling at risk of eviction within the next 6 months broken down by gender of head of household on the admin of overall perc</v>
      </c>
    </row>
    <row r="942" spans="3:7" x14ac:dyDescent="0.35">
      <c r="C942" t="s">
        <v>117</v>
      </c>
      <c r="D942" t="s">
        <v>157</v>
      </c>
      <c r="E942" t="s">
        <v>62</v>
      </c>
      <c r="F942" s="36">
        <v>1380</v>
      </c>
      <c r="G942" s="16" t="str">
        <f>HYPERLINK("#'Data'!A6616", "Percentage of households feeling at risk of eviction within the next 6 months broken down by age of adults in the households on the admin of overall p...")</f>
        <v>Percentage of households feeling at risk of eviction within the next 6 months broken down by age of adults in the households on the admin of overall p...</v>
      </c>
    </row>
    <row r="943" spans="3:7" x14ac:dyDescent="0.35">
      <c r="C943" t="s">
        <v>117</v>
      </c>
      <c r="D943" t="s">
        <v>157</v>
      </c>
      <c r="E943" t="s">
        <v>76</v>
      </c>
      <c r="F943" s="36">
        <v>1381</v>
      </c>
      <c r="G943" s="16" t="str">
        <f>HYPERLINK("#'Data'!A6623", "Percentage of households feeling at risk of eviction within the next 6 months broken down by households with at least one child (&lt;18 y.o.) on the admi...")</f>
        <v>Percentage of households feeling at risk of eviction within the next 6 months broken down by households with at least one child (&lt;18 y.o.) on the admi...</v>
      </c>
    </row>
    <row r="944" spans="3:7" x14ac:dyDescent="0.35">
      <c r="C944" t="s">
        <v>117</v>
      </c>
      <c r="D944" t="s">
        <v>157</v>
      </c>
      <c r="E944" t="s">
        <v>63</v>
      </c>
      <c r="F944" s="36">
        <v>1382</v>
      </c>
      <c r="G944" s="16" t="str">
        <f>HYPERLINK("#'Data'!A6629", "Percentage of households feeling at risk of eviction within the next 6 months broken down by displacement status of head of household on the admin of ...")</f>
        <v>Percentage of households feeling at risk of eviction within the next 6 months broken down by displacement status of head of household on the admin of ...</v>
      </c>
    </row>
    <row r="945" spans="3:7" x14ac:dyDescent="0.35">
      <c r="C945" t="s">
        <v>117</v>
      </c>
      <c r="D945" t="s">
        <v>157</v>
      </c>
      <c r="E945" t="s">
        <v>64</v>
      </c>
      <c r="F945" s="36">
        <v>1383</v>
      </c>
      <c r="G945" s="16" t="str">
        <f>HYPERLINK("#'Data'!A6638", "Percentage of households feeling at risk of eviction within the next 6 months broken down by IDP household on the admin of overall perc")</f>
        <v>Percentage of households feeling at risk of eviction within the next 6 months broken down by IDP household on the admin of overall perc</v>
      </c>
    </row>
    <row r="946" spans="3:7" x14ac:dyDescent="0.35">
      <c r="C946" t="s">
        <v>117</v>
      </c>
      <c r="D946" t="s">
        <v>157</v>
      </c>
      <c r="E946" t="s">
        <v>65</v>
      </c>
      <c r="F946" s="36">
        <v>1384</v>
      </c>
      <c r="G946" s="16" t="str">
        <f>HYPERLINK("#'Data'!A6644", "Percentage of households feeling at risk of eviction within the next 6 months broken down by proximity to frontline/border with Russian Federation on ...")</f>
        <v>Percentage of households feeling at risk of eviction within the next 6 months broken down by proximity to frontline/border with Russian Federation on ...</v>
      </c>
    </row>
    <row r="947" spans="3:7" x14ac:dyDescent="0.35">
      <c r="C947" t="s">
        <v>117</v>
      </c>
      <c r="D947" t="s">
        <v>157</v>
      </c>
      <c r="E947" t="s">
        <v>77</v>
      </c>
      <c r="F947" s="36">
        <v>1385</v>
      </c>
      <c r="G947" s="16" t="str">
        <f>HYPERLINK("#'Data'!A6651", "Percentage of households feeling at risk of eviction within the next 6 months broken down by caregiving status  on the admin of overall perc")</f>
        <v>Percentage of households feeling at risk of eviction within the next 6 months broken down by caregiving status  on the admin of overall perc</v>
      </c>
    </row>
    <row r="948" spans="3:7" x14ac:dyDescent="0.35">
      <c r="C948" t="s">
        <v>117</v>
      </c>
      <c r="D948" t="s">
        <v>158</v>
      </c>
      <c r="E948" t="s">
        <v>36</v>
      </c>
      <c r="F948" s="36">
        <v>1386</v>
      </c>
      <c r="G948" s="16" t="str">
        <f>HYPERLINK("#'Data'!A6659", "Percentage of households currently threatened with eviction on the admin of overall perc")</f>
        <v>Percentage of households currently threatened with eviction on the admin of overall perc</v>
      </c>
    </row>
    <row r="949" spans="3:7" x14ac:dyDescent="0.35">
      <c r="C949" t="s">
        <v>117</v>
      </c>
      <c r="D949" t="s">
        <v>158</v>
      </c>
      <c r="E949" t="s">
        <v>57</v>
      </c>
      <c r="F949" s="36">
        <v>1387</v>
      </c>
      <c r="G949" s="16" t="str">
        <f>HYPERLINK("#'Data'!A6664", "Percentage of households currently threatened with eviction broken down by households with at least one member with a reported and/or registered disab...")</f>
        <v>Percentage of households currently threatened with eviction broken down by households with at least one member with a reported and/or registered disab...</v>
      </c>
    </row>
    <row r="950" spans="3:7" x14ac:dyDescent="0.35">
      <c r="C950" t="s">
        <v>117</v>
      </c>
      <c r="D950" t="s">
        <v>158</v>
      </c>
      <c r="E950" t="s">
        <v>58</v>
      </c>
      <c r="F950" s="36">
        <v>1388</v>
      </c>
      <c r="G950" s="16" t="str">
        <f>HYPERLINK("#'Data'!A6670", "Percentage of households currently threatened with eviction broken down by urbanity on the admin of overall perc")</f>
        <v>Percentage of households currently threatened with eviction broken down by urbanity on the admin of overall perc</v>
      </c>
    </row>
    <row r="951" spans="3:7" x14ac:dyDescent="0.35">
      <c r="C951" t="s">
        <v>117</v>
      </c>
      <c r="D951" t="s">
        <v>158</v>
      </c>
      <c r="E951" t="s">
        <v>59</v>
      </c>
      <c r="F951" s="36">
        <v>1389</v>
      </c>
      <c r="G951" s="16" t="str">
        <f>HYPERLINK("#'Data'!A6676", "Percentage of households currently threatened with eviction broken down by household size on the admin of overall perc")</f>
        <v>Percentage of households currently threatened with eviction broken down by household size on the admin of overall perc</v>
      </c>
    </row>
    <row r="952" spans="3:7" x14ac:dyDescent="0.35">
      <c r="C952" t="s">
        <v>117</v>
      </c>
      <c r="D952" t="s">
        <v>158</v>
      </c>
      <c r="E952" t="s">
        <v>60</v>
      </c>
      <c r="F952" s="36">
        <v>1390</v>
      </c>
      <c r="G952" s="16" t="str">
        <f>HYPERLINK("#'Data'!A6683", "Percentage of households currently threatened with eviction broken down by income per capita (quartiles) on the admin of overall perc")</f>
        <v>Percentage of households currently threatened with eviction broken down by income per capita (quartiles) on the admin of overall perc</v>
      </c>
    </row>
    <row r="953" spans="3:7" x14ac:dyDescent="0.35">
      <c r="C953" t="s">
        <v>117</v>
      </c>
      <c r="D953" t="s">
        <v>158</v>
      </c>
      <c r="E953" t="s">
        <v>61</v>
      </c>
      <c r="F953" s="36">
        <v>1391</v>
      </c>
      <c r="G953" s="16" t="str">
        <f>HYPERLINK("#'Data'!A6691", "Percentage of households currently threatened with eviction broken down by gender of head of household on the admin of overall perc")</f>
        <v>Percentage of households currently threatened with eviction broken down by gender of head of household on the admin of overall perc</v>
      </c>
    </row>
    <row r="954" spans="3:7" x14ac:dyDescent="0.35">
      <c r="C954" t="s">
        <v>117</v>
      </c>
      <c r="D954" t="s">
        <v>158</v>
      </c>
      <c r="E954" t="s">
        <v>62</v>
      </c>
      <c r="F954" s="36">
        <v>1392</v>
      </c>
      <c r="G954" s="16" t="str">
        <f>HYPERLINK("#'Data'!A6698", "Percentage of households currently threatened with eviction broken down by age of adults in the households on the admin of overall perc")</f>
        <v>Percentage of households currently threatened with eviction broken down by age of adults in the households on the admin of overall perc</v>
      </c>
    </row>
    <row r="955" spans="3:7" x14ac:dyDescent="0.35">
      <c r="C955" t="s">
        <v>117</v>
      </c>
      <c r="D955" t="s">
        <v>158</v>
      </c>
      <c r="E955" t="s">
        <v>76</v>
      </c>
      <c r="F955" s="36">
        <v>1393</v>
      </c>
      <c r="G955" s="16" t="str">
        <f>HYPERLINK("#'Data'!A6705", "Percentage of households currently threatened with eviction broken down by households with at least one child (&lt;18 y.o.) on the admin of overall perc")</f>
        <v>Percentage of households currently threatened with eviction broken down by households with at least one child (&lt;18 y.o.) on the admin of overall perc</v>
      </c>
    </row>
    <row r="956" spans="3:7" x14ac:dyDescent="0.35">
      <c r="C956" t="s">
        <v>117</v>
      </c>
      <c r="D956" t="s">
        <v>158</v>
      </c>
      <c r="E956" t="s">
        <v>63</v>
      </c>
      <c r="F956" s="36">
        <v>1394</v>
      </c>
      <c r="G956" s="16" t="str">
        <f>HYPERLINK("#'Data'!A6711", "Percentage of households currently threatened with eviction broken down by displacement status of head of household on the admin of overall perc")</f>
        <v>Percentage of households currently threatened with eviction broken down by displacement status of head of household on the admin of overall perc</v>
      </c>
    </row>
    <row r="957" spans="3:7" x14ac:dyDescent="0.35">
      <c r="C957" t="s">
        <v>117</v>
      </c>
      <c r="D957" t="s">
        <v>158</v>
      </c>
      <c r="E957" t="s">
        <v>64</v>
      </c>
      <c r="F957" s="36">
        <v>1395</v>
      </c>
      <c r="G957" s="16" t="str">
        <f>HYPERLINK("#'Data'!A6719", "Percentage of households currently threatened with eviction broken down by IDP household on the admin of overall perc")</f>
        <v>Percentage of households currently threatened with eviction broken down by IDP household on the admin of overall perc</v>
      </c>
    </row>
    <row r="958" spans="3:7" x14ac:dyDescent="0.35">
      <c r="C958" t="s">
        <v>117</v>
      </c>
      <c r="D958" t="s">
        <v>158</v>
      </c>
      <c r="E958" t="s">
        <v>65</v>
      </c>
      <c r="F958" s="36">
        <v>1396</v>
      </c>
      <c r="G958" s="16" t="str">
        <f>HYPERLINK("#'Data'!A6725", "Percentage of households currently threatened with eviction broken down by proximity to frontline/border with Russian Federation on the admin of overa...")</f>
        <v>Percentage of households currently threatened with eviction broken down by proximity to frontline/border with Russian Federation on the admin of overa...</v>
      </c>
    </row>
    <row r="959" spans="3:7" x14ac:dyDescent="0.35">
      <c r="C959" t="s">
        <v>117</v>
      </c>
      <c r="D959" t="s">
        <v>158</v>
      </c>
      <c r="E959" t="s">
        <v>77</v>
      </c>
      <c r="F959" s="36">
        <v>1397</v>
      </c>
      <c r="G959" s="16" t="str">
        <f>HYPERLINK("#'Data'!A6732", "Percentage of households currently threatened with eviction broken down by caregiving status  on the admin of overall perc")</f>
        <v>Percentage of households currently threatened with eviction broken down by caregiving status  on the admin of overall perc</v>
      </c>
    </row>
    <row r="960" spans="3:7" x14ac:dyDescent="0.35">
      <c r="C960" t="s">
        <v>117</v>
      </c>
      <c r="D960" t="s">
        <v>159</v>
      </c>
      <c r="E960" t="s">
        <v>36</v>
      </c>
      <c r="F960" s="36">
        <v>1398</v>
      </c>
      <c r="G960" s="16" t="str">
        <f>HYPERLINK("#'Data'!A6739", "Percentage of households by current shelter issues that were NOT caused by the war, by issue on the admin of overall perc")</f>
        <v>Percentage of households by current shelter issues that were NOT caused by the war, by issue on the admin of overall perc</v>
      </c>
    </row>
    <row r="961" spans="3:7" x14ac:dyDescent="0.35">
      <c r="C961" t="s">
        <v>117</v>
      </c>
      <c r="D961" t="s">
        <v>159</v>
      </c>
      <c r="E961" t="s">
        <v>57</v>
      </c>
      <c r="F961" s="36">
        <v>1399</v>
      </c>
      <c r="G961" s="16" t="str">
        <f>HYPERLINK("#'Data'!A6744", "Percentage of households by current shelter issues that were NOT caused by the war, by issue broken down by households with at least one member with a...")</f>
        <v>Percentage of households by current shelter issues that were NOT caused by the war, by issue broken down by households with at least one member with a...</v>
      </c>
    </row>
    <row r="962" spans="3:7" x14ac:dyDescent="0.35">
      <c r="C962" t="s">
        <v>117</v>
      </c>
      <c r="D962" t="s">
        <v>159</v>
      </c>
      <c r="E962" t="s">
        <v>58</v>
      </c>
      <c r="F962" s="36">
        <v>1400</v>
      </c>
      <c r="G962" s="16" t="str">
        <f>HYPERLINK("#'Data'!A6750", "Percentage of households by current shelter issues that were NOT caused by the war, by issue broken down by urbanity on the admin of overall perc")</f>
        <v>Percentage of households by current shelter issues that were NOT caused by the war, by issue broken down by urbanity on the admin of overall perc</v>
      </c>
    </row>
    <row r="963" spans="3:7" x14ac:dyDescent="0.35">
      <c r="C963" t="s">
        <v>117</v>
      </c>
      <c r="D963" t="s">
        <v>159</v>
      </c>
      <c r="E963" t="s">
        <v>59</v>
      </c>
      <c r="F963" s="36">
        <v>1401</v>
      </c>
      <c r="G963" s="16" t="str">
        <f>HYPERLINK("#'Data'!A6756", "Percentage of households by current shelter issues that were NOT caused by the war, by issue broken down by household size on the admin of overall per...")</f>
        <v>Percentage of households by current shelter issues that were NOT caused by the war, by issue broken down by household size on the admin of overall per...</v>
      </c>
    </row>
    <row r="964" spans="3:7" x14ac:dyDescent="0.35">
      <c r="C964" t="s">
        <v>117</v>
      </c>
      <c r="D964" t="s">
        <v>159</v>
      </c>
      <c r="E964" t="s">
        <v>60</v>
      </c>
      <c r="F964" s="36">
        <v>1402</v>
      </c>
      <c r="G964" s="16" t="str">
        <f>HYPERLINK("#'Data'!A6763", "Percentage of households by current shelter issues that were NOT caused by the war, by issue broken down by income per capita (quartiles) on the admin...")</f>
        <v>Percentage of households by current shelter issues that were NOT caused by the war, by issue broken down by income per capita (quartiles) on the admin...</v>
      </c>
    </row>
    <row r="965" spans="3:7" x14ac:dyDescent="0.35">
      <c r="C965" t="s">
        <v>117</v>
      </c>
      <c r="D965" t="s">
        <v>159</v>
      </c>
      <c r="E965" t="s">
        <v>61</v>
      </c>
      <c r="F965" s="36">
        <v>1403</v>
      </c>
      <c r="G965" s="16" t="str">
        <f>HYPERLINK("#'Data'!A6771", "Percentage of households by current shelter issues that were NOT caused by the war, by issue broken down by gender of head of household on the admin o...")</f>
        <v>Percentage of households by current shelter issues that were NOT caused by the war, by issue broken down by gender of head of household on the admin o...</v>
      </c>
    </row>
    <row r="966" spans="3:7" x14ac:dyDescent="0.35">
      <c r="C966" t="s">
        <v>117</v>
      </c>
      <c r="D966" t="s">
        <v>159</v>
      </c>
      <c r="E966" t="s">
        <v>62</v>
      </c>
      <c r="F966" s="36">
        <v>1404</v>
      </c>
      <c r="G966" s="16" t="str">
        <f>HYPERLINK("#'Data'!A6779", "Percentage of households by current shelter issues that were NOT caused by the war, by issue broken down by age of adults in the households on the adm...")</f>
        <v>Percentage of households by current shelter issues that were NOT caused by the war, by issue broken down by age of adults in the households on the adm...</v>
      </c>
    </row>
    <row r="967" spans="3:7" x14ac:dyDescent="0.35">
      <c r="C967" t="s">
        <v>117</v>
      </c>
      <c r="D967" t="s">
        <v>159</v>
      </c>
      <c r="E967" t="s">
        <v>76</v>
      </c>
      <c r="F967" s="36">
        <v>1405</v>
      </c>
      <c r="G967" s="16" t="str">
        <f>HYPERLINK("#'Data'!A6786", "Percentage of households by current shelter issues that were NOT caused by the war, by issue broken down by households with at least one child (&lt;18 y....")</f>
        <v>Percentage of households by current shelter issues that were NOT caused by the war, by issue broken down by households with at least one child (&lt;18 y....</v>
      </c>
    </row>
    <row r="968" spans="3:7" x14ac:dyDescent="0.35">
      <c r="C968" t="s">
        <v>117</v>
      </c>
      <c r="D968" t="s">
        <v>159</v>
      </c>
      <c r="E968" t="s">
        <v>63</v>
      </c>
      <c r="F968" s="36">
        <v>1406</v>
      </c>
      <c r="G968" s="16" t="str">
        <f>HYPERLINK("#'Data'!A6792", "Percentage of households by current shelter issues that were NOT caused by the war, by issue broken down by displacement status of head of household o...")</f>
        <v>Percentage of households by current shelter issues that were NOT caused by the war, by issue broken down by displacement status of head of household o...</v>
      </c>
    </row>
    <row r="969" spans="3:7" x14ac:dyDescent="0.35">
      <c r="C969" t="s">
        <v>117</v>
      </c>
      <c r="D969" t="s">
        <v>159</v>
      </c>
      <c r="E969" t="s">
        <v>64</v>
      </c>
      <c r="F969" s="36">
        <v>1407</v>
      </c>
      <c r="G969" s="16" t="str">
        <f>HYPERLINK("#'Data'!A6801", "Percentage of households by current shelter issues that were NOT caused by the war, by issue broken down by IDP household on the admin of overall perc")</f>
        <v>Percentage of households by current shelter issues that were NOT caused by the war, by issue broken down by IDP household on the admin of overall perc</v>
      </c>
    </row>
    <row r="970" spans="3:7" x14ac:dyDescent="0.35">
      <c r="C970" t="s">
        <v>117</v>
      </c>
      <c r="D970" t="s">
        <v>159</v>
      </c>
      <c r="E970" t="s">
        <v>65</v>
      </c>
      <c r="F970" s="36">
        <v>1408</v>
      </c>
      <c r="G970" s="16" t="str">
        <f>HYPERLINK("#'Data'!A6807", "Percentage of households by current shelter issues that were NOT caused by the war, by issue broken down by proximity to frontline/border with Russian...")</f>
        <v>Percentage of households by current shelter issues that were NOT caused by the war, by issue broken down by proximity to frontline/border with Russian...</v>
      </c>
    </row>
    <row r="971" spans="3:7" x14ac:dyDescent="0.35">
      <c r="C971" t="s">
        <v>117</v>
      </c>
      <c r="D971" t="s">
        <v>159</v>
      </c>
      <c r="E971" t="s">
        <v>77</v>
      </c>
      <c r="F971" s="36">
        <v>1409</v>
      </c>
      <c r="G971" s="16" t="str">
        <f>HYPERLINK("#'Data'!A6814", "Percentage of households by current shelter issues that were NOT caused by the war, by issue broken down by caregiving status  on the admin of overall...")</f>
        <v>Percentage of households by current shelter issues that were NOT caused by the war, by issue broken down by caregiving status  on the admin of overall...</v>
      </c>
    </row>
    <row r="972" spans="3:7" x14ac:dyDescent="0.35">
      <c r="C972" t="s">
        <v>117</v>
      </c>
      <c r="D972" t="s">
        <v>160</v>
      </c>
      <c r="E972" t="s">
        <v>36</v>
      </c>
      <c r="F972" s="36">
        <v>1410</v>
      </c>
      <c r="G972" s="16" t="str">
        <f>HYPERLINK("#'Data'!A6822", "Percentage of households reporting damage to current shelter caused by the war since February 2022 on the admin of overall perc")</f>
        <v>Percentage of households reporting damage to current shelter caused by the war since February 2022 on the admin of overall perc</v>
      </c>
    </row>
    <row r="973" spans="3:7" x14ac:dyDescent="0.35">
      <c r="C973" t="s">
        <v>117</v>
      </c>
      <c r="D973" t="s">
        <v>160</v>
      </c>
      <c r="E973" t="s">
        <v>57</v>
      </c>
      <c r="F973" s="36">
        <v>1411</v>
      </c>
      <c r="G973" s="16" t="str">
        <f>HYPERLINK("#'Data'!A6827", "Percentage of households reporting damage to current shelter caused by the war since February 2022 broken down by households with at least one member ...")</f>
        <v>Percentage of households reporting damage to current shelter caused by the war since February 2022 broken down by households with at least one member ...</v>
      </c>
    </row>
    <row r="974" spans="3:7" x14ac:dyDescent="0.35">
      <c r="C974" t="s">
        <v>117</v>
      </c>
      <c r="D974" t="s">
        <v>160</v>
      </c>
      <c r="E974" t="s">
        <v>58</v>
      </c>
      <c r="F974" s="36">
        <v>1412</v>
      </c>
      <c r="G974" s="16" t="str">
        <f>HYPERLINK("#'Data'!A6833", "Percentage of households reporting damage to current shelter caused by the war since February 2022 broken down by urbanity on the admin of overall per...")</f>
        <v>Percentage of households reporting damage to current shelter caused by the war since February 2022 broken down by urbanity on the admin of overall per...</v>
      </c>
    </row>
    <row r="975" spans="3:7" x14ac:dyDescent="0.35">
      <c r="C975" t="s">
        <v>117</v>
      </c>
      <c r="D975" t="s">
        <v>160</v>
      </c>
      <c r="E975" t="s">
        <v>59</v>
      </c>
      <c r="F975" s="36">
        <v>1413</v>
      </c>
      <c r="G975" s="16" t="str">
        <f>HYPERLINK("#'Data'!A6839", "Percentage of households reporting damage to current shelter caused by the war since February 2022 broken down by household size on the admin of overa...")</f>
        <v>Percentage of households reporting damage to current shelter caused by the war since February 2022 broken down by household size on the admin of overa...</v>
      </c>
    </row>
    <row r="976" spans="3:7" x14ac:dyDescent="0.35">
      <c r="C976" t="s">
        <v>117</v>
      </c>
      <c r="D976" t="s">
        <v>160</v>
      </c>
      <c r="E976" t="s">
        <v>60</v>
      </c>
      <c r="F976" s="36">
        <v>1414</v>
      </c>
      <c r="G976" s="16" t="str">
        <f>HYPERLINK("#'Data'!A6846", "Percentage of households reporting damage to current shelter caused by the war since February 2022 broken down by income per capita (quartiles) on the...")</f>
        <v>Percentage of households reporting damage to current shelter caused by the war since February 2022 broken down by income per capita (quartiles) on the...</v>
      </c>
    </row>
    <row r="977" spans="3:7" x14ac:dyDescent="0.35">
      <c r="C977" t="s">
        <v>117</v>
      </c>
      <c r="D977" t="s">
        <v>160</v>
      </c>
      <c r="E977" t="s">
        <v>61</v>
      </c>
      <c r="F977" s="36">
        <v>1415</v>
      </c>
      <c r="G977" s="16" t="str">
        <f>HYPERLINK("#'Data'!A6854", "Percentage of households reporting damage to current shelter caused by the war since February 2022 broken down by gender of head of household on the a...")</f>
        <v>Percentage of households reporting damage to current shelter caused by the war since February 2022 broken down by gender of head of household on the a...</v>
      </c>
    </row>
    <row r="978" spans="3:7" x14ac:dyDescent="0.35">
      <c r="C978" t="s">
        <v>117</v>
      </c>
      <c r="D978" t="s">
        <v>160</v>
      </c>
      <c r="E978" t="s">
        <v>62</v>
      </c>
      <c r="F978" s="36">
        <v>1416</v>
      </c>
      <c r="G978" s="16" t="str">
        <f>HYPERLINK("#'Data'!A6862", "Percentage of households reporting damage to current shelter caused by the war since February 2022 broken down by age of adults in the households on t...")</f>
        <v>Percentage of households reporting damage to current shelter caused by the war since February 2022 broken down by age of adults in the households on t...</v>
      </c>
    </row>
    <row r="979" spans="3:7" x14ac:dyDescent="0.35">
      <c r="C979" t="s">
        <v>117</v>
      </c>
      <c r="D979" t="s">
        <v>160</v>
      </c>
      <c r="E979" t="s">
        <v>76</v>
      </c>
      <c r="F979" s="36">
        <v>1417</v>
      </c>
      <c r="G979" s="16" t="str">
        <f>HYPERLINK("#'Data'!A6869", "Percentage of households reporting damage to current shelter caused by the war since February 2022 broken down by households with at least one child (...")</f>
        <v>Percentage of households reporting damage to current shelter caused by the war since February 2022 broken down by households with at least one child (...</v>
      </c>
    </row>
    <row r="980" spans="3:7" x14ac:dyDescent="0.35">
      <c r="C980" t="s">
        <v>117</v>
      </c>
      <c r="D980" t="s">
        <v>160</v>
      </c>
      <c r="E980" t="s">
        <v>63</v>
      </c>
      <c r="F980" s="36">
        <v>1418</v>
      </c>
      <c r="G980" s="16" t="str">
        <f>HYPERLINK("#'Data'!A6875", "Percentage of households reporting damage to current shelter caused by the war since February 2022 broken down by displacement status of head of house...")</f>
        <v>Percentage of households reporting damage to current shelter caused by the war since February 2022 broken down by displacement status of head of house...</v>
      </c>
    </row>
    <row r="981" spans="3:7" x14ac:dyDescent="0.35">
      <c r="C981" t="s">
        <v>117</v>
      </c>
      <c r="D981" t="s">
        <v>160</v>
      </c>
      <c r="E981" t="s">
        <v>64</v>
      </c>
      <c r="F981" s="36">
        <v>1419</v>
      </c>
      <c r="G981" s="16" t="str">
        <f>HYPERLINK("#'Data'!A6884", "Percentage of households reporting damage to current shelter caused by the war since February 2022 broken down by IDP household on the admin of overal...")</f>
        <v>Percentage of households reporting damage to current shelter caused by the war since February 2022 broken down by IDP household on the admin of overal...</v>
      </c>
    </row>
    <row r="982" spans="3:7" x14ac:dyDescent="0.35">
      <c r="C982" t="s">
        <v>117</v>
      </c>
      <c r="D982" t="s">
        <v>160</v>
      </c>
      <c r="E982" t="s">
        <v>65</v>
      </c>
      <c r="F982" s="36">
        <v>1420</v>
      </c>
      <c r="G982" s="16" t="str">
        <f>HYPERLINK("#'Data'!A6890", "Percentage of households reporting damage to current shelter caused by the war since February 2022 broken down by proximity to frontline/border with R...")</f>
        <v>Percentage of households reporting damage to current shelter caused by the war since February 2022 broken down by proximity to frontline/border with R...</v>
      </c>
    </row>
    <row r="983" spans="3:7" x14ac:dyDescent="0.35">
      <c r="C983" t="s">
        <v>117</v>
      </c>
      <c r="D983" t="s">
        <v>160</v>
      </c>
      <c r="E983" t="s">
        <v>77</v>
      </c>
      <c r="F983" s="36">
        <v>1421</v>
      </c>
      <c r="G983" s="16" t="str">
        <f>HYPERLINK("#'Data'!A6897", "Percentage of households reporting damage to current shelter caused by the war since February 2022 broken down by caregiving status  on the admin of o...")</f>
        <v>Percentage of households reporting damage to current shelter caused by the war since February 2022 broken down by caregiving status  on the admin of o...</v>
      </c>
    </row>
    <row r="984" spans="3:7" x14ac:dyDescent="0.35">
      <c r="C984" t="s">
        <v>117</v>
      </c>
      <c r="D984" t="s">
        <v>161</v>
      </c>
      <c r="E984" t="s">
        <v>36</v>
      </c>
      <c r="F984" s="36">
        <v>1422</v>
      </c>
      <c r="G984" s="16" t="str">
        <f>HYPERLINK("#'Data'!A6905", "Percentage of households reporting that the damage to the current shelter caused by the war was REPAIRED on the admin of overall perc")</f>
        <v>Percentage of households reporting that the damage to the current shelter caused by the war was REPAIRED on the admin of overall perc</v>
      </c>
    </row>
    <row r="985" spans="3:7" x14ac:dyDescent="0.35">
      <c r="C985" t="s">
        <v>117</v>
      </c>
      <c r="D985" t="s">
        <v>161</v>
      </c>
      <c r="E985" t="s">
        <v>57</v>
      </c>
      <c r="F985" s="36">
        <v>1423</v>
      </c>
      <c r="G985" s="16" t="str">
        <f>HYPERLINK("#'Data'!A6910", "Percentage of households reporting that the damage to the current shelter caused by the war was REPAIRED broken down by households with at least one m...")</f>
        <v>Percentage of households reporting that the damage to the current shelter caused by the war was REPAIRED broken down by households with at least one m...</v>
      </c>
    </row>
    <row r="986" spans="3:7" x14ac:dyDescent="0.35">
      <c r="C986" t="s">
        <v>117</v>
      </c>
      <c r="D986" t="s">
        <v>161</v>
      </c>
      <c r="E986" t="s">
        <v>58</v>
      </c>
      <c r="F986" s="36">
        <v>1424</v>
      </c>
      <c r="G986" s="16" t="str">
        <f>HYPERLINK("#'Data'!A6916", "Percentage of households reporting that the damage to the current shelter caused by the war was REPAIRED broken down by urbanity on the admin of overa...")</f>
        <v>Percentage of households reporting that the damage to the current shelter caused by the war was REPAIRED broken down by urbanity on the admin of overa...</v>
      </c>
    </row>
    <row r="987" spans="3:7" x14ac:dyDescent="0.35">
      <c r="C987" t="s">
        <v>117</v>
      </c>
      <c r="D987" t="s">
        <v>161</v>
      </c>
      <c r="E987" t="s">
        <v>59</v>
      </c>
      <c r="F987" s="36">
        <v>1425</v>
      </c>
      <c r="G987" s="16" t="str">
        <f>HYPERLINK("#'Data'!A6922", "Percentage of households reporting that the damage to the current shelter caused by the war was REPAIRED broken down by household size on the admin of...")</f>
        <v>Percentage of households reporting that the damage to the current shelter caused by the war was REPAIRED broken down by household size on the admin of...</v>
      </c>
    </row>
    <row r="988" spans="3:7" x14ac:dyDescent="0.35">
      <c r="C988" t="s">
        <v>117</v>
      </c>
      <c r="D988" t="s">
        <v>161</v>
      </c>
      <c r="E988" t="s">
        <v>60</v>
      </c>
      <c r="F988" s="36">
        <v>1426</v>
      </c>
      <c r="G988" s="16" t="str">
        <f>HYPERLINK("#'Data'!A6929", "Percentage of households reporting that the damage to the current shelter caused by the war was REPAIRED broken down by income per capita (quartiles) ...")</f>
        <v>Percentage of households reporting that the damage to the current shelter caused by the war was REPAIRED broken down by income per capita (quartiles) ...</v>
      </c>
    </row>
    <row r="989" spans="3:7" x14ac:dyDescent="0.35">
      <c r="C989" t="s">
        <v>117</v>
      </c>
      <c r="D989" t="s">
        <v>161</v>
      </c>
      <c r="E989" t="s">
        <v>61</v>
      </c>
      <c r="F989" s="36">
        <v>1427</v>
      </c>
      <c r="G989" s="16" t="str">
        <f>HYPERLINK("#'Data'!A6937", "Percentage of households reporting that the damage to the current shelter caused by the war was REPAIRED broken down by gender of head of household on...")</f>
        <v>Percentage of households reporting that the damage to the current shelter caused by the war was REPAIRED broken down by gender of head of household on...</v>
      </c>
    </row>
    <row r="990" spans="3:7" x14ac:dyDescent="0.35">
      <c r="C990" t="s">
        <v>117</v>
      </c>
      <c r="D990" t="s">
        <v>161</v>
      </c>
      <c r="E990" t="s">
        <v>62</v>
      </c>
      <c r="F990" s="36">
        <v>1428</v>
      </c>
      <c r="G990" s="16" t="str">
        <f>HYPERLINK("#'Data'!A6944", "Percentage of households reporting that the damage to the current shelter caused by the war was REPAIRED broken down by age of adults in the household...")</f>
        <v>Percentage of households reporting that the damage to the current shelter caused by the war was REPAIRED broken down by age of adults in the household...</v>
      </c>
    </row>
    <row r="991" spans="3:7" x14ac:dyDescent="0.35">
      <c r="C991" t="s">
        <v>117</v>
      </c>
      <c r="D991" t="s">
        <v>161</v>
      </c>
      <c r="E991" t="s">
        <v>76</v>
      </c>
      <c r="F991" s="36">
        <v>1429</v>
      </c>
      <c r="G991" s="16" t="str">
        <f>HYPERLINK("#'Data'!A6951", "Percentage of households reporting that the damage to the current shelter caused by the war was REPAIRED broken down by households with at least one c...")</f>
        <v>Percentage of households reporting that the damage to the current shelter caused by the war was REPAIRED broken down by households with at least one c...</v>
      </c>
    </row>
    <row r="992" spans="3:7" x14ac:dyDescent="0.35">
      <c r="C992" t="s">
        <v>117</v>
      </c>
      <c r="D992" t="s">
        <v>161</v>
      </c>
      <c r="E992" t="s">
        <v>63</v>
      </c>
      <c r="F992" s="36">
        <v>1430</v>
      </c>
      <c r="G992" s="16" t="str">
        <f>HYPERLINK("#'Data'!A6957", "Percentage of households reporting that the damage to the current shelter caused by the war was REPAIRED broken down by displacement status of head of...")</f>
        <v>Percentage of households reporting that the damage to the current shelter caused by the war was REPAIRED broken down by displacement status of head of...</v>
      </c>
    </row>
    <row r="993" spans="3:7" x14ac:dyDescent="0.35">
      <c r="C993" t="s">
        <v>117</v>
      </c>
      <c r="D993" t="s">
        <v>161</v>
      </c>
      <c r="E993" t="s">
        <v>64</v>
      </c>
      <c r="F993" s="36">
        <v>1431</v>
      </c>
      <c r="G993" s="16" t="str">
        <f>HYPERLINK("#'Data'!A6966", "Percentage of households reporting that the damage to the current shelter caused by the war was REPAIRED broken down by IDP household on the admin of ...")</f>
        <v>Percentage of households reporting that the damage to the current shelter caused by the war was REPAIRED broken down by IDP household on the admin of ...</v>
      </c>
    </row>
    <row r="994" spans="3:7" x14ac:dyDescent="0.35">
      <c r="C994" t="s">
        <v>117</v>
      </c>
      <c r="D994" t="s">
        <v>161</v>
      </c>
      <c r="E994" t="s">
        <v>65</v>
      </c>
      <c r="F994" s="36">
        <v>1432</v>
      </c>
      <c r="G994" s="16" t="str">
        <f>HYPERLINK("#'Data'!A6972", "Percentage of households reporting that the damage to the current shelter caused by the war was REPAIRED broken down by proximity to frontline/border ...")</f>
        <v>Percentage of households reporting that the damage to the current shelter caused by the war was REPAIRED broken down by proximity to frontline/border ...</v>
      </c>
    </row>
    <row r="995" spans="3:7" x14ac:dyDescent="0.35">
      <c r="C995" t="s">
        <v>117</v>
      </c>
      <c r="D995" t="s">
        <v>161</v>
      </c>
      <c r="E995" t="s">
        <v>77</v>
      </c>
      <c r="F995" s="36">
        <v>1433</v>
      </c>
      <c r="G995" s="16" t="str">
        <f>HYPERLINK("#'Data'!A6979", "Percentage of households reporting that the damage to the current shelter caused by the war was REPAIRED broken down by caregiving status  on the admi...")</f>
        <v>Percentage of households reporting that the damage to the current shelter caused by the war was REPAIRED broken down by caregiving status  on the admi...</v>
      </c>
    </row>
    <row r="996" spans="3:7" x14ac:dyDescent="0.35">
      <c r="C996" t="s">
        <v>117</v>
      </c>
      <c r="D996" t="s">
        <v>162</v>
      </c>
      <c r="E996" t="s">
        <v>36</v>
      </c>
      <c r="F996" s="36">
        <v>1434</v>
      </c>
      <c r="G996" s="16" t="str">
        <f>HYPERLINK("#'Data'!A6987", "Percentage of households reporting that the damage to current shelter was not repaired, by reason  on the admin of overall perc")</f>
        <v>Percentage of households reporting that the damage to current shelter was not repaired, by reason  on the admin of overall perc</v>
      </c>
    </row>
    <row r="997" spans="3:7" x14ac:dyDescent="0.35">
      <c r="C997" t="s">
        <v>117</v>
      </c>
      <c r="D997" t="s">
        <v>162</v>
      </c>
      <c r="E997" t="s">
        <v>57</v>
      </c>
      <c r="F997" s="36">
        <v>1435</v>
      </c>
      <c r="G997" s="16" t="str">
        <f>HYPERLINK("#'Data'!A6992", "Percentage of households reporting that the damage to current shelter was not repaired, by reason  broken down by households with at least one member ...")</f>
        <v>Percentage of households reporting that the damage to current shelter was not repaired, by reason  broken down by households with at least one member ...</v>
      </c>
    </row>
    <row r="998" spans="3:7" x14ac:dyDescent="0.35">
      <c r="C998" t="s">
        <v>117</v>
      </c>
      <c r="D998" t="s">
        <v>162</v>
      </c>
      <c r="E998" t="s">
        <v>58</v>
      </c>
      <c r="F998" s="36">
        <v>1436</v>
      </c>
      <c r="G998" s="16" t="str">
        <f>HYPERLINK("#'Data'!A6998", "Percentage of households reporting that the damage to current shelter was not repaired, by reason  broken down by urbanity on the admin of overall per...")</f>
        <v>Percentage of households reporting that the damage to current shelter was not repaired, by reason  broken down by urbanity on the admin of overall per...</v>
      </c>
    </row>
    <row r="999" spans="3:7" x14ac:dyDescent="0.35">
      <c r="C999" t="s">
        <v>117</v>
      </c>
      <c r="D999" t="s">
        <v>162</v>
      </c>
      <c r="E999" t="s">
        <v>59</v>
      </c>
      <c r="F999" s="36">
        <v>1437</v>
      </c>
      <c r="G999" s="16" t="str">
        <f>HYPERLINK("#'Data'!A7004", "Percentage of households reporting that the damage to current shelter was not repaired, by reason  broken down by household size on the admin of overa...")</f>
        <v>Percentage of households reporting that the damage to current shelter was not repaired, by reason  broken down by household size on the admin of overa...</v>
      </c>
    </row>
    <row r="1000" spans="3:7" x14ac:dyDescent="0.35">
      <c r="C1000" t="s">
        <v>117</v>
      </c>
      <c r="D1000" t="s">
        <v>162</v>
      </c>
      <c r="E1000" t="s">
        <v>60</v>
      </c>
      <c r="F1000" s="36">
        <v>1438</v>
      </c>
      <c r="G1000" s="16" t="str">
        <f>HYPERLINK("#'Data'!A7011", "Percentage of households reporting that the damage to current shelter was not repaired, by reason  broken down by income per capita (quartiles) on the...")</f>
        <v>Percentage of households reporting that the damage to current shelter was not repaired, by reason  broken down by income per capita (quartiles) on the...</v>
      </c>
    </row>
    <row r="1001" spans="3:7" x14ac:dyDescent="0.35">
      <c r="C1001" t="s">
        <v>117</v>
      </c>
      <c r="D1001" t="s">
        <v>162</v>
      </c>
      <c r="E1001" t="s">
        <v>61</v>
      </c>
      <c r="F1001" s="36">
        <v>1439</v>
      </c>
      <c r="G1001" s="16" t="str">
        <f>HYPERLINK("#'Data'!A7019", "Percentage of households reporting that the damage to current shelter was not repaired, by reason  broken down by gender of head of household on the a...")</f>
        <v>Percentage of households reporting that the damage to current shelter was not repaired, by reason  broken down by gender of head of household on the a...</v>
      </c>
    </row>
    <row r="1002" spans="3:7" x14ac:dyDescent="0.35">
      <c r="C1002" t="s">
        <v>117</v>
      </c>
      <c r="D1002" t="s">
        <v>162</v>
      </c>
      <c r="E1002" t="s">
        <v>62</v>
      </c>
      <c r="F1002" s="36">
        <v>1440</v>
      </c>
      <c r="G1002" s="16" t="str">
        <f>HYPERLINK("#'Data'!A7026", "Percentage of households reporting that the damage to current shelter was not repaired, by reason  broken down by age of adults in the households on t...")</f>
        <v>Percentage of households reporting that the damage to current shelter was not repaired, by reason  broken down by age of adults in the households on t...</v>
      </c>
    </row>
    <row r="1003" spans="3:7" x14ac:dyDescent="0.35">
      <c r="C1003" t="s">
        <v>117</v>
      </c>
      <c r="D1003" t="s">
        <v>162</v>
      </c>
      <c r="E1003" t="s">
        <v>76</v>
      </c>
      <c r="F1003" s="36">
        <v>1441</v>
      </c>
      <c r="G1003" s="16" t="str">
        <f>HYPERLINK("#'Data'!A7033", "Percentage of households reporting that the damage to current shelter was not repaired, by reason  broken down by households with at least one child (...")</f>
        <v>Percentage of households reporting that the damage to current shelter was not repaired, by reason  broken down by households with at least one child (...</v>
      </c>
    </row>
    <row r="1004" spans="3:7" x14ac:dyDescent="0.35">
      <c r="C1004" t="s">
        <v>117</v>
      </c>
      <c r="D1004" t="s">
        <v>162</v>
      </c>
      <c r="E1004" t="s">
        <v>63</v>
      </c>
      <c r="F1004" s="36">
        <v>1442</v>
      </c>
      <c r="G1004" s="16" t="str">
        <f>HYPERLINK("#'Data'!A7039", "Percentage of households reporting that the damage to current shelter was not repaired, by reason  broken down by displacement status of head of house...")</f>
        <v>Percentage of households reporting that the damage to current shelter was not repaired, by reason  broken down by displacement status of head of house...</v>
      </c>
    </row>
    <row r="1005" spans="3:7" x14ac:dyDescent="0.35">
      <c r="C1005" t="s">
        <v>117</v>
      </c>
      <c r="D1005" t="s">
        <v>162</v>
      </c>
      <c r="E1005" t="s">
        <v>64</v>
      </c>
      <c r="F1005" s="36">
        <v>1443</v>
      </c>
      <c r="G1005" s="16" t="str">
        <f>HYPERLINK("#'Data'!A7048", "Percentage of households reporting that the damage to current shelter was not repaired, by reason  broken down by IDP household on the admin of overal...")</f>
        <v>Percentage of households reporting that the damage to current shelter was not repaired, by reason  broken down by IDP household on the admin of overal...</v>
      </c>
    </row>
    <row r="1006" spans="3:7" x14ac:dyDescent="0.35">
      <c r="C1006" t="s">
        <v>117</v>
      </c>
      <c r="D1006" t="s">
        <v>162</v>
      </c>
      <c r="E1006" t="s">
        <v>65</v>
      </c>
      <c r="F1006" s="36">
        <v>1444</v>
      </c>
      <c r="G1006" s="16" t="str">
        <f>HYPERLINK("#'Data'!A7054", "Percentage of households reporting that the damage to current shelter was not repaired, by reason  broken down by proximity to frontline/border with R...")</f>
        <v>Percentage of households reporting that the damage to current shelter was not repaired, by reason  broken down by proximity to frontline/border with R...</v>
      </c>
    </row>
    <row r="1007" spans="3:7" x14ac:dyDescent="0.35">
      <c r="C1007" t="s">
        <v>117</v>
      </c>
      <c r="D1007" t="s">
        <v>162</v>
      </c>
      <c r="E1007" t="s">
        <v>77</v>
      </c>
      <c r="F1007" s="36">
        <v>1445</v>
      </c>
      <c r="G1007" s="16" t="str">
        <f>HYPERLINK("#'Data'!A7061", "Percentage of households reporting that the damage to current shelter was not repaired, by reason  broken down by caregiving status  on the admin of o...")</f>
        <v>Percentage of households reporting that the damage to current shelter was not repaired, by reason  broken down by caregiving status  on the admin of o...</v>
      </c>
    </row>
    <row r="1008" spans="3:7" x14ac:dyDescent="0.35">
      <c r="C1008" t="s">
        <v>117</v>
      </c>
      <c r="D1008" t="s">
        <v>163</v>
      </c>
      <c r="E1008" t="s">
        <v>36</v>
      </c>
      <c r="F1008" s="36">
        <v>1446</v>
      </c>
      <c r="G1008" s="16" t="str">
        <f>HYPERLINK("#'Data'!A7069", "Percentage of households reporting damage to current shelter caused by the war, by severity on the admin of overall perc")</f>
        <v>Percentage of households reporting damage to current shelter caused by the war, by severity on the admin of overall perc</v>
      </c>
    </row>
    <row r="1009" spans="3:7" x14ac:dyDescent="0.35">
      <c r="C1009" t="s">
        <v>117</v>
      </c>
      <c r="D1009" t="s">
        <v>163</v>
      </c>
      <c r="E1009" t="s">
        <v>57</v>
      </c>
      <c r="F1009" s="36">
        <v>1447</v>
      </c>
      <c r="G1009" s="16" t="str">
        <f>HYPERLINK("#'Data'!A7074", "Percentage of households reporting damage to current shelter caused by the war, by severity broken down by households with at least one member with a ...")</f>
        <v>Percentage of households reporting damage to current shelter caused by the war, by severity broken down by households with at least one member with a ...</v>
      </c>
    </row>
    <row r="1010" spans="3:7" x14ac:dyDescent="0.35">
      <c r="C1010" t="s">
        <v>117</v>
      </c>
      <c r="D1010" t="s">
        <v>163</v>
      </c>
      <c r="E1010" t="s">
        <v>58</v>
      </c>
      <c r="F1010" s="36">
        <v>1448</v>
      </c>
      <c r="G1010" s="16" t="str">
        <f>HYPERLINK("#'Data'!A7080", "Percentage of households reporting damage to current shelter caused by the war, by severity broken down by urbanity on the admin of overall perc")</f>
        <v>Percentage of households reporting damage to current shelter caused by the war, by severity broken down by urbanity on the admin of overall perc</v>
      </c>
    </row>
    <row r="1011" spans="3:7" x14ac:dyDescent="0.35">
      <c r="C1011" t="s">
        <v>117</v>
      </c>
      <c r="D1011" t="s">
        <v>163</v>
      </c>
      <c r="E1011" t="s">
        <v>59</v>
      </c>
      <c r="F1011" s="36">
        <v>1449</v>
      </c>
      <c r="G1011" s="16" t="str">
        <f>HYPERLINK("#'Data'!A7086", "Percentage of households reporting damage to current shelter caused by the war, by severity broken down by household size on the admin of overall perc")</f>
        <v>Percentage of households reporting damage to current shelter caused by the war, by severity broken down by household size on the admin of overall perc</v>
      </c>
    </row>
    <row r="1012" spans="3:7" x14ac:dyDescent="0.35">
      <c r="C1012" t="s">
        <v>117</v>
      </c>
      <c r="D1012" t="s">
        <v>163</v>
      </c>
      <c r="E1012" t="s">
        <v>60</v>
      </c>
      <c r="F1012" s="36">
        <v>1450</v>
      </c>
      <c r="G1012" s="16" t="str">
        <f>HYPERLINK("#'Data'!A7093", "Percentage of households reporting damage to current shelter caused by the war, by severity broken down by income per capita (quartiles) on the admin ...")</f>
        <v>Percentage of households reporting damage to current shelter caused by the war, by severity broken down by income per capita (quartiles) on the admin ...</v>
      </c>
    </row>
    <row r="1013" spans="3:7" x14ac:dyDescent="0.35">
      <c r="C1013" t="s">
        <v>117</v>
      </c>
      <c r="D1013" t="s">
        <v>163</v>
      </c>
      <c r="E1013" t="s">
        <v>61</v>
      </c>
      <c r="F1013" s="36">
        <v>1451</v>
      </c>
      <c r="G1013" s="16" t="str">
        <f>HYPERLINK("#'Data'!A7101", "Percentage of households reporting damage to current shelter caused by the war, by severity broken down by gender of head of household on the admin of...")</f>
        <v>Percentage of households reporting damage to current shelter caused by the war, by severity broken down by gender of head of household on the admin of...</v>
      </c>
    </row>
    <row r="1014" spans="3:7" x14ac:dyDescent="0.35">
      <c r="C1014" t="s">
        <v>117</v>
      </c>
      <c r="D1014" t="s">
        <v>163</v>
      </c>
      <c r="E1014" t="s">
        <v>62</v>
      </c>
      <c r="F1014" s="36">
        <v>1452</v>
      </c>
      <c r="G1014" s="16" t="str">
        <f>HYPERLINK("#'Data'!A7108", "Percentage of households reporting damage to current shelter caused by the war, by severity broken down by age of adults in the households on the admi...")</f>
        <v>Percentage of households reporting damage to current shelter caused by the war, by severity broken down by age of adults in the households on the admi...</v>
      </c>
    </row>
    <row r="1015" spans="3:7" x14ac:dyDescent="0.35">
      <c r="C1015" t="s">
        <v>117</v>
      </c>
      <c r="D1015" t="s">
        <v>163</v>
      </c>
      <c r="E1015" t="s">
        <v>76</v>
      </c>
      <c r="F1015" s="36">
        <v>1453</v>
      </c>
      <c r="G1015" s="16" t="str">
        <f>HYPERLINK("#'Data'!A7115", "Percentage of households reporting damage to current shelter caused by the war, by severity broken down by households with at least one child (&lt;18 y.o...")</f>
        <v>Percentage of households reporting damage to current shelter caused by the war, by severity broken down by households with at least one child (&lt;18 y.o...</v>
      </c>
    </row>
    <row r="1016" spans="3:7" x14ac:dyDescent="0.35">
      <c r="C1016" t="s">
        <v>117</v>
      </c>
      <c r="D1016" t="s">
        <v>163</v>
      </c>
      <c r="E1016" t="s">
        <v>63</v>
      </c>
      <c r="F1016" s="36">
        <v>1454</v>
      </c>
      <c r="G1016" s="16" t="str">
        <f>HYPERLINK("#'Data'!A7121", "Percentage of households reporting damage to current shelter caused by the war, by severity broken down by displacement status of head of household on...")</f>
        <v>Percentage of households reporting damage to current shelter caused by the war, by severity broken down by displacement status of head of household on...</v>
      </c>
    </row>
    <row r="1017" spans="3:7" x14ac:dyDescent="0.35">
      <c r="C1017" t="s">
        <v>117</v>
      </c>
      <c r="D1017" t="s">
        <v>163</v>
      </c>
      <c r="E1017" t="s">
        <v>64</v>
      </c>
      <c r="F1017" s="36">
        <v>1455</v>
      </c>
      <c r="G1017" s="16" t="str">
        <f>HYPERLINK("#'Data'!A7130", "Percentage of households reporting damage to current shelter caused by the war, by severity broken down by IDP household on the admin of overall perc")</f>
        <v>Percentage of households reporting damage to current shelter caused by the war, by severity broken down by IDP household on the admin of overall perc</v>
      </c>
    </row>
    <row r="1018" spans="3:7" x14ac:dyDescent="0.35">
      <c r="C1018" t="s">
        <v>117</v>
      </c>
      <c r="D1018" t="s">
        <v>163</v>
      </c>
      <c r="E1018" t="s">
        <v>65</v>
      </c>
      <c r="F1018" s="36">
        <v>1456</v>
      </c>
      <c r="G1018" s="16" t="str">
        <f>HYPERLINK("#'Data'!A7136", "Percentage of households reporting damage to current shelter caused by the war, by severity broken down by proximity to frontline/border with Russian ...")</f>
        <v>Percentage of households reporting damage to current shelter caused by the war, by severity broken down by proximity to frontline/border with Russian ...</v>
      </c>
    </row>
    <row r="1019" spans="3:7" x14ac:dyDescent="0.35">
      <c r="C1019" t="s">
        <v>117</v>
      </c>
      <c r="D1019" t="s">
        <v>163</v>
      </c>
      <c r="E1019" t="s">
        <v>77</v>
      </c>
      <c r="F1019" s="36">
        <v>1457</v>
      </c>
      <c r="G1019" s="16" t="str">
        <f>HYPERLINK("#'Data'!A7143", "Percentage of households reporting damage to current shelter caused by the war, by severity broken down by caregiving status  on the admin of overall ...")</f>
        <v>Percentage of households reporting damage to current shelter caused by the war, by severity broken down by caregiving status  on the admin of overall ...</v>
      </c>
    </row>
    <row r="1020" spans="3:7" x14ac:dyDescent="0.35">
      <c r="C1020" t="s">
        <v>117</v>
      </c>
      <c r="D1020" t="s">
        <v>164</v>
      </c>
      <c r="E1020" t="s">
        <v>36</v>
      </c>
      <c r="F1020" s="36">
        <v>1458</v>
      </c>
      <c r="G1020" s="16" t="str">
        <f>HYPERLINK("#'Data'!A7151", "Percentage of households reporting enough space/essential items so that the members of the households can cook on the admin of overall perc")</f>
        <v>Percentage of households reporting enough space/essential items so that the members of the households can cook on the admin of overall perc</v>
      </c>
    </row>
    <row r="1021" spans="3:7" x14ac:dyDescent="0.35">
      <c r="C1021" t="s">
        <v>117</v>
      </c>
      <c r="D1021" t="s">
        <v>164</v>
      </c>
      <c r="E1021" t="s">
        <v>57</v>
      </c>
      <c r="F1021" s="36">
        <v>1459</v>
      </c>
      <c r="G1021" s="16" t="str">
        <f>HYPERLINK("#'Data'!A7156", "Percentage of households reporting enough space/essential items so that the members of the households can cook broken down by households with at least...")</f>
        <v>Percentage of households reporting enough space/essential items so that the members of the households can cook broken down by households with at least...</v>
      </c>
    </row>
    <row r="1022" spans="3:7" x14ac:dyDescent="0.35">
      <c r="C1022" t="s">
        <v>117</v>
      </c>
      <c r="D1022" t="s">
        <v>164</v>
      </c>
      <c r="E1022" t="s">
        <v>58</v>
      </c>
      <c r="F1022" s="36">
        <v>1460</v>
      </c>
      <c r="G1022" s="16" t="str">
        <f>HYPERLINK("#'Data'!A7162", "Percentage of households reporting enough space/essential items so that the members of the households can cook broken down by urbanity on the admin of...")</f>
        <v>Percentage of households reporting enough space/essential items so that the members of the households can cook broken down by urbanity on the admin of...</v>
      </c>
    </row>
    <row r="1023" spans="3:7" x14ac:dyDescent="0.35">
      <c r="C1023" t="s">
        <v>117</v>
      </c>
      <c r="D1023" t="s">
        <v>164</v>
      </c>
      <c r="E1023" t="s">
        <v>59</v>
      </c>
      <c r="F1023" s="36">
        <v>1461</v>
      </c>
      <c r="G1023" s="16" t="str">
        <f>HYPERLINK("#'Data'!A7168", "Percentage of households reporting enough space/essential items so that the members of the households can cook broken down by household size on the ad...")</f>
        <v>Percentage of households reporting enough space/essential items so that the members of the households can cook broken down by household size on the ad...</v>
      </c>
    </row>
    <row r="1024" spans="3:7" x14ac:dyDescent="0.35">
      <c r="C1024" t="s">
        <v>117</v>
      </c>
      <c r="D1024" t="s">
        <v>164</v>
      </c>
      <c r="E1024" t="s">
        <v>60</v>
      </c>
      <c r="F1024" s="36">
        <v>1462</v>
      </c>
      <c r="G1024" s="16" t="str">
        <f>HYPERLINK("#'Data'!A7175", "Percentage of households reporting enough space/essential items so that the members of the households can cook broken down by income per capita (quart...")</f>
        <v>Percentage of households reporting enough space/essential items so that the members of the households can cook broken down by income per capita (quart...</v>
      </c>
    </row>
    <row r="1025" spans="3:7" x14ac:dyDescent="0.35">
      <c r="C1025" t="s">
        <v>117</v>
      </c>
      <c r="D1025" t="s">
        <v>164</v>
      </c>
      <c r="E1025" t="s">
        <v>61</v>
      </c>
      <c r="F1025" s="36">
        <v>1463</v>
      </c>
      <c r="G1025" s="16" t="str">
        <f>HYPERLINK("#'Data'!A7183", "Percentage of households reporting enough space/essential items so that the members of the households can cook broken down by gender of head of househ...")</f>
        <v>Percentage of households reporting enough space/essential items so that the members of the households can cook broken down by gender of head of househ...</v>
      </c>
    </row>
    <row r="1026" spans="3:7" x14ac:dyDescent="0.35">
      <c r="C1026" t="s">
        <v>117</v>
      </c>
      <c r="D1026" t="s">
        <v>164</v>
      </c>
      <c r="E1026" t="s">
        <v>62</v>
      </c>
      <c r="F1026" s="36">
        <v>1464</v>
      </c>
      <c r="G1026" s="16" t="str">
        <f>HYPERLINK("#'Data'!A7191", "Percentage of households reporting enough space/essential items so that the members of the households can cook broken down by age of adults in the hou...")</f>
        <v>Percentage of households reporting enough space/essential items so that the members of the households can cook broken down by age of adults in the hou...</v>
      </c>
    </row>
    <row r="1027" spans="3:7" x14ac:dyDescent="0.35">
      <c r="C1027" t="s">
        <v>117</v>
      </c>
      <c r="D1027" t="s">
        <v>164</v>
      </c>
      <c r="E1027" t="s">
        <v>76</v>
      </c>
      <c r="F1027" s="36">
        <v>1465</v>
      </c>
      <c r="G1027" s="16" t="str">
        <f>HYPERLINK("#'Data'!A7198", "Percentage of households reporting enough space/essential items so that the members of the households can cook broken down by households with at least...")</f>
        <v>Percentage of households reporting enough space/essential items so that the members of the households can cook broken down by households with at least...</v>
      </c>
    </row>
    <row r="1028" spans="3:7" x14ac:dyDescent="0.35">
      <c r="C1028" t="s">
        <v>117</v>
      </c>
      <c r="D1028" t="s">
        <v>164</v>
      </c>
      <c r="E1028" t="s">
        <v>63</v>
      </c>
      <c r="F1028" s="36">
        <v>1466</v>
      </c>
      <c r="G1028" s="16" t="str">
        <f>HYPERLINK("#'Data'!A7204", "Percentage of households reporting enough space/essential items so that the members of the households can cook broken down by displacement status of h...")</f>
        <v>Percentage of households reporting enough space/essential items so that the members of the households can cook broken down by displacement status of h...</v>
      </c>
    </row>
    <row r="1029" spans="3:7" x14ac:dyDescent="0.35">
      <c r="C1029" t="s">
        <v>117</v>
      </c>
      <c r="D1029" t="s">
        <v>164</v>
      </c>
      <c r="E1029" t="s">
        <v>64</v>
      </c>
      <c r="F1029" s="36">
        <v>1467</v>
      </c>
      <c r="G1029" s="16" t="str">
        <f>HYPERLINK("#'Data'!A7213", "Percentage of households reporting enough space/essential items so that the members of the households can cook broken down by IDP household on the adm...")</f>
        <v>Percentage of households reporting enough space/essential items so that the members of the households can cook broken down by IDP household on the adm...</v>
      </c>
    </row>
    <row r="1030" spans="3:7" x14ac:dyDescent="0.35">
      <c r="C1030" t="s">
        <v>117</v>
      </c>
      <c r="D1030" t="s">
        <v>164</v>
      </c>
      <c r="E1030" t="s">
        <v>65</v>
      </c>
      <c r="F1030" s="36">
        <v>1468</v>
      </c>
      <c r="G1030" s="16" t="str">
        <f>HYPERLINK("#'Data'!A7219", "Percentage of households reporting enough space/essential items so that the members of the households can cook broken down by proximity to frontline/b...")</f>
        <v>Percentage of households reporting enough space/essential items so that the members of the households can cook broken down by proximity to frontline/b...</v>
      </c>
    </row>
    <row r="1031" spans="3:7" x14ac:dyDescent="0.35">
      <c r="C1031" t="s">
        <v>117</v>
      </c>
      <c r="D1031" t="s">
        <v>164</v>
      </c>
      <c r="E1031" t="s">
        <v>77</v>
      </c>
      <c r="F1031" s="36">
        <v>1469</v>
      </c>
      <c r="G1031" s="16" t="str">
        <f>HYPERLINK("#'Data'!A7226", "Percentage of households reporting enough space/essential items so that the members of the households can cook broken down by caregiving status  on th...")</f>
        <v>Percentage of households reporting enough space/essential items so that the members of the households can cook broken down by caregiving status  on th...</v>
      </c>
    </row>
    <row r="1032" spans="3:7" x14ac:dyDescent="0.35">
      <c r="C1032" t="s">
        <v>117</v>
      </c>
      <c r="D1032" t="s">
        <v>165</v>
      </c>
      <c r="E1032" t="s">
        <v>36</v>
      </c>
      <c r="F1032" s="36">
        <v>1470</v>
      </c>
      <c r="G1032" s="16" t="str">
        <f>HYPERLINK("#'Data'!A7234", "Percentage of households reporting enough space/essential items so that the members of the households can sleep on the admin of overall perc")</f>
        <v>Percentage of households reporting enough space/essential items so that the members of the households can sleep on the admin of overall perc</v>
      </c>
    </row>
    <row r="1033" spans="3:7" x14ac:dyDescent="0.35">
      <c r="C1033" t="s">
        <v>117</v>
      </c>
      <c r="D1033" t="s">
        <v>165</v>
      </c>
      <c r="E1033" t="s">
        <v>57</v>
      </c>
      <c r="F1033" s="36">
        <v>1471</v>
      </c>
      <c r="G1033" s="16" t="str">
        <f>HYPERLINK("#'Data'!A7239", "Percentage of households reporting enough space/essential items so that the members of the households can sleep broken down by households with at leas...")</f>
        <v>Percentage of households reporting enough space/essential items so that the members of the households can sleep broken down by households with at leas...</v>
      </c>
    </row>
    <row r="1034" spans="3:7" x14ac:dyDescent="0.35">
      <c r="C1034" t="s">
        <v>117</v>
      </c>
      <c r="D1034" t="s">
        <v>165</v>
      </c>
      <c r="E1034" t="s">
        <v>58</v>
      </c>
      <c r="F1034" s="36">
        <v>1472</v>
      </c>
      <c r="G1034" s="16" t="str">
        <f>HYPERLINK("#'Data'!A7245", "Percentage of households reporting enough space/essential items so that the members of the households can sleep broken down by urbanity on the admin o...")</f>
        <v>Percentage of households reporting enough space/essential items so that the members of the households can sleep broken down by urbanity on the admin o...</v>
      </c>
    </row>
    <row r="1035" spans="3:7" x14ac:dyDescent="0.35">
      <c r="C1035" t="s">
        <v>117</v>
      </c>
      <c r="D1035" t="s">
        <v>165</v>
      </c>
      <c r="E1035" t="s">
        <v>59</v>
      </c>
      <c r="F1035" s="36">
        <v>1473</v>
      </c>
      <c r="G1035" s="16" t="str">
        <f>HYPERLINK("#'Data'!A7251", "Percentage of households reporting enough space/essential items so that the members of the households can sleep broken down by household size on the a...")</f>
        <v>Percentage of households reporting enough space/essential items so that the members of the households can sleep broken down by household size on the a...</v>
      </c>
    </row>
    <row r="1036" spans="3:7" x14ac:dyDescent="0.35">
      <c r="C1036" t="s">
        <v>117</v>
      </c>
      <c r="D1036" t="s">
        <v>165</v>
      </c>
      <c r="E1036" t="s">
        <v>60</v>
      </c>
      <c r="F1036" s="36">
        <v>1474</v>
      </c>
      <c r="G1036" s="16" t="str">
        <f>HYPERLINK("#'Data'!A7258", "Percentage of households reporting enough space/essential items so that the members of the households can sleep broken down by income per capita (quar...")</f>
        <v>Percentage of households reporting enough space/essential items so that the members of the households can sleep broken down by income per capita (quar...</v>
      </c>
    </row>
    <row r="1037" spans="3:7" x14ac:dyDescent="0.35">
      <c r="C1037" t="s">
        <v>117</v>
      </c>
      <c r="D1037" t="s">
        <v>165</v>
      </c>
      <c r="E1037" t="s">
        <v>61</v>
      </c>
      <c r="F1037" s="36">
        <v>1475</v>
      </c>
      <c r="G1037" s="16" t="str">
        <f>HYPERLINK("#'Data'!A7266", "Percentage of households reporting enough space/essential items so that the members of the households can sleep broken down by gender of head of house...")</f>
        <v>Percentage of households reporting enough space/essential items so that the members of the households can sleep broken down by gender of head of house...</v>
      </c>
    </row>
    <row r="1038" spans="3:7" x14ac:dyDescent="0.35">
      <c r="C1038" t="s">
        <v>117</v>
      </c>
      <c r="D1038" t="s">
        <v>165</v>
      </c>
      <c r="E1038" t="s">
        <v>62</v>
      </c>
      <c r="F1038" s="36">
        <v>1476</v>
      </c>
      <c r="G1038" s="16" t="str">
        <f>HYPERLINK("#'Data'!A7274", "Percentage of households reporting enough space/essential items so that the members of the households can sleep broken down by age of adults in the ho...")</f>
        <v>Percentage of households reporting enough space/essential items so that the members of the households can sleep broken down by age of adults in the ho...</v>
      </c>
    </row>
    <row r="1039" spans="3:7" x14ac:dyDescent="0.35">
      <c r="C1039" t="s">
        <v>117</v>
      </c>
      <c r="D1039" t="s">
        <v>165</v>
      </c>
      <c r="E1039" t="s">
        <v>76</v>
      </c>
      <c r="F1039" s="36">
        <v>1477</v>
      </c>
      <c r="G1039" s="16" t="str">
        <f>HYPERLINK("#'Data'!A7281", "Percentage of households reporting enough space/essential items so that the members of the households can sleep broken down by households with at leas...")</f>
        <v>Percentage of households reporting enough space/essential items so that the members of the households can sleep broken down by households with at leas...</v>
      </c>
    </row>
    <row r="1040" spans="3:7" x14ac:dyDescent="0.35">
      <c r="C1040" t="s">
        <v>117</v>
      </c>
      <c r="D1040" t="s">
        <v>165</v>
      </c>
      <c r="E1040" t="s">
        <v>63</v>
      </c>
      <c r="F1040" s="36">
        <v>1478</v>
      </c>
      <c r="G1040" s="16" t="str">
        <f>HYPERLINK("#'Data'!A7287", "Percentage of households reporting enough space/essential items so that the members of the households can sleep broken down by displacement status of ...")</f>
        <v>Percentage of households reporting enough space/essential items so that the members of the households can sleep broken down by displacement status of ...</v>
      </c>
    </row>
    <row r="1041" spans="3:7" x14ac:dyDescent="0.35">
      <c r="C1041" t="s">
        <v>117</v>
      </c>
      <c r="D1041" t="s">
        <v>165</v>
      </c>
      <c r="E1041" t="s">
        <v>64</v>
      </c>
      <c r="F1041" s="36">
        <v>1479</v>
      </c>
      <c r="G1041" s="16" t="str">
        <f>HYPERLINK("#'Data'!A7296", "Percentage of households reporting enough space/essential items so that the members of the households can sleep broken down by IDP household on the ad...")</f>
        <v>Percentage of households reporting enough space/essential items so that the members of the households can sleep broken down by IDP household on the ad...</v>
      </c>
    </row>
    <row r="1042" spans="3:7" x14ac:dyDescent="0.35">
      <c r="C1042" t="s">
        <v>117</v>
      </c>
      <c r="D1042" t="s">
        <v>165</v>
      </c>
      <c r="E1042" t="s">
        <v>65</v>
      </c>
      <c r="F1042" s="36">
        <v>1480</v>
      </c>
      <c r="G1042" s="16" t="str">
        <f>HYPERLINK("#'Data'!A7302", "Percentage of households reporting enough space/essential items so that the members of the households can sleep broken down by proximity to frontline/...")</f>
        <v>Percentage of households reporting enough space/essential items so that the members of the households can sleep broken down by proximity to frontline/...</v>
      </c>
    </row>
    <row r="1043" spans="3:7" x14ac:dyDescent="0.35">
      <c r="C1043" t="s">
        <v>117</v>
      </c>
      <c r="D1043" t="s">
        <v>165</v>
      </c>
      <c r="E1043" t="s">
        <v>77</v>
      </c>
      <c r="F1043" s="36">
        <v>1481</v>
      </c>
      <c r="G1043" s="16" t="str">
        <f>HYPERLINK("#'Data'!A7309", "Percentage of households reporting enough space/essential items so that the members of the households can sleep broken down by caregiving status  on t...")</f>
        <v>Percentage of households reporting enough space/essential items so that the members of the households can sleep broken down by caregiving status  on t...</v>
      </c>
    </row>
    <row r="1044" spans="3:7" x14ac:dyDescent="0.35">
      <c r="C1044" t="s">
        <v>117</v>
      </c>
      <c r="D1044" t="s">
        <v>166</v>
      </c>
      <c r="E1044" t="s">
        <v>36</v>
      </c>
      <c r="F1044" s="36">
        <v>1482</v>
      </c>
      <c r="G1044" s="16" t="str">
        <f>HYPERLINK("#'Data'!A7317", "Percentage of households reporting enough space/essential items so that the members of the households can store food on the admin of overall perc")</f>
        <v>Percentage of households reporting enough space/essential items so that the members of the households can store food on the admin of overall perc</v>
      </c>
    </row>
    <row r="1045" spans="3:7" x14ac:dyDescent="0.35">
      <c r="C1045" t="s">
        <v>117</v>
      </c>
      <c r="D1045" t="s">
        <v>166</v>
      </c>
      <c r="E1045" t="s">
        <v>57</v>
      </c>
      <c r="F1045" s="36">
        <v>1483</v>
      </c>
      <c r="G1045" s="16" t="str">
        <f>HYPERLINK("#'Data'!A7322", "Percentage of households reporting enough space/essential items so that the members of the households can store food broken down by households with at...")</f>
        <v>Percentage of households reporting enough space/essential items so that the members of the households can store food broken down by households with at...</v>
      </c>
    </row>
    <row r="1046" spans="3:7" x14ac:dyDescent="0.35">
      <c r="C1046" t="s">
        <v>117</v>
      </c>
      <c r="D1046" t="s">
        <v>166</v>
      </c>
      <c r="E1046" t="s">
        <v>58</v>
      </c>
      <c r="F1046" s="36">
        <v>1484</v>
      </c>
      <c r="G1046" s="16" t="str">
        <f>HYPERLINK("#'Data'!A7328", "Percentage of households reporting enough space/essential items so that the members of the households can store food broken down by urbanity on the ad...")</f>
        <v>Percentage of households reporting enough space/essential items so that the members of the households can store food broken down by urbanity on the ad...</v>
      </c>
    </row>
    <row r="1047" spans="3:7" x14ac:dyDescent="0.35">
      <c r="C1047" t="s">
        <v>117</v>
      </c>
      <c r="D1047" t="s">
        <v>166</v>
      </c>
      <c r="E1047" t="s">
        <v>59</v>
      </c>
      <c r="F1047" s="36">
        <v>1485</v>
      </c>
      <c r="G1047" s="16" t="str">
        <f>HYPERLINK("#'Data'!A7334", "Percentage of households reporting enough space/essential items so that the members of the households can store food broken down by household size on ...")</f>
        <v>Percentage of households reporting enough space/essential items so that the members of the households can store food broken down by household size on ...</v>
      </c>
    </row>
    <row r="1048" spans="3:7" x14ac:dyDescent="0.35">
      <c r="C1048" t="s">
        <v>117</v>
      </c>
      <c r="D1048" t="s">
        <v>166</v>
      </c>
      <c r="E1048" t="s">
        <v>60</v>
      </c>
      <c r="F1048" s="36">
        <v>1486</v>
      </c>
      <c r="G1048" s="16" t="str">
        <f>HYPERLINK("#'Data'!A7341", "Percentage of households reporting enough space/essential items so that the members of the households can store food broken down by income per capita ...")</f>
        <v>Percentage of households reporting enough space/essential items so that the members of the households can store food broken down by income per capita ...</v>
      </c>
    </row>
    <row r="1049" spans="3:7" x14ac:dyDescent="0.35">
      <c r="C1049" t="s">
        <v>117</v>
      </c>
      <c r="D1049" t="s">
        <v>166</v>
      </c>
      <c r="E1049" t="s">
        <v>61</v>
      </c>
      <c r="F1049" s="36">
        <v>1487</v>
      </c>
      <c r="G1049" s="16" t="str">
        <f>HYPERLINK("#'Data'!A7349", "Percentage of households reporting enough space/essential items so that the members of the households can store food broken down by gender of head of ...")</f>
        <v>Percentage of households reporting enough space/essential items so that the members of the households can store food broken down by gender of head of ...</v>
      </c>
    </row>
    <row r="1050" spans="3:7" x14ac:dyDescent="0.35">
      <c r="C1050" t="s">
        <v>117</v>
      </c>
      <c r="D1050" t="s">
        <v>166</v>
      </c>
      <c r="E1050" t="s">
        <v>62</v>
      </c>
      <c r="F1050" s="36">
        <v>1488</v>
      </c>
      <c r="G1050" s="16" t="str">
        <f>HYPERLINK("#'Data'!A7357", "Percentage of households reporting enough space/essential items so that the members of the households can store food broken down by age of adults in t...")</f>
        <v>Percentage of households reporting enough space/essential items so that the members of the households can store food broken down by age of adults in t...</v>
      </c>
    </row>
    <row r="1051" spans="3:7" x14ac:dyDescent="0.35">
      <c r="C1051" t="s">
        <v>117</v>
      </c>
      <c r="D1051" t="s">
        <v>166</v>
      </c>
      <c r="E1051" t="s">
        <v>76</v>
      </c>
      <c r="F1051" s="36">
        <v>1489</v>
      </c>
      <c r="G1051" s="16" t="str">
        <f>HYPERLINK("#'Data'!A7364", "Percentage of households reporting enough space/essential items so that the members of the households can store food broken down by households with at...")</f>
        <v>Percentage of households reporting enough space/essential items so that the members of the households can store food broken down by households with at...</v>
      </c>
    </row>
    <row r="1052" spans="3:7" x14ac:dyDescent="0.35">
      <c r="C1052" t="s">
        <v>117</v>
      </c>
      <c r="D1052" t="s">
        <v>166</v>
      </c>
      <c r="E1052" t="s">
        <v>63</v>
      </c>
      <c r="F1052" s="36">
        <v>1490</v>
      </c>
      <c r="G1052" s="16" t="str">
        <f>HYPERLINK("#'Data'!A7370", "Percentage of households reporting enough space/essential items so that the members of the households can store food broken down by displacement statu...")</f>
        <v>Percentage of households reporting enough space/essential items so that the members of the households can store food broken down by displacement statu...</v>
      </c>
    </row>
    <row r="1053" spans="3:7" x14ac:dyDescent="0.35">
      <c r="C1053" t="s">
        <v>117</v>
      </c>
      <c r="D1053" t="s">
        <v>166</v>
      </c>
      <c r="E1053" t="s">
        <v>64</v>
      </c>
      <c r="F1053" s="36">
        <v>1491</v>
      </c>
      <c r="G1053" s="16" t="str">
        <f>HYPERLINK("#'Data'!A7379", "Percentage of households reporting enough space/essential items so that the members of the households can store food broken down by IDP household on t...")</f>
        <v>Percentage of households reporting enough space/essential items so that the members of the households can store food broken down by IDP household on t...</v>
      </c>
    </row>
    <row r="1054" spans="3:7" x14ac:dyDescent="0.35">
      <c r="C1054" t="s">
        <v>117</v>
      </c>
      <c r="D1054" t="s">
        <v>166</v>
      </c>
      <c r="E1054" t="s">
        <v>65</v>
      </c>
      <c r="F1054" s="36">
        <v>1492</v>
      </c>
      <c r="G1054" s="16" t="str">
        <f>HYPERLINK("#'Data'!A7385", "Percentage of households reporting enough space/essential items so that the members of the households can store food broken down by proximity to front...")</f>
        <v>Percentage of households reporting enough space/essential items so that the members of the households can store food broken down by proximity to front...</v>
      </c>
    </row>
    <row r="1055" spans="3:7" x14ac:dyDescent="0.35">
      <c r="C1055" t="s">
        <v>117</v>
      </c>
      <c r="D1055" t="s">
        <v>166</v>
      </c>
      <c r="E1055" t="s">
        <v>77</v>
      </c>
      <c r="F1055" s="36">
        <v>1493</v>
      </c>
      <c r="G1055" s="16" t="str">
        <f>HYPERLINK("#'Data'!A7392", "Percentage of households reporting enough space/essential items so that the members of the households can store food broken down by caregiving status ...")</f>
        <v>Percentage of households reporting enough space/essential items so that the members of the households can store food broken down by caregiving status ...</v>
      </c>
    </row>
    <row r="1056" spans="3:7" x14ac:dyDescent="0.35">
      <c r="C1056" t="s">
        <v>117</v>
      </c>
      <c r="D1056" t="s">
        <v>167</v>
      </c>
      <c r="E1056" t="s">
        <v>36</v>
      </c>
      <c r="F1056" s="36">
        <v>1494</v>
      </c>
      <c r="G1056" s="16" t="str">
        <f>HYPERLINK("#'Data'!A7400", "Households by main heating source in 2024-2025 winter season on the admin of overall perc")</f>
        <v>Households by main heating source in 2024-2025 winter season on the admin of overall perc</v>
      </c>
    </row>
    <row r="1057" spans="3:7" x14ac:dyDescent="0.35">
      <c r="C1057" t="s">
        <v>117</v>
      </c>
      <c r="D1057" t="s">
        <v>167</v>
      </c>
      <c r="E1057" t="s">
        <v>57</v>
      </c>
      <c r="F1057" s="36">
        <v>1495</v>
      </c>
      <c r="G1057" s="16" t="str">
        <f>HYPERLINK("#'Data'!A7405", "Households by main heating source in 2024-2025 winter season broken down by households with at least one member with a reported and/or registered disa...")</f>
        <v>Households by main heating source in 2024-2025 winter season broken down by households with at least one member with a reported and/or registered disa...</v>
      </c>
    </row>
    <row r="1058" spans="3:7" x14ac:dyDescent="0.35">
      <c r="C1058" t="s">
        <v>117</v>
      </c>
      <c r="D1058" t="s">
        <v>167</v>
      </c>
      <c r="E1058" t="s">
        <v>58</v>
      </c>
      <c r="F1058" s="36">
        <v>1496</v>
      </c>
      <c r="G1058" s="16" t="str">
        <f>HYPERLINK("#'Data'!A7411", "Households by main heating source in 2024-2025 winter season broken down by urbanity on the admin of overall perc")</f>
        <v>Households by main heating source in 2024-2025 winter season broken down by urbanity on the admin of overall perc</v>
      </c>
    </row>
    <row r="1059" spans="3:7" x14ac:dyDescent="0.35">
      <c r="C1059" t="s">
        <v>117</v>
      </c>
      <c r="D1059" t="s">
        <v>167</v>
      </c>
      <c r="E1059" t="s">
        <v>59</v>
      </c>
      <c r="F1059" s="36">
        <v>1497</v>
      </c>
      <c r="G1059" s="16" t="str">
        <f>HYPERLINK("#'Data'!A7417", "Households by main heating source in 2024-2025 winter season broken down by household size on the admin of overall perc")</f>
        <v>Households by main heating source in 2024-2025 winter season broken down by household size on the admin of overall perc</v>
      </c>
    </row>
    <row r="1060" spans="3:7" x14ac:dyDescent="0.35">
      <c r="C1060" t="s">
        <v>117</v>
      </c>
      <c r="D1060" t="s">
        <v>167</v>
      </c>
      <c r="E1060" t="s">
        <v>60</v>
      </c>
      <c r="F1060" s="36">
        <v>1498</v>
      </c>
      <c r="G1060" s="16" t="str">
        <f>HYPERLINK("#'Data'!A7424", "Households by main heating source in 2024-2025 winter season broken down by income per capita (quartiles) on the admin of overall perc")</f>
        <v>Households by main heating source in 2024-2025 winter season broken down by income per capita (quartiles) on the admin of overall perc</v>
      </c>
    </row>
    <row r="1061" spans="3:7" x14ac:dyDescent="0.35">
      <c r="C1061" t="s">
        <v>117</v>
      </c>
      <c r="D1061" t="s">
        <v>167</v>
      </c>
      <c r="E1061" t="s">
        <v>61</v>
      </c>
      <c r="F1061" s="36">
        <v>1499</v>
      </c>
      <c r="G1061" s="16" t="str">
        <f>HYPERLINK("#'Data'!A7432", "Households by main heating source in 2024-2025 winter season broken down by gender of head of household on the admin of overall perc")</f>
        <v>Households by main heating source in 2024-2025 winter season broken down by gender of head of household on the admin of overall perc</v>
      </c>
    </row>
    <row r="1062" spans="3:7" x14ac:dyDescent="0.35">
      <c r="C1062" t="s">
        <v>117</v>
      </c>
      <c r="D1062" t="s">
        <v>167</v>
      </c>
      <c r="E1062" t="s">
        <v>62</v>
      </c>
      <c r="F1062" s="36">
        <v>1500</v>
      </c>
      <c r="G1062" s="16" t="str">
        <f>HYPERLINK("#'Data'!A7440", "Households by main heating source in 2024-2025 winter season broken down by age of adults in the households on the admin of overall perc")</f>
        <v>Households by main heating source in 2024-2025 winter season broken down by age of adults in the households on the admin of overall perc</v>
      </c>
    </row>
    <row r="1063" spans="3:7" x14ac:dyDescent="0.35">
      <c r="C1063" t="s">
        <v>117</v>
      </c>
      <c r="D1063" t="s">
        <v>167</v>
      </c>
      <c r="E1063" t="s">
        <v>76</v>
      </c>
      <c r="F1063" s="36">
        <v>1501</v>
      </c>
      <c r="G1063" s="16" t="str">
        <f>HYPERLINK("#'Data'!A7447", "Households by main heating source in 2024-2025 winter season broken down by households with at least one child (&lt;18 y.o.) on the admin of overall perc")</f>
        <v>Households by main heating source in 2024-2025 winter season broken down by households with at least one child (&lt;18 y.o.) on the admin of overall perc</v>
      </c>
    </row>
    <row r="1064" spans="3:7" x14ac:dyDescent="0.35">
      <c r="C1064" t="s">
        <v>117</v>
      </c>
      <c r="D1064" t="s">
        <v>167</v>
      </c>
      <c r="E1064" t="s">
        <v>63</v>
      </c>
      <c r="F1064" s="36">
        <v>1502</v>
      </c>
      <c r="G1064" s="16" t="str">
        <f>HYPERLINK("#'Data'!A7453", "Households by main heating source in 2024-2025 winter season broken down by displacement status of head of household on the admin of overall perc")</f>
        <v>Households by main heating source in 2024-2025 winter season broken down by displacement status of head of household on the admin of overall perc</v>
      </c>
    </row>
    <row r="1065" spans="3:7" x14ac:dyDescent="0.35">
      <c r="C1065" t="s">
        <v>117</v>
      </c>
      <c r="D1065" t="s">
        <v>167</v>
      </c>
      <c r="E1065" t="s">
        <v>64</v>
      </c>
      <c r="F1065" s="36">
        <v>1503</v>
      </c>
      <c r="G1065" s="16" t="str">
        <f>HYPERLINK("#'Data'!A7462", "Households by main heating source in 2024-2025 winter season broken down by IDP household on the admin of overall perc")</f>
        <v>Households by main heating source in 2024-2025 winter season broken down by IDP household on the admin of overall perc</v>
      </c>
    </row>
    <row r="1066" spans="3:7" x14ac:dyDescent="0.35">
      <c r="C1066" t="s">
        <v>117</v>
      </c>
      <c r="D1066" t="s">
        <v>167</v>
      </c>
      <c r="E1066" t="s">
        <v>65</v>
      </c>
      <c r="F1066" s="36">
        <v>1504</v>
      </c>
      <c r="G1066" s="16" t="str">
        <f>HYPERLINK("#'Data'!A7468", "Households by main heating source in 2024-2025 winter season broken down by proximity to frontline/border with Russian Federation on the admin of over...")</f>
        <v>Households by main heating source in 2024-2025 winter season broken down by proximity to frontline/border with Russian Federation on the admin of over...</v>
      </c>
    </row>
    <row r="1067" spans="3:7" x14ac:dyDescent="0.35">
      <c r="C1067" t="s">
        <v>117</v>
      </c>
      <c r="D1067" t="s">
        <v>167</v>
      </c>
      <c r="E1067" t="s">
        <v>77</v>
      </c>
      <c r="F1067" s="36">
        <v>1505</v>
      </c>
      <c r="G1067" s="16" t="str">
        <f>HYPERLINK("#'Data'!A7475", "Households by main heating source in 2024-2025 winter season broken down by caregiving status  on the admin of overall perc")</f>
        <v>Households by main heating source in 2024-2025 winter season broken down by caregiving status  on the admin of overall perc</v>
      </c>
    </row>
    <row r="1068" spans="3:7" x14ac:dyDescent="0.35">
      <c r="C1068" t="s">
        <v>117</v>
      </c>
      <c r="D1068" t="s">
        <v>168</v>
      </c>
      <c r="E1068" t="s">
        <v>36</v>
      </c>
      <c r="F1068" s="36">
        <v>1506</v>
      </c>
      <c r="G1068" s="16" t="str">
        <f>HYPERLINK("#'Data'!A7483", "Households by main source of lighting on the admin of overall perc")</f>
        <v>Households by main source of lighting on the admin of overall perc</v>
      </c>
    </row>
    <row r="1069" spans="3:7" x14ac:dyDescent="0.35">
      <c r="C1069" t="s">
        <v>117</v>
      </c>
      <c r="D1069" t="s">
        <v>168</v>
      </c>
      <c r="E1069" t="s">
        <v>57</v>
      </c>
      <c r="F1069" s="36">
        <v>1507</v>
      </c>
      <c r="G1069" s="16" t="str">
        <f>HYPERLINK("#'Data'!A7488", "Households by main source of lighting broken down by households with at least one member with a reported and/or registered disability on the admin of ...")</f>
        <v>Households by main source of lighting broken down by households with at least one member with a reported and/or registered disability on the admin of ...</v>
      </c>
    </row>
    <row r="1070" spans="3:7" x14ac:dyDescent="0.35">
      <c r="C1070" t="s">
        <v>117</v>
      </c>
      <c r="D1070" t="s">
        <v>168</v>
      </c>
      <c r="E1070" t="s">
        <v>58</v>
      </c>
      <c r="F1070" s="36">
        <v>1508</v>
      </c>
      <c r="G1070" s="16" t="str">
        <f>HYPERLINK("#'Data'!A7494", "Households by main source of lighting broken down by urbanity on the admin of overall perc")</f>
        <v>Households by main source of lighting broken down by urbanity on the admin of overall perc</v>
      </c>
    </row>
    <row r="1071" spans="3:7" x14ac:dyDescent="0.35">
      <c r="C1071" t="s">
        <v>117</v>
      </c>
      <c r="D1071" t="s">
        <v>168</v>
      </c>
      <c r="E1071" t="s">
        <v>59</v>
      </c>
      <c r="F1071" s="36">
        <v>1509</v>
      </c>
      <c r="G1071" s="16" t="str">
        <f>HYPERLINK("#'Data'!A7500", "Households by main source of lighting broken down by household size on the admin of overall perc")</f>
        <v>Households by main source of lighting broken down by household size on the admin of overall perc</v>
      </c>
    </row>
    <row r="1072" spans="3:7" x14ac:dyDescent="0.35">
      <c r="C1072" t="s">
        <v>117</v>
      </c>
      <c r="D1072" t="s">
        <v>168</v>
      </c>
      <c r="E1072" t="s">
        <v>60</v>
      </c>
      <c r="F1072" s="36">
        <v>1510</v>
      </c>
      <c r="G1072" s="16" t="str">
        <f>HYPERLINK("#'Data'!A7507", "Households by main source of lighting broken down by income per capita (quartiles) on the admin of overall perc")</f>
        <v>Households by main source of lighting broken down by income per capita (quartiles) on the admin of overall perc</v>
      </c>
    </row>
    <row r="1073" spans="3:7" x14ac:dyDescent="0.35">
      <c r="C1073" t="s">
        <v>117</v>
      </c>
      <c r="D1073" t="s">
        <v>168</v>
      </c>
      <c r="E1073" t="s">
        <v>61</v>
      </c>
      <c r="F1073" s="36">
        <v>1511</v>
      </c>
      <c r="G1073" s="16" t="str">
        <f>HYPERLINK("#'Data'!A7515", "Households by main source of lighting broken down by gender of head of household on the admin of overall perc")</f>
        <v>Households by main source of lighting broken down by gender of head of household on the admin of overall perc</v>
      </c>
    </row>
    <row r="1074" spans="3:7" x14ac:dyDescent="0.35">
      <c r="C1074" t="s">
        <v>117</v>
      </c>
      <c r="D1074" t="s">
        <v>168</v>
      </c>
      <c r="E1074" t="s">
        <v>62</v>
      </c>
      <c r="F1074" s="36">
        <v>1512</v>
      </c>
      <c r="G1074" s="16" t="str">
        <f>HYPERLINK("#'Data'!A7523", "Households by main source of lighting broken down by age of adults in the households on the admin of overall perc")</f>
        <v>Households by main source of lighting broken down by age of adults in the households on the admin of overall perc</v>
      </c>
    </row>
    <row r="1075" spans="3:7" x14ac:dyDescent="0.35">
      <c r="C1075" t="s">
        <v>117</v>
      </c>
      <c r="D1075" t="s">
        <v>168</v>
      </c>
      <c r="E1075" t="s">
        <v>76</v>
      </c>
      <c r="F1075" s="36">
        <v>1513</v>
      </c>
      <c r="G1075" s="16" t="str">
        <f>HYPERLINK("#'Data'!A7530", "Households by main source of lighting broken down by households with at least one child (&lt;18 y.o.) on the admin of overall perc")</f>
        <v>Households by main source of lighting broken down by households with at least one child (&lt;18 y.o.) on the admin of overall perc</v>
      </c>
    </row>
    <row r="1076" spans="3:7" x14ac:dyDescent="0.35">
      <c r="C1076" t="s">
        <v>117</v>
      </c>
      <c r="D1076" t="s">
        <v>168</v>
      </c>
      <c r="E1076" t="s">
        <v>63</v>
      </c>
      <c r="F1076" s="36">
        <v>1514</v>
      </c>
      <c r="G1076" s="16" t="str">
        <f>HYPERLINK("#'Data'!A7536", "Households by main source of lighting broken down by displacement status of head of household on the admin of overall perc")</f>
        <v>Households by main source of lighting broken down by displacement status of head of household on the admin of overall perc</v>
      </c>
    </row>
    <row r="1077" spans="3:7" x14ac:dyDescent="0.35">
      <c r="C1077" t="s">
        <v>117</v>
      </c>
      <c r="D1077" t="s">
        <v>168</v>
      </c>
      <c r="E1077" t="s">
        <v>64</v>
      </c>
      <c r="F1077" s="36">
        <v>1515</v>
      </c>
      <c r="G1077" s="16" t="str">
        <f>HYPERLINK("#'Data'!A7545", "Households by main source of lighting broken down by IDP household on the admin of overall perc")</f>
        <v>Households by main source of lighting broken down by IDP household on the admin of overall perc</v>
      </c>
    </row>
    <row r="1078" spans="3:7" x14ac:dyDescent="0.35">
      <c r="C1078" t="s">
        <v>117</v>
      </c>
      <c r="D1078" t="s">
        <v>168</v>
      </c>
      <c r="E1078" t="s">
        <v>65</v>
      </c>
      <c r="F1078" s="36">
        <v>1516</v>
      </c>
      <c r="G1078" s="16" t="str">
        <f>HYPERLINK("#'Data'!A7551", "Households by main source of lighting broken down by proximity to frontline/border with Russian Federation on the admin of overall perc")</f>
        <v>Households by main source of lighting broken down by proximity to frontline/border with Russian Federation on the admin of overall perc</v>
      </c>
    </row>
    <row r="1079" spans="3:7" x14ac:dyDescent="0.35">
      <c r="C1079" t="s">
        <v>117</v>
      </c>
      <c r="D1079" t="s">
        <v>168</v>
      </c>
      <c r="E1079" t="s">
        <v>77</v>
      </c>
      <c r="F1079" s="36">
        <v>1517</v>
      </c>
      <c r="G1079" s="16" t="str">
        <f>HYPERLINK("#'Data'!A7558", "Households by main source of lighting broken down by caregiving status  on the admin of overall perc")</f>
        <v>Households by main source of lighting broken down by caregiving status  on the admin of overall perc</v>
      </c>
    </row>
    <row r="1080" spans="3:7" x14ac:dyDescent="0.35">
      <c r="C1080" t="s">
        <v>117</v>
      </c>
      <c r="D1080" t="s">
        <v>169</v>
      </c>
      <c r="E1080" t="s">
        <v>36</v>
      </c>
      <c r="F1080" s="36">
        <v>1518</v>
      </c>
      <c r="G1080" s="16" t="str">
        <f>HYPERLINK("#'Data'!A7566", "Households by issue faced with electricity on the admin of overall perc")</f>
        <v>Households by issue faced with electricity on the admin of overall perc</v>
      </c>
    </row>
    <row r="1081" spans="3:7" x14ac:dyDescent="0.35">
      <c r="C1081" t="s">
        <v>117</v>
      </c>
      <c r="D1081" t="s">
        <v>169</v>
      </c>
      <c r="E1081" t="s">
        <v>57</v>
      </c>
      <c r="F1081" s="36">
        <v>1519</v>
      </c>
      <c r="G1081" s="16" t="str">
        <f>HYPERLINK("#'Data'!A7571", "Households by issue faced with electricity broken down by households with at least one member with a reported and/or registered disability on the admi...")</f>
        <v>Households by issue faced with electricity broken down by households with at least one member with a reported and/or registered disability on the admi...</v>
      </c>
    </row>
    <row r="1082" spans="3:7" x14ac:dyDescent="0.35">
      <c r="C1082" t="s">
        <v>117</v>
      </c>
      <c r="D1082" t="s">
        <v>169</v>
      </c>
      <c r="E1082" t="s">
        <v>58</v>
      </c>
      <c r="F1082" s="36">
        <v>1520</v>
      </c>
      <c r="G1082" s="16" t="str">
        <f>HYPERLINK("#'Data'!A7577", "Households by issue faced with electricity broken down by urbanity on the admin of overall perc")</f>
        <v>Households by issue faced with electricity broken down by urbanity on the admin of overall perc</v>
      </c>
    </row>
    <row r="1083" spans="3:7" x14ac:dyDescent="0.35">
      <c r="C1083" t="s">
        <v>117</v>
      </c>
      <c r="D1083" t="s">
        <v>169</v>
      </c>
      <c r="E1083" t="s">
        <v>59</v>
      </c>
      <c r="F1083" s="36">
        <v>1521</v>
      </c>
      <c r="G1083" s="16" t="str">
        <f>HYPERLINK("#'Data'!A7583", "Households by issue faced with electricity broken down by household size on the admin of overall perc")</f>
        <v>Households by issue faced with electricity broken down by household size on the admin of overall perc</v>
      </c>
    </row>
    <row r="1084" spans="3:7" x14ac:dyDescent="0.35">
      <c r="C1084" t="s">
        <v>117</v>
      </c>
      <c r="D1084" t="s">
        <v>169</v>
      </c>
      <c r="E1084" t="s">
        <v>60</v>
      </c>
      <c r="F1084" s="36">
        <v>1522</v>
      </c>
      <c r="G1084" s="16" t="str">
        <f>HYPERLINK("#'Data'!A7590", "Households by issue faced with electricity broken down by income per capita (quartiles) on the admin of overall perc")</f>
        <v>Households by issue faced with electricity broken down by income per capita (quartiles) on the admin of overall perc</v>
      </c>
    </row>
    <row r="1085" spans="3:7" x14ac:dyDescent="0.35">
      <c r="C1085" t="s">
        <v>117</v>
      </c>
      <c r="D1085" t="s">
        <v>169</v>
      </c>
      <c r="E1085" t="s">
        <v>61</v>
      </c>
      <c r="F1085" s="36">
        <v>1523</v>
      </c>
      <c r="G1085" s="16" t="str">
        <f>HYPERLINK("#'Data'!A7598", "Households by issue faced with electricity broken down by gender of head of household on the admin of overall perc")</f>
        <v>Households by issue faced with electricity broken down by gender of head of household on the admin of overall perc</v>
      </c>
    </row>
    <row r="1086" spans="3:7" x14ac:dyDescent="0.35">
      <c r="C1086" t="s">
        <v>117</v>
      </c>
      <c r="D1086" t="s">
        <v>169</v>
      </c>
      <c r="E1086" t="s">
        <v>62</v>
      </c>
      <c r="F1086" s="36">
        <v>1524</v>
      </c>
      <c r="G1086" s="16" t="str">
        <f>HYPERLINK("#'Data'!A7606", "Households by issue faced with electricity broken down by age of adults in the households on the admin of overall perc")</f>
        <v>Households by issue faced with electricity broken down by age of adults in the households on the admin of overall perc</v>
      </c>
    </row>
    <row r="1087" spans="3:7" x14ac:dyDescent="0.35">
      <c r="C1087" t="s">
        <v>117</v>
      </c>
      <c r="D1087" t="s">
        <v>169</v>
      </c>
      <c r="E1087" t="s">
        <v>76</v>
      </c>
      <c r="F1087" s="36">
        <v>1525</v>
      </c>
      <c r="G1087" s="16" t="str">
        <f>HYPERLINK("#'Data'!A7613", "Households by issue faced with electricity broken down by households with at least one child (&lt;18 y.o.) on the admin of overall perc")</f>
        <v>Households by issue faced with electricity broken down by households with at least one child (&lt;18 y.o.) on the admin of overall perc</v>
      </c>
    </row>
    <row r="1088" spans="3:7" x14ac:dyDescent="0.35">
      <c r="C1088" t="s">
        <v>117</v>
      </c>
      <c r="D1088" t="s">
        <v>169</v>
      </c>
      <c r="E1088" t="s">
        <v>63</v>
      </c>
      <c r="F1088" s="36">
        <v>1526</v>
      </c>
      <c r="G1088" s="16" t="str">
        <f>HYPERLINK("#'Data'!A7619", "Households by issue faced with electricity broken down by displacement status of head of household on the admin of overall perc")</f>
        <v>Households by issue faced with electricity broken down by displacement status of head of household on the admin of overall perc</v>
      </c>
    </row>
    <row r="1089" spans="3:7" x14ac:dyDescent="0.35">
      <c r="C1089" t="s">
        <v>117</v>
      </c>
      <c r="D1089" t="s">
        <v>169</v>
      </c>
      <c r="E1089" t="s">
        <v>64</v>
      </c>
      <c r="F1089" s="36">
        <v>1527</v>
      </c>
      <c r="G1089" s="16" t="str">
        <f>HYPERLINK("#'Data'!A7628", "Households by issue faced with electricity broken down by IDP household on the admin of overall perc")</f>
        <v>Households by issue faced with electricity broken down by IDP household on the admin of overall perc</v>
      </c>
    </row>
    <row r="1090" spans="3:7" x14ac:dyDescent="0.35">
      <c r="C1090" t="s">
        <v>117</v>
      </c>
      <c r="D1090" t="s">
        <v>169</v>
      </c>
      <c r="E1090" t="s">
        <v>65</v>
      </c>
      <c r="F1090" s="36">
        <v>1528</v>
      </c>
      <c r="G1090" s="16" t="str">
        <f>HYPERLINK("#'Data'!A7634", "Households by issue faced with electricity broken down by proximity to frontline/border with Russian Federation on the admin of overall perc")</f>
        <v>Households by issue faced with electricity broken down by proximity to frontline/border with Russian Federation on the admin of overall perc</v>
      </c>
    </row>
    <row r="1091" spans="3:7" x14ac:dyDescent="0.35">
      <c r="C1091" t="s">
        <v>117</v>
      </c>
      <c r="D1091" t="s">
        <v>169</v>
      </c>
      <c r="E1091" t="s">
        <v>77</v>
      </c>
      <c r="F1091" s="36">
        <v>1529</v>
      </c>
      <c r="G1091" s="16" t="str">
        <f>HYPERLINK("#'Data'!A7641", "Households by issue faced with electricity broken down by caregiving status  on the admin of overall perc")</f>
        <v>Households by issue faced with electricity broken down by caregiving status  on the admin of overall perc</v>
      </c>
    </row>
    <row r="1092" spans="3:7" x14ac:dyDescent="0.35">
      <c r="C1092" t="s">
        <v>117</v>
      </c>
      <c r="D1092" t="s">
        <v>170</v>
      </c>
      <c r="E1092" t="s">
        <v>36</v>
      </c>
      <c r="F1092" s="36">
        <v>1530</v>
      </c>
      <c r="G1092" s="16" t="str">
        <f>HYPERLINK("#'Data'!A7649", "Households experiencing utility interruptions in the past three months, by utility type on the admin of overall perc")</f>
        <v>Households experiencing utility interruptions in the past three months, by utility type on the admin of overall perc</v>
      </c>
    </row>
    <row r="1093" spans="3:7" x14ac:dyDescent="0.35">
      <c r="C1093" t="s">
        <v>117</v>
      </c>
      <c r="D1093" t="s">
        <v>170</v>
      </c>
      <c r="E1093" t="s">
        <v>57</v>
      </c>
      <c r="F1093" s="36">
        <v>1531</v>
      </c>
      <c r="G1093" s="16" t="str">
        <f>HYPERLINK("#'Data'!A7654", "Households experiencing utility interruptions in the past three months, by utility type broken down by households with at least one member with a repo...")</f>
        <v>Households experiencing utility interruptions in the past three months, by utility type broken down by households with at least one member with a repo...</v>
      </c>
    </row>
    <row r="1094" spans="3:7" x14ac:dyDescent="0.35">
      <c r="C1094" t="s">
        <v>117</v>
      </c>
      <c r="D1094" t="s">
        <v>170</v>
      </c>
      <c r="E1094" t="s">
        <v>58</v>
      </c>
      <c r="F1094" s="36">
        <v>1532</v>
      </c>
      <c r="G1094" s="16" t="str">
        <f>HYPERLINK("#'Data'!A7660", "Households experiencing utility interruptions in the past three months, by utility type broken down by urbanity on the admin of overall perc")</f>
        <v>Households experiencing utility interruptions in the past three months, by utility type broken down by urbanity on the admin of overall perc</v>
      </c>
    </row>
    <row r="1095" spans="3:7" x14ac:dyDescent="0.35">
      <c r="C1095" t="s">
        <v>117</v>
      </c>
      <c r="D1095" t="s">
        <v>170</v>
      </c>
      <c r="E1095" t="s">
        <v>59</v>
      </c>
      <c r="F1095" s="36">
        <v>1533</v>
      </c>
      <c r="G1095" s="16" t="str">
        <f>HYPERLINK("#'Data'!A7666", "Households experiencing utility interruptions in the past three months, by utility type broken down by household size on the admin of overall perc")</f>
        <v>Households experiencing utility interruptions in the past three months, by utility type broken down by household size on the admin of overall perc</v>
      </c>
    </row>
    <row r="1096" spans="3:7" x14ac:dyDescent="0.35">
      <c r="C1096" t="s">
        <v>117</v>
      </c>
      <c r="D1096" t="s">
        <v>170</v>
      </c>
      <c r="E1096" t="s">
        <v>60</v>
      </c>
      <c r="F1096" s="36">
        <v>1534</v>
      </c>
      <c r="G1096" s="16" t="str">
        <f>HYPERLINK("#'Data'!A7673", "Households experiencing utility interruptions in the past three months, by utility type broken down by income per capita (quartiles) on the admin of o...")</f>
        <v>Households experiencing utility interruptions in the past three months, by utility type broken down by income per capita (quartiles) on the admin of o...</v>
      </c>
    </row>
    <row r="1097" spans="3:7" x14ac:dyDescent="0.35">
      <c r="C1097" t="s">
        <v>117</v>
      </c>
      <c r="D1097" t="s">
        <v>170</v>
      </c>
      <c r="E1097" t="s">
        <v>61</v>
      </c>
      <c r="F1097" s="36">
        <v>1535</v>
      </c>
      <c r="G1097" s="16" t="str">
        <f>HYPERLINK("#'Data'!A7681", "Households experiencing utility interruptions in the past three months, by utility type broken down by gender of head of household on the admin of ove...")</f>
        <v>Households experiencing utility interruptions in the past three months, by utility type broken down by gender of head of household on the admin of ove...</v>
      </c>
    </row>
    <row r="1098" spans="3:7" x14ac:dyDescent="0.35">
      <c r="C1098" t="s">
        <v>117</v>
      </c>
      <c r="D1098" t="s">
        <v>170</v>
      </c>
      <c r="E1098" t="s">
        <v>62</v>
      </c>
      <c r="F1098" s="36">
        <v>1536</v>
      </c>
      <c r="G1098" s="16" t="str">
        <f>HYPERLINK("#'Data'!A7689", "Households experiencing utility interruptions in the past three months, by utility type broken down by age of adults in the households on the admin of...")</f>
        <v>Households experiencing utility interruptions in the past three months, by utility type broken down by age of adults in the households on the admin of...</v>
      </c>
    </row>
    <row r="1099" spans="3:7" x14ac:dyDescent="0.35">
      <c r="C1099" t="s">
        <v>117</v>
      </c>
      <c r="D1099" t="s">
        <v>170</v>
      </c>
      <c r="E1099" t="s">
        <v>76</v>
      </c>
      <c r="F1099" s="36">
        <v>1537</v>
      </c>
      <c r="G1099" s="16" t="str">
        <f>HYPERLINK("#'Data'!A7696", "Households experiencing utility interruptions in the past three months, by utility type broken down by households with at least one child (&lt;18 y.o.) o...")</f>
        <v>Households experiencing utility interruptions in the past three months, by utility type broken down by households with at least one child (&lt;18 y.o.) o...</v>
      </c>
    </row>
    <row r="1100" spans="3:7" x14ac:dyDescent="0.35">
      <c r="C1100" t="s">
        <v>117</v>
      </c>
      <c r="D1100" t="s">
        <v>170</v>
      </c>
      <c r="E1100" t="s">
        <v>63</v>
      </c>
      <c r="F1100" s="36">
        <v>1538</v>
      </c>
      <c r="G1100" s="16" t="str">
        <f>HYPERLINK("#'Data'!A7702", "Households experiencing utility interruptions in the past three months, by utility type broken down by displacement status of head of household on the...")</f>
        <v>Households experiencing utility interruptions in the past three months, by utility type broken down by displacement status of head of household on the...</v>
      </c>
    </row>
    <row r="1101" spans="3:7" x14ac:dyDescent="0.35">
      <c r="C1101" t="s">
        <v>117</v>
      </c>
      <c r="D1101" t="s">
        <v>170</v>
      </c>
      <c r="E1101" t="s">
        <v>64</v>
      </c>
      <c r="F1101" s="36">
        <v>1539</v>
      </c>
      <c r="G1101" s="16" t="str">
        <f>HYPERLINK("#'Data'!A7711", "Households experiencing utility interruptions in the past three months, by utility type broken down by IDP household on the admin of overall perc")</f>
        <v>Households experiencing utility interruptions in the past three months, by utility type broken down by IDP household on the admin of overall perc</v>
      </c>
    </row>
    <row r="1102" spans="3:7" x14ac:dyDescent="0.35">
      <c r="C1102" t="s">
        <v>117</v>
      </c>
      <c r="D1102" t="s">
        <v>170</v>
      </c>
      <c r="E1102" t="s">
        <v>65</v>
      </c>
      <c r="F1102" s="36">
        <v>1540</v>
      </c>
      <c r="G1102" s="16" t="str">
        <f>HYPERLINK("#'Data'!A7717", "Households experiencing utility interruptions in the past three months, by utility type broken down by proximity to frontline/border with Russian Fede...")</f>
        <v>Households experiencing utility interruptions in the past three months, by utility type broken down by proximity to frontline/border with Russian Fede...</v>
      </c>
    </row>
    <row r="1103" spans="3:7" x14ac:dyDescent="0.35">
      <c r="C1103" t="s">
        <v>117</v>
      </c>
      <c r="D1103" t="s">
        <v>170</v>
      </c>
      <c r="E1103" t="s">
        <v>77</v>
      </c>
      <c r="F1103" s="36">
        <v>1541</v>
      </c>
      <c r="G1103" s="16" t="str">
        <f>HYPERLINK("#'Data'!A7724", "Households experiencing utility interruptions in the past three months, by utility type broken down by caregiving status  on the admin of overall perc")</f>
        <v>Households experiencing utility interruptions in the past three months, by utility type broken down by caregiving status  on the admin of overall perc</v>
      </c>
    </row>
    <row r="1104" spans="3:7" x14ac:dyDescent="0.35">
      <c r="C1104" t="s">
        <v>117</v>
      </c>
      <c r="D1104" t="s">
        <v>171</v>
      </c>
      <c r="E1104" t="s">
        <v>36</v>
      </c>
      <c r="F1104" s="36">
        <v>1542</v>
      </c>
      <c r="G1104" s="16" t="str">
        <f>HYPERLINK("#'Data'!A7732", "Households by access to alternative source of power on the admin of overall perc")</f>
        <v>Households by access to alternative source of power on the admin of overall perc</v>
      </c>
    </row>
    <row r="1105" spans="3:7" x14ac:dyDescent="0.35">
      <c r="C1105" t="s">
        <v>117</v>
      </c>
      <c r="D1105" t="s">
        <v>171</v>
      </c>
      <c r="E1105" t="s">
        <v>57</v>
      </c>
      <c r="F1105" s="36">
        <v>1543</v>
      </c>
      <c r="G1105" s="16" t="str">
        <f>HYPERLINK("#'Data'!A7737", "Households by access to alternative source of power broken down by households with at least one member with a reported and/or registered disability on...")</f>
        <v>Households by access to alternative source of power broken down by households with at least one member with a reported and/or registered disability on...</v>
      </c>
    </row>
    <row r="1106" spans="3:7" x14ac:dyDescent="0.35">
      <c r="C1106" t="s">
        <v>117</v>
      </c>
      <c r="D1106" t="s">
        <v>171</v>
      </c>
      <c r="E1106" t="s">
        <v>58</v>
      </c>
      <c r="F1106" s="36">
        <v>1544</v>
      </c>
      <c r="G1106" s="16" t="str">
        <f>HYPERLINK("#'Data'!A7743", "Households by access to alternative source of power broken down by urbanity on the admin of overall perc")</f>
        <v>Households by access to alternative source of power broken down by urbanity on the admin of overall perc</v>
      </c>
    </row>
    <row r="1107" spans="3:7" x14ac:dyDescent="0.35">
      <c r="C1107" t="s">
        <v>117</v>
      </c>
      <c r="D1107" t="s">
        <v>171</v>
      </c>
      <c r="E1107" t="s">
        <v>59</v>
      </c>
      <c r="F1107" s="36">
        <v>1545</v>
      </c>
      <c r="G1107" s="16" t="str">
        <f>HYPERLINK("#'Data'!A7749", "Households by access to alternative source of power broken down by household size on the admin of overall perc")</f>
        <v>Households by access to alternative source of power broken down by household size on the admin of overall perc</v>
      </c>
    </row>
    <row r="1108" spans="3:7" x14ac:dyDescent="0.35">
      <c r="C1108" t="s">
        <v>117</v>
      </c>
      <c r="D1108" t="s">
        <v>171</v>
      </c>
      <c r="E1108" t="s">
        <v>60</v>
      </c>
      <c r="F1108" s="36">
        <v>1546</v>
      </c>
      <c r="G1108" s="16" t="str">
        <f>HYPERLINK("#'Data'!A7756", "Households by access to alternative source of power broken down by income per capita (quartiles) on the admin of overall perc")</f>
        <v>Households by access to alternative source of power broken down by income per capita (quartiles) on the admin of overall perc</v>
      </c>
    </row>
    <row r="1109" spans="3:7" x14ac:dyDescent="0.35">
      <c r="C1109" t="s">
        <v>117</v>
      </c>
      <c r="D1109" t="s">
        <v>171</v>
      </c>
      <c r="E1109" t="s">
        <v>61</v>
      </c>
      <c r="F1109" s="36">
        <v>1547</v>
      </c>
      <c r="G1109" s="16" t="str">
        <f>HYPERLINK("#'Data'!A7764", "Households by access to alternative source of power broken down by gender of head of household on the admin of overall perc")</f>
        <v>Households by access to alternative source of power broken down by gender of head of household on the admin of overall perc</v>
      </c>
    </row>
    <row r="1110" spans="3:7" x14ac:dyDescent="0.35">
      <c r="C1110" t="s">
        <v>117</v>
      </c>
      <c r="D1110" t="s">
        <v>171</v>
      </c>
      <c r="E1110" t="s">
        <v>62</v>
      </c>
      <c r="F1110" s="36">
        <v>1548</v>
      </c>
      <c r="G1110" s="16" t="str">
        <f>HYPERLINK("#'Data'!A7772", "Households by access to alternative source of power broken down by age of adults in the households on the admin of overall perc")</f>
        <v>Households by access to alternative source of power broken down by age of adults in the households on the admin of overall perc</v>
      </c>
    </row>
    <row r="1111" spans="3:7" x14ac:dyDescent="0.35">
      <c r="C1111" t="s">
        <v>117</v>
      </c>
      <c r="D1111" t="s">
        <v>171</v>
      </c>
      <c r="E1111" t="s">
        <v>76</v>
      </c>
      <c r="F1111" s="36">
        <v>1549</v>
      </c>
      <c r="G1111" s="16" t="str">
        <f>HYPERLINK("#'Data'!A7779", "Households by access to alternative source of power broken down by households with at least one child (&lt;18 y.o.) on the admin of overall perc")</f>
        <v>Households by access to alternative source of power broken down by households with at least one child (&lt;18 y.o.) on the admin of overall perc</v>
      </c>
    </row>
    <row r="1112" spans="3:7" x14ac:dyDescent="0.35">
      <c r="C1112" t="s">
        <v>117</v>
      </c>
      <c r="D1112" t="s">
        <v>171</v>
      </c>
      <c r="E1112" t="s">
        <v>63</v>
      </c>
      <c r="F1112" s="36">
        <v>1550</v>
      </c>
      <c r="G1112" s="16" t="str">
        <f>HYPERLINK("#'Data'!A7785", "Households by access to alternative source of power broken down by displacement status of head of household on the admin of overall perc")</f>
        <v>Households by access to alternative source of power broken down by displacement status of head of household on the admin of overall perc</v>
      </c>
    </row>
    <row r="1113" spans="3:7" x14ac:dyDescent="0.35">
      <c r="C1113" t="s">
        <v>117</v>
      </c>
      <c r="D1113" t="s">
        <v>171</v>
      </c>
      <c r="E1113" t="s">
        <v>64</v>
      </c>
      <c r="F1113" s="36">
        <v>1551</v>
      </c>
      <c r="G1113" s="16" t="str">
        <f>HYPERLINK("#'Data'!A7794", "Households by access to alternative source of power broken down by IDP household on the admin of overall perc")</f>
        <v>Households by access to alternative source of power broken down by IDP household on the admin of overall perc</v>
      </c>
    </row>
    <row r="1114" spans="3:7" x14ac:dyDescent="0.35">
      <c r="C1114" t="s">
        <v>117</v>
      </c>
      <c r="D1114" t="s">
        <v>171</v>
      </c>
      <c r="E1114" t="s">
        <v>65</v>
      </c>
      <c r="F1114" s="36">
        <v>1552</v>
      </c>
      <c r="G1114" s="16" t="str">
        <f>HYPERLINK("#'Data'!A7800", "Households by access to alternative source of power broken down by proximity to frontline/border with Russian Federation on the admin of overall perc")</f>
        <v>Households by access to alternative source of power broken down by proximity to frontline/border with Russian Federation on the admin of overall perc</v>
      </c>
    </row>
    <row r="1115" spans="3:7" x14ac:dyDescent="0.35">
      <c r="C1115" t="s">
        <v>117</v>
      </c>
      <c r="D1115" t="s">
        <v>171</v>
      </c>
      <c r="E1115" t="s">
        <v>77</v>
      </c>
      <c r="F1115" s="36">
        <v>1553</v>
      </c>
      <c r="G1115" s="16" t="str">
        <f>HYPERLINK("#'Data'!A7807", "Households by access to alternative source of power broken down by caregiving status  on the admin of overall perc")</f>
        <v>Households by access to alternative source of power broken down by caregiving status  on the admin of overall perc</v>
      </c>
    </row>
    <row r="1116" spans="3:7" x14ac:dyDescent="0.35">
      <c r="C1116" t="s">
        <v>117</v>
      </c>
      <c r="D1116" t="s">
        <v>172</v>
      </c>
      <c r="E1116" t="s">
        <v>36</v>
      </c>
      <c r="F1116" s="36">
        <v>1554</v>
      </c>
      <c r="G1116" s="16" t="str">
        <f>HYPERLINK("#'Data'!A7815", "Households with access to the internet in the past 4 weeks, by frequency on the admin of overall perc")</f>
        <v>Households with access to the internet in the past 4 weeks, by frequency on the admin of overall perc</v>
      </c>
    </row>
    <row r="1117" spans="3:7" x14ac:dyDescent="0.35">
      <c r="C1117" t="s">
        <v>117</v>
      </c>
      <c r="D1117" t="s">
        <v>172</v>
      </c>
      <c r="E1117" t="s">
        <v>57</v>
      </c>
      <c r="F1117" s="36">
        <v>1555</v>
      </c>
      <c r="G1117" s="16" t="str">
        <f>HYPERLINK("#'Data'!A7820", "Households with access to the internet in the past 4 weeks, by frequency broken down by households with at least one member with a reported and/or reg...")</f>
        <v>Households with access to the internet in the past 4 weeks, by frequency broken down by households with at least one member with a reported and/or reg...</v>
      </c>
    </row>
    <row r="1118" spans="3:7" x14ac:dyDescent="0.35">
      <c r="C1118" t="s">
        <v>117</v>
      </c>
      <c r="D1118" t="s">
        <v>172</v>
      </c>
      <c r="E1118" t="s">
        <v>58</v>
      </c>
      <c r="F1118" s="36">
        <v>1556</v>
      </c>
      <c r="G1118" s="16" t="str">
        <f>HYPERLINK("#'Data'!A7826", "Households with access to the internet in the past 4 weeks, by frequency broken down by urbanity on the admin of overall perc")</f>
        <v>Households with access to the internet in the past 4 weeks, by frequency broken down by urbanity on the admin of overall perc</v>
      </c>
    </row>
    <row r="1119" spans="3:7" x14ac:dyDescent="0.35">
      <c r="C1119" t="s">
        <v>117</v>
      </c>
      <c r="D1119" t="s">
        <v>172</v>
      </c>
      <c r="E1119" t="s">
        <v>59</v>
      </c>
      <c r="F1119" s="36">
        <v>1557</v>
      </c>
      <c r="G1119" s="16" t="str">
        <f>HYPERLINK("#'Data'!A7832", "Households with access to the internet in the past 4 weeks, by frequency broken down by household size on the admin of overall perc")</f>
        <v>Households with access to the internet in the past 4 weeks, by frequency broken down by household size on the admin of overall perc</v>
      </c>
    </row>
    <row r="1120" spans="3:7" x14ac:dyDescent="0.35">
      <c r="C1120" t="s">
        <v>117</v>
      </c>
      <c r="D1120" t="s">
        <v>172</v>
      </c>
      <c r="E1120" t="s">
        <v>60</v>
      </c>
      <c r="F1120" s="36">
        <v>1558</v>
      </c>
      <c r="G1120" s="16" t="str">
        <f>HYPERLINK("#'Data'!A7839", "Households with access to the internet in the past 4 weeks, by frequency broken down by income per capita (quartiles) on the admin of overall perc")</f>
        <v>Households with access to the internet in the past 4 weeks, by frequency broken down by income per capita (quartiles) on the admin of overall perc</v>
      </c>
    </row>
    <row r="1121" spans="3:7" x14ac:dyDescent="0.35">
      <c r="C1121" t="s">
        <v>117</v>
      </c>
      <c r="D1121" t="s">
        <v>172</v>
      </c>
      <c r="E1121" t="s">
        <v>61</v>
      </c>
      <c r="F1121" s="36">
        <v>1559</v>
      </c>
      <c r="G1121" s="16" t="str">
        <f>HYPERLINK("#'Data'!A7847", "Households with access to the internet in the past 4 weeks, by frequency broken down by gender of head of household on the admin of overall perc")</f>
        <v>Households with access to the internet in the past 4 weeks, by frequency broken down by gender of head of household on the admin of overall perc</v>
      </c>
    </row>
    <row r="1122" spans="3:7" x14ac:dyDescent="0.35">
      <c r="C1122" t="s">
        <v>117</v>
      </c>
      <c r="D1122" t="s">
        <v>172</v>
      </c>
      <c r="E1122" t="s">
        <v>62</v>
      </c>
      <c r="F1122" s="36">
        <v>1560</v>
      </c>
      <c r="G1122" s="16" t="str">
        <f>HYPERLINK("#'Data'!A7855", "Households with access to the internet in the past 4 weeks, by frequency broken down by age of adults in the households on the admin of overall perc")</f>
        <v>Households with access to the internet in the past 4 weeks, by frequency broken down by age of adults in the households on the admin of overall perc</v>
      </c>
    </row>
    <row r="1123" spans="3:7" x14ac:dyDescent="0.35">
      <c r="C1123" t="s">
        <v>117</v>
      </c>
      <c r="D1123" t="s">
        <v>172</v>
      </c>
      <c r="E1123" t="s">
        <v>76</v>
      </c>
      <c r="F1123" s="36">
        <v>1561</v>
      </c>
      <c r="G1123" s="16" t="str">
        <f>HYPERLINK("#'Data'!A7862", "Households with access to the internet in the past 4 weeks, by frequency broken down by households with at least one child (&lt;18 y.o.) on the admin of ...")</f>
        <v>Households with access to the internet in the past 4 weeks, by frequency broken down by households with at least one child (&lt;18 y.o.) on the admin of ...</v>
      </c>
    </row>
    <row r="1124" spans="3:7" x14ac:dyDescent="0.35">
      <c r="C1124" t="s">
        <v>117</v>
      </c>
      <c r="D1124" t="s">
        <v>172</v>
      </c>
      <c r="E1124" t="s">
        <v>63</v>
      </c>
      <c r="F1124" s="36">
        <v>1562</v>
      </c>
      <c r="G1124" s="16" t="str">
        <f>HYPERLINK("#'Data'!A7868", "Households with access to the internet in the past 4 weeks, by frequency broken down by displacement status of head of household on the admin of overa...")</f>
        <v>Households with access to the internet in the past 4 weeks, by frequency broken down by displacement status of head of household on the admin of overa...</v>
      </c>
    </row>
    <row r="1125" spans="3:7" x14ac:dyDescent="0.35">
      <c r="C1125" t="s">
        <v>117</v>
      </c>
      <c r="D1125" t="s">
        <v>172</v>
      </c>
      <c r="E1125" t="s">
        <v>64</v>
      </c>
      <c r="F1125" s="36">
        <v>1563</v>
      </c>
      <c r="G1125" s="16" t="str">
        <f>HYPERLINK("#'Data'!A7877", "Households with access to the internet in the past 4 weeks, by frequency broken down by IDP household on the admin of overall perc")</f>
        <v>Households with access to the internet in the past 4 weeks, by frequency broken down by IDP household on the admin of overall perc</v>
      </c>
    </row>
    <row r="1126" spans="3:7" x14ac:dyDescent="0.35">
      <c r="C1126" t="s">
        <v>117</v>
      </c>
      <c r="D1126" t="s">
        <v>172</v>
      </c>
      <c r="E1126" t="s">
        <v>65</v>
      </c>
      <c r="F1126" s="36">
        <v>1564</v>
      </c>
      <c r="G1126" s="16" t="str">
        <f>HYPERLINK("#'Data'!A7883", "Households with access to the internet in the past 4 weeks, by frequency broken down by proximity to frontline/border with Russian Federation on the a...")</f>
        <v>Households with access to the internet in the past 4 weeks, by frequency broken down by proximity to frontline/border with Russian Federation on the a...</v>
      </c>
    </row>
    <row r="1127" spans="3:7" x14ac:dyDescent="0.35">
      <c r="C1127" t="s">
        <v>117</v>
      </c>
      <c r="D1127" t="s">
        <v>172</v>
      </c>
      <c r="E1127" t="s">
        <v>77</v>
      </c>
      <c r="F1127" s="36">
        <v>1565</v>
      </c>
      <c r="G1127" s="16" t="str">
        <f>HYPERLINK("#'Data'!A7890", "Households with access to the internet in the past 4 weeks, by frequency broken down by caregiving status  on the admin of overall perc")</f>
        <v>Households with access to the internet in the past 4 weeks, by frequency broken down by caregiving status  on the admin of overall perc</v>
      </c>
    </row>
    <row r="1128" spans="3:7" x14ac:dyDescent="0.35">
      <c r="C1128" t="s">
        <v>173</v>
      </c>
      <c r="D1128" t="s">
        <v>174</v>
      </c>
      <c r="E1128" t="s">
        <v>36</v>
      </c>
      <c r="F1128" s="36">
        <v>1566</v>
      </c>
      <c r="G1128" s="16" t="str">
        <f>HYPERLINK("#'Data'!A7898", "Households by main source of drinking water, by source on the admin of overall perc")</f>
        <v>Households by main source of drinking water, by source on the admin of overall perc</v>
      </c>
    </row>
    <row r="1129" spans="3:7" x14ac:dyDescent="0.35">
      <c r="C1129" t="s">
        <v>173</v>
      </c>
      <c r="D1129" t="s">
        <v>174</v>
      </c>
      <c r="E1129" t="s">
        <v>57</v>
      </c>
      <c r="F1129" s="36">
        <v>1567</v>
      </c>
      <c r="G1129" s="16" t="str">
        <f>HYPERLINK("#'Data'!A7903", "Households by main source of drinking water, by source broken down by households with at least one member with a reported and/or registered disability...")</f>
        <v>Households by main source of drinking water, by source broken down by households with at least one member with a reported and/or registered disability...</v>
      </c>
    </row>
    <row r="1130" spans="3:7" x14ac:dyDescent="0.35">
      <c r="C1130" t="s">
        <v>173</v>
      </c>
      <c r="D1130" t="s">
        <v>174</v>
      </c>
      <c r="E1130" t="s">
        <v>58</v>
      </c>
      <c r="F1130" s="36">
        <v>1568</v>
      </c>
      <c r="G1130" s="16" t="str">
        <f>HYPERLINK("#'Data'!A7909", "Households by main source of drinking water, by source broken down by urbanity on the admin of overall perc")</f>
        <v>Households by main source of drinking water, by source broken down by urbanity on the admin of overall perc</v>
      </c>
    </row>
    <row r="1131" spans="3:7" x14ac:dyDescent="0.35">
      <c r="C1131" t="s">
        <v>173</v>
      </c>
      <c r="D1131" t="s">
        <v>174</v>
      </c>
      <c r="E1131" t="s">
        <v>59</v>
      </c>
      <c r="F1131" s="36">
        <v>1569</v>
      </c>
      <c r="G1131" s="16" t="str">
        <f>HYPERLINK("#'Data'!A7915", "Households by main source of drinking water, by source broken down by household size on the admin of overall perc")</f>
        <v>Households by main source of drinking water, by source broken down by household size on the admin of overall perc</v>
      </c>
    </row>
    <row r="1132" spans="3:7" x14ac:dyDescent="0.35">
      <c r="C1132" t="s">
        <v>173</v>
      </c>
      <c r="D1132" t="s">
        <v>174</v>
      </c>
      <c r="E1132" t="s">
        <v>60</v>
      </c>
      <c r="F1132" s="36">
        <v>1570</v>
      </c>
      <c r="G1132" s="16" t="str">
        <f>HYPERLINK("#'Data'!A7922", "Households by main source of drinking water, by source broken down by income per capita (quartiles) on the admin of overall perc")</f>
        <v>Households by main source of drinking water, by source broken down by income per capita (quartiles) on the admin of overall perc</v>
      </c>
    </row>
    <row r="1133" spans="3:7" x14ac:dyDescent="0.35">
      <c r="C1133" t="s">
        <v>173</v>
      </c>
      <c r="D1133" t="s">
        <v>174</v>
      </c>
      <c r="E1133" t="s">
        <v>61</v>
      </c>
      <c r="F1133" s="36">
        <v>1571</v>
      </c>
      <c r="G1133" s="16" t="str">
        <f>HYPERLINK("#'Data'!A7930", "Households by main source of drinking water, by source broken down by gender of head of household on the admin of overall perc")</f>
        <v>Households by main source of drinking water, by source broken down by gender of head of household on the admin of overall perc</v>
      </c>
    </row>
    <row r="1134" spans="3:7" x14ac:dyDescent="0.35">
      <c r="C1134" t="s">
        <v>173</v>
      </c>
      <c r="D1134" t="s">
        <v>174</v>
      </c>
      <c r="E1134" t="s">
        <v>62</v>
      </c>
      <c r="F1134" s="36">
        <v>1572</v>
      </c>
      <c r="G1134" s="16" t="str">
        <f>HYPERLINK("#'Data'!A7938", "Households by main source of drinking water, by source broken down by age of adults in the households on the admin of overall perc")</f>
        <v>Households by main source of drinking water, by source broken down by age of adults in the households on the admin of overall perc</v>
      </c>
    </row>
    <row r="1135" spans="3:7" x14ac:dyDescent="0.35">
      <c r="C1135" t="s">
        <v>173</v>
      </c>
      <c r="D1135" t="s">
        <v>174</v>
      </c>
      <c r="E1135" t="s">
        <v>76</v>
      </c>
      <c r="F1135" s="36">
        <v>1573</v>
      </c>
      <c r="G1135" s="16" t="str">
        <f>HYPERLINK("#'Data'!A7945", "Households by main source of drinking water, by source broken down by households with at least one child (&lt;18 y.o.) on the admin of overall perc")</f>
        <v>Households by main source of drinking water, by source broken down by households with at least one child (&lt;18 y.o.) on the admin of overall perc</v>
      </c>
    </row>
    <row r="1136" spans="3:7" x14ac:dyDescent="0.35">
      <c r="C1136" t="s">
        <v>173</v>
      </c>
      <c r="D1136" t="s">
        <v>174</v>
      </c>
      <c r="E1136" t="s">
        <v>63</v>
      </c>
      <c r="F1136" s="36">
        <v>1574</v>
      </c>
      <c r="G1136" s="16" t="str">
        <f>HYPERLINK("#'Data'!A7951", "Households by main source of drinking water, by source broken down by displacement status of head of household on the admin of overall perc")</f>
        <v>Households by main source of drinking water, by source broken down by displacement status of head of household on the admin of overall perc</v>
      </c>
    </row>
    <row r="1137" spans="3:7" x14ac:dyDescent="0.35">
      <c r="C1137" t="s">
        <v>173</v>
      </c>
      <c r="D1137" t="s">
        <v>174</v>
      </c>
      <c r="E1137" t="s">
        <v>64</v>
      </c>
      <c r="F1137" s="36">
        <v>1575</v>
      </c>
      <c r="G1137" s="16" t="str">
        <f>HYPERLINK("#'Data'!A7960", "Households by main source of drinking water, by source broken down by IDP household on the admin of overall perc")</f>
        <v>Households by main source of drinking water, by source broken down by IDP household on the admin of overall perc</v>
      </c>
    </row>
    <row r="1138" spans="3:7" x14ac:dyDescent="0.35">
      <c r="C1138" t="s">
        <v>173</v>
      </c>
      <c r="D1138" t="s">
        <v>174</v>
      </c>
      <c r="E1138" t="s">
        <v>65</v>
      </c>
      <c r="F1138" s="36">
        <v>1576</v>
      </c>
      <c r="G1138" s="16" t="str">
        <f>HYPERLINK("#'Data'!A7966", "Households by main source of drinking water, by source broken down by proximity to frontline/border with Russian Federation on the admin of overall pe...")</f>
        <v>Households by main source of drinking water, by source broken down by proximity to frontline/border with Russian Federation on the admin of overall pe...</v>
      </c>
    </row>
    <row r="1139" spans="3:7" x14ac:dyDescent="0.35">
      <c r="C1139" t="s">
        <v>173</v>
      </c>
      <c r="D1139" t="s">
        <v>174</v>
      </c>
      <c r="E1139" t="s">
        <v>77</v>
      </c>
      <c r="F1139" s="36">
        <v>1577</v>
      </c>
      <c r="G1139" s="16" t="str">
        <f>HYPERLINK("#'Data'!A7973", "Households by main source of drinking water, by source broken down by caregiving status  on the admin of overall perc")</f>
        <v>Households by main source of drinking water, by source broken down by caregiving status  on the admin of overall perc</v>
      </c>
    </row>
    <row r="1140" spans="3:7" x14ac:dyDescent="0.35">
      <c r="C1140" t="s">
        <v>173</v>
      </c>
      <c r="D1140" t="s">
        <v>175</v>
      </c>
      <c r="E1140" t="s">
        <v>36</v>
      </c>
      <c r="F1140" s="36">
        <v>1578</v>
      </c>
      <c r="G1140" s="16" t="str">
        <f>HYPERLINK("#'Data'!A7981", "Households where main source of drinking water is off premises, by  time taken to fetch water from main source of drinking water in minutes on the adm...")</f>
        <v>Households where main source of drinking water is off premises, by  time taken to fetch water from main source of drinking water in minutes on the adm...</v>
      </c>
    </row>
    <row r="1141" spans="3:7" x14ac:dyDescent="0.35">
      <c r="C1141" t="s">
        <v>173</v>
      </c>
      <c r="D1141" t="s">
        <v>175</v>
      </c>
      <c r="E1141" t="s">
        <v>57</v>
      </c>
      <c r="F1141" s="36">
        <v>1579</v>
      </c>
      <c r="G1141" s="16" t="str">
        <f>HYPERLINK("#'Data'!A7986", "Households where main source of drinking water is off premises, by  time taken to fetch water from main source of drinking water in minutes broken dow...")</f>
        <v>Households where main source of drinking water is off premises, by  time taken to fetch water from main source of drinking water in minutes broken dow...</v>
      </c>
    </row>
    <row r="1142" spans="3:7" x14ac:dyDescent="0.35">
      <c r="C1142" t="s">
        <v>173</v>
      </c>
      <c r="D1142" t="s">
        <v>175</v>
      </c>
      <c r="E1142" t="s">
        <v>58</v>
      </c>
      <c r="F1142" s="36">
        <v>1580</v>
      </c>
      <c r="G1142" s="16" t="str">
        <f>HYPERLINK("#'Data'!A7992", "Households where main source of drinking water is off premises, by  time taken to fetch water from main source of drinking water in minutes broken dow...")</f>
        <v>Households where main source of drinking water is off premises, by  time taken to fetch water from main source of drinking water in minutes broken dow...</v>
      </c>
    </row>
    <row r="1143" spans="3:7" x14ac:dyDescent="0.35">
      <c r="C1143" t="s">
        <v>173</v>
      </c>
      <c r="D1143" t="s">
        <v>175</v>
      </c>
      <c r="E1143" t="s">
        <v>59</v>
      </c>
      <c r="F1143" s="36">
        <v>1581</v>
      </c>
      <c r="G1143" s="16" t="str">
        <f>HYPERLINK("#'Data'!A7998", "Households where main source of drinking water is off premises, by  time taken to fetch water from main source of drinking water in minutes broken dow...")</f>
        <v>Households where main source of drinking water is off premises, by  time taken to fetch water from main source of drinking water in minutes broken dow...</v>
      </c>
    </row>
    <row r="1144" spans="3:7" x14ac:dyDescent="0.35">
      <c r="C1144" t="s">
        <v>173</v>
      </c>
      <c r="D1144" t="s">
        <v>175</v>
      </c>
      <c r="E1144" t="s">
        <v>60</v>
      </c>
      <c r="F1144" s="36">
        <v>1582</v>
      </c>
      <c r="G1144" s="16" t="str">
        <f>HYPERLINK("#'Data'!A8005", "Households where main source of drinking water is off premises, by  time taken to fetch water from main source of drinking water in minutes broken dow...")</f>
        <v>Households where main source of drinking water is off premises, by  time taken to fetch water from main source of drinking water in minutes broken dow...</v>
      </c>
    </row>
    <row r="1145" spans="3:7" x14ac:dyDescent="0.35">
      <c r="C1145" t="s">
        <v>173</v>
      </c>
      <c r="D1145" t="s">
        <v>175</v>
      </c>
      <c r="E1145" t="s">
        <v>61</v>
      </c>
      <c r="F1145" s="36">
        <v>1583</v>
      </c>
      <c r="G1145" s="16" t="str">
        <f>HYPERLINK("#'Data'!A8013", "Households where main source of drinking water is off premises, by  time taken to fetch water from main source of drinking water in minutes broken dow...")</f>
        <v>Households where main source of drinking water is off premises, by  time taken to fetch water from main source of drinking water in minutes broken dow...</v>
      </c>
    </row>
    <row r="1146" spans="3:7" x14ac:dyDescent="0.35">
      <c r="C1146" t="s">
        <v>173</v>
      </c>
      <c r="D1146" t="s">
        <v>175</v>
      </c>
      <c r="E1146" t="s">
        <v>62</v>
      </c>
      <c r="F1146" s="36">
        <v>1584</v>
      </c>
      <c r="G1146" s="16" t="str">
        <f>HYPERLINK("#'Data'!A8021", "Households where main source of drinking water is off premises, by  time taken to fetch water from main source of drinking water in minutes broken dow...")</f>
        <v>Households where main source of drinking water is off premises, by  time taken to fetch water from main source of drinking water in minutes broken dow...</v>
      </c>
    </row>
    <row r="1147" spans="3:7" x14ac:dyDescent="0.35">
      <c r="C1147" t="s">
        <v>173</v>
      </c>
      <c r="D1147" t="s">
        <v>175</v>
      </c>
      <c r="E1147" t="s">
        <v>76</v>
      </c>
      <c r="F1147" s="36">
        <v>1585</v>
      </c>
      <c r="G1147" s="16" t="str">
        <f>HYPERLINK("#'Data'!A8028", "Households where main source of drinking water is off premises, by  time taken to fetch water from main source of drinking water in minutes broken dow...")</f>
        <v>Households where main source of drinking water is off premises, by  time taken to fetch water from main source of drinking water in minutes broken dow...</v>
      </c>
    </row>
    <row r="1148" spans="3:7" x14ac:dyDescent="0.35">
      <c r="C1148" t="s">
        <v>173</v>
      </c>
      <c r="D1148" t="s">
        <v>175</v>
      </c>
      <c r="E1148" t="s">
        <v>63</v>
      </c>
      <c r="F1148" s="36">
        <v>1586</v>
      </c>
      <c r="G1148" s="16" t="str">
        <f>HYPERLINK("#'Data'!A8034", "Households where main source of drinking water is off premises, by  time taken to fetch water from main source of drinking water in minutes broken dow...")</f>
        <v>Households where main source of drinking water is off premises, by  time taken to fetch water from main source of drinking water in minutes broken dow...</v>
      </c>
    </row>
    <row r="1149" spans="3:7" x14ac:dyDescent="0.35">
      <c r="C1149" t="s">
        <v>173</v>
      </c>
      <c r="D1149" t="s">
        <v>175</v>
      </c>
      <c r="E1149" t="s">
        <v>64</v>
      </c>
      <c r="F1149" s="36">
        <v>1587</v>
      </c>
      <c r="G1149" s="16" t="str">
        <f>HYPERLINK("#'Data'!A8043", "Households where main source of drinking water is off premises, by  time taken to fetch water from main source of drinking water in minutes broken dow...")</f>
        <v>Households where main source of drinking water is off premises, by  time taken to fetch water from main source of drinking water in minutes broken dow...</v>
      </c>
    </row>
    <row r="1150" spans="3:7" x14ac:dyDescent="0.35">
      <c r="C1150" t="s">
        <v>173</v>
      </c>
      <c r="D1150" t="s">
        <v>175</v>
      </c>
      <c r="E1150" t="s">
        <v>65</v>
      </c>
      <c r="F1150" s="36">
        <v>1588</v>
      </c>
      <c r="G1150" s="16" t="str">
        <f>HYPERLINK("#'Data'!A8049", "Households where main source of drinking water is off premises, by  time taken to fetch water from main source of drinking water in minutes broken dow...")</f>
        <v>Households where main source of drinking water is off premises, by  time taken to fetch water from main source of drinking water in minutes broken dow...</v>
      </c>
    </row>
    <row r="1151" spans="3:7" x14ac:dyDescent="0.35">
      <c r="C1151" t="s">
        <v>173</v>
      </c>
      <c r="D1151" t="s">
        <v>175</v>
      </c>
      <c r="E1151" t="s">
        <v>77</v>
      </c>
      <c r="F1151" s="36">
        <v>1589</v>
      </c>
      <c r="G1151" s="16" t="str">
        <f>HYPERLINK("#'Data'!A8056", "Households where main source of drinking water is off premises, by  time taken to fetch water from main source of drinking water in minutes broken dow...")</f>
        <v>Households where main source of drinking water is off premises, by  time taken to fetch water from main source of drinking water in minutes broken dow...</v>
      </c>
    </row>
    <row r="1152" spans="3:7" x14ac:dyDescent="0.35">
      <c r="C1152" t="s">
        <v>173</v>
      </c>
      <c r="D1152" t="s">
        <v>176</v>
      </c>
      <c r="E1152" t="s">
        <v>36</v>
      </c>
      <c r="F1152" s="36">
        <v>1590</v>
      </c>
      <c r="G1152" s="16" t="str">
        <f>HYPERLINK("#'Data'!A8064", "Households by acceptability of water in the past 4 weeks (prior to treatment) on the admin of overall perc")</f>
        <v>Households by acceptability of water in the past 4 weeks (prior to treatment) on the admin of overall perc</v>
      </c>
    </row>
    <row r="1153" spans="3:7" x14ac:dyDescent="0.35">
      <c r="C1153" t="s">
        <v>173</v>
      </c>
      <c r="D1153" t="s">
        <v>176</v>
      </c>
      <c r="E1153" t="s">
        <v>57</v>
      </c>
      <c r="F1153" s="36">
        <v>1591</v>
      </c>
      <c r="G1153" s="16" t="str">
        <f>HYPERLINK("#'Data'!A8069", "Households by acceptability of water in the past 4 weeks (prior to treatment) broken down by households with at least one member with a reported and/o...")</f>
        <v>Households by acceptability of water in the past 4 weeks (prior to treatment) broken down by households with at least one member with a reported and/o...</v>
      </c>
    </row>
    <row r="1154" spans="3:7" x14ac:dyDescent="0.35">
      <c r="C1154" t="s">
        <v>173</v>
      </c>
      <c r="D1154" t="s">
        <v>176</v>
      </c>
      <c r="E1154" t="s">
        <v>58</v>
      </c>
      <c r="F1154" s="36">
        <v>1592</v>
      </c>
      <c r="G1154" s="16" t="str">
        <f>HYPERLINK("#'Data'!A8075", "Households by acceptability of water in the past 4 weeks (prior to treatment) broken down by urbanity on the admin of overall perc")</f>
        <v>Households by acceptability of water in the past 4 weeks (prior to treatment) broken down by urbanity on the admin of overall perc</v>
      </c>
    </row>
    <row r="1155" spans="3:7" x14ac:dyDescent="0.35">
      <c r="C1155" t="s">
        <v>173</v>
      </c>
      <c r="D1155" t="s">
        <v>176</v>
      </c>
      <c r="E1155" t="s">
        <v>59</v>
      </c>
      <c r="F1155" s="36">
        <v>1593</v>
      </c>
      <c r="G1155" s="16" t="str">
        <f>HYPERLINK("#'Data'!A8081", "Households by acceptability of water in the past 4 weeks (prior to treatment) broken down by household size on the admin of overall perc")</f>
        <v>Households by acceptability of water in the past 4 weeks (prior to treatment) broken down by household size on the admin of overall perc</v>
      </c>
    </row>
    <row r="1156" spans="3:7" x14ac:dyDescent="0.35">
      <c r="C1156" t="s">
        <v>173</v>
      </c>
      <c r="D1156" t="s">
        <v>176</v>
      </c>
      <c r="E1156" t="s">
        <v>60</v>
      </c>
      <c r="F1156" s="36">
        <v>1594</v>
      </c>
      <c r="G1156" s="16" t="str">
        <f>HYPERLINK("#'Data'!A8088", "Households by acceptability of water in the past 4 weeks (prior to treatment) broken down by income per capita (quartiles) on the admin of overall per...")</f>
        <v>Households by acceptability of water in the past 4 weeks (prior to treatment) broken down by income per capita (quartiles) on the admin of overall per...</v>
      </c>
    </row>
    <row r="1157" spans="3:7" x14ac:dyDescent="0.35">
      <c r="C1157" t="s">
        <v>173</v>
      </c>
      <c r="D1157" t="s">
        <v>176</v>
      </c>
      <c r="E1157" t="s">
        <v>61</v>
      </c>
      <c r="F1157" s="36">
        <v>1595</v>
      </c>
      <c r="G1157" s="16" t="str">
        <f>HYPERLINK("#'Data'!A8096", "Households by acceptability of water in the past 4 weeks (prior to treatment) broken down by gender of head of household on the admin of overall perc")</f>
        <v>Households by acceptability of water in the past 4 weeks (prior to treatment) broken down by gender of head of household on the admin of overall perc</v>
      </c>
    </row>
    <row r="1158" spans="3:7" x14ac:dyDescent="0.35">
      <c r="C1158" t="s">
        <v>173</v>
      </c>
      <c r="D1158" t="s">
        <v>176</v>
      </c>
      <c r="E1158" t="s">
        <v>62</v>
      </c>
      <c r="F1158" s="36">
        <v>1596</v>
      </c>
      <c r="G1158" s="16" t="str">
        <f>HYPERLINK("#'Data'!A8104", "Households by acceptability of water in the past 4 weeks (prior to treatment) broken down by age of adults in the households on the admin of overall p...")</f>
        <v>Households by acceptability of water in the past 4 weeks (prior to treatment) broken down by age of adults in the households on the admin of overall p...</v>
      </c>
    </row>
    <row r="1159" spans="3:7" x14ac:dyDescent="0.35">
      <c r="C1159" t="s">
        <v>173</v>
      </c>
      <c r="D1159" t="s">
        <v>176</v>
      </c>
      <c r="E1159" t="s">
        <v>76</v>
      </c>
      <c r="F1159" s="36">
        <v>1597</v>
      </c>
      <c r="G1159" s="16" t="str">
        <f>HYPERLINK("#'Data'!A8111", "Households by acceptability of water in the past 4 weeks (prior to treatment) broken down by households with at least one child (&lt;18 y.o.) on the admi...")</f>
        <v>Households by acceptability of water in the past 4 weeks (prior to treatment) broken down by households with at least one child (&lt;18 y.o.) on the admi...</v>
      </c>
    </row>
    <row r="1160" spans="3:7" x14ac:dyDescent="0.35">
      <c r="C1160" t="s">
        <v>173</v>
      </c>
      <c r="D1160" t="s">
        <v>176</v>
      </c>
      <c r="E1160" t="s">
        <v>63</v>
      </c>
      <c r="F1160" s="36">
        <v>1598</v>
      </c>
      <c r="G1160" s="16" t="str">
        <f>HYPERLINK("#'Data'!A8117", "Households by acceptability of water in the past 4 weeks (prior to treatment) broken down by displacement status of head of household on the admin of ...")</f>
        <v>Households by acceptability of water in the past 4 weeks (prior to treatment) broken down by displacement status of head of household on the admin of ...</v>
      </c>
    </row>
    <row r="1161" spans="3:7" x14ac:dyDescent="0.35">
      <c r="C1161" t="s">
        <v>173</v>
      </c>
      <c r="D1161" t="s">
        <v>176</v>
      </c>
      <c r="E1161" t="s">
        <v>64</v>
      </c>
      <c r="F1161" s="36">
        <v>1599</v>
      </c>
      <c r="G1161" s="16" t="str">
        <f>HYPERLINK("#'Data'!A8126", "Households by acceptability of water in the past 4 weeks (prior to treatment) broken down by IDP household on the admin of overall perc")</f>
        <v>Households by acceptability of water in the past 4 weeks (prior to treatment) broken down by IDP household on the admin of overall perc</v>
      </c>
    </row>
    <row r="1162" spans="3:7" x14ac:dyDescent="0.35">
      <c r="C1162" t="s">
        <v>173</v>
      </c>
      <c r="D1162" t="s">
        <v>176</v>
      </c>
      <c r="E1162" t="s">
        <v>65</v>
      </c>
      <c r="F1162" s="36">
        <v>1600</v>
      </c>
      <c r="G1162" s="16" t="str">
        <f>HYPERLINK("#'Data'!A8132", "Households by acceptability of water in the past 4 weeks (prior to treatment) broken down by proximity to frontline/border with Russian Federation on ...")</f>
        <v>Households by acceptability of water in the past 4 weeks (prior to treatment) broken down by proximity to frontline/border with Russian Federation on ...</v>
      </c>
    </row>
    <row r="1163" spans="3:7" x14ac:dyDescent="0.35">
      <c r="C1163" t="s">
        <v>173</v>
      </c>
      <c r="D1163" t="s">
        <v>176</v>
      </c>
      <c r="E1163" t="s">
        <v>77</v>
      </c>
      <c r="F1163" s="36">
        <v>1601</v>
      </c>
      <c r="G1163" s="16" t="str">
        <f>HYPERLINK("#'Data'!A8139", "Households by acceptability of water in the past 4 weeks (prior to treatment) broken down by caregiving status  on the admin of overall perc")</f>
        <v>Households by acceptability of water in the past 4 weeks (prior to treatment) broken down by caregiving status  on the admin of overall perc</v>
      </c>
    </row>
    <row r="1164" spans="3:7" x14ac:dyDescent="0.35">
      <c r="C1164" t="s">
        <v>173</v>
      </c>
      <c r="D1164" t="s">
        <v>177</v>
      </c>
      <c r="E1164" t="s">
        <v>36</v>
      </c>
      <c r="F1164" s="36">
        <v>1602</v>
      </c>
      <c r="G1164" s="16" t="str">
        <f>HYPERLINK("#'Data'!A8147", "Households who treat drinking water from the main source on the admin of overall perc")</f>
        <v>Households who treat drinking water from the main source on the admin of overall perc</v>
      </c>
    </row>
    <row r="1165" spans="3:7" x14ac:dyDescent="0.35">
      <c r="C1165" t="s">
        <v>173</v>
      </c>
      <c r="D1165" t="s">
        <v>177</v>
      </c>
      <c r="E1165" t="s">
        <v>57</v>
      </c>
      <c r="F1165" s="36">
        <v>1603</v>
      </c>
      <c r="G1165" s="16" t="str">
        <f>HYPERLINK("#'Data'!A8152", "Households who treat drinking water from the main source broken down by households with at least one member with a reported and/or registered disabili...")</f>
        <v>Households who treat drinking water from the main source broken down by households with at least one member with a reported and/or registered disabili...</v>
      </c>
    </row>
    <row r="1166" spans="3:7" x14ac:dyDescent="0.35">
      <c r="C1166" t="s">
        <v>173</v>
      </c>
      <c r="D1166" t="s">
        <v>177</v>
      </c>
      <c r="E1166" t="s">
        <v>58</v>
      </c>
      <c r="F1166" s="36">
        <v>1604</v>
      </c>
      <c r="G1166" s="16" t="str">
        <f>HYPERLINK("#'Data'!A8158", "Households who treat drinking water from the main source broken down by urbanity on the admin of overall perc")</f>
        <v>Households who treat drinking water from the main source broken down by urbanity on the admin of overall perc</v>
      </c>
    </row>
    <row r="1167" spans="3:7" x14ac:dyDescent="0.35">
      <c r="C1167" t="s">
        <v>173</v>
      </c>
      <c r="D1167" t="s">
        <v>177</v>
      </c>
      <c r="E1167" t="s">
        <v>59</v>
      </c>
      <c r="F1167" s="36">
        <v>1605</v>
      </c>
      <c r="G1167" s="16" t="str">
        <f>HYPERLINK("#'Data'!A8164", "Households who treat drinking water from the main source broken down by household size on the admin of overall perc")</f>
        <v>Households who treat drinking water from the main source broken down by household size on the admin of overall perc</v>
      </c>
    </row>
    <row r="1168" spans="3:7" x14ac:dyDescent="0.35">
      <c r="C1168" t="s">
        <v>173</v>
      </c>
      <c r="D1168" t="s">
        <v>177</v>
      </c>
      <c r="E1168" t="s">
        <v>60</v>
      </c>
      <c r="F1168" s="36">
        <v>1606</v>
      </c>
      <c r="G1168" s="16" t="str">
        <f>HYPERLINK("#'Data'!A8171", "Households who treat drinking water from the main source broken down by income per capita (quartiles) on the admin of overall perc")</f>
        <v>Households who treat drinking water from the main source broken down by income per capita (quartiles) on the admin of overall perc</v>
      </c>
    </row>
    <row r="1169" spans="3:7" x14ac:dyDescent="0.35">
      <c r="C1169" t="s">
        <v>173</v>
      </c>
      <c r="D1169" t="s">
        <v>177</v>
      </c>
      <c r="E1169" t="s">
        <v>61</v>
      </c>
      <c r="F1169" s="36">
        <v>1607</v>
      </c>
      <c r="G1169" s="16" t="str">
        <f>HYPERLINK("#'Data'!A8179", "Households who treat drinking water from the main source broken down by gender of head of household on the admin of overall perc")</f>
        <v>Households who treat drinking water from the main source broken down by gender of head of household on the admin of overall perc</v>
      </c>
    </row>
    <row r="1170" spans="3:7" x14ac:dyDescent="0.35">
      <c r="C1170" t="s">
        <v>173</v>
      </c>
      <c r="D1170" t="s">
        <v>177</v>
      </c>
      <c r="E1170" t="s">
        <v>62</v>
      </c>
      <c r="F1170" s="36">
        <v>1608</v>
      </c>
      <c r="G1170" s="16" t="str">
        <f>HYPERLINK("#'Data'!A8187", "Households who treat drinking water from the main source broken down by age of adults in the households on the admin of overall perc")</f>
        <v>Households who treat drinking water from the main source broken down by age of adults in the households on the admin of overall perc</v>
      </c>
    </row>
    <row r="1171" spans="3:7" x14ac:dyDescent="0.35">
      <c r="C1171" t="s">
        <v>173</v>
      </c>
      <c r="D1171" t="s">
        <v>177</v>
      </c>
      <c r="E1171" t="s">
        <v>76</v>
      </c>
      <c r="F1171" s="36">
        <v>1609</v>
      </c>
      <c r="G1171" s="16" t="str">
        <f>HYPERLINK("#'Data'!A8194", "Households who treat drinking water from the main source broken down by households with at least one child (&lt;18 y.o.) on the admin of overall perc")</f>
        <v>Households who treat drinking water from the main source broken down by households with at least one child (&lt;18 y.o.) on the admin of overall perc</v>
      </c>
    </row>
    <row r="1172" spans="3:7" x14ac:dyDescent="0.35">
      <c r="C1172" t="s">
        <v>173</v>
      </c>
      <c r="D1172" t="s">
        <v>177</v>
      </c>
      <c r="E1172" t="s">
        <v>63</v>
      </c>
      <c r="F1172" s="36">
        <v>1610</v>
      </c>
      <c r="G1172" s="16" t="str">
        <f>HYPERLINK("#'Data'!A8200", "Households who treat drinking water from the main source broken down by displacement status of head of household on the admin of overall perc")</f>
        <v>Households who treat drinking water from the main source broken down by displacement status of head of household on the admin of overall perc</v>
      </c>
    </row>
    <row r="1173" spans="3:7" x14ac:dyDescent="0.35">
      <c r="C1173" t="s">
        <v>173</v>
      </c>
      <c r="D1173" t="s">
        <v>177</v>
      </c>
      <c r="E1173" t="s">
        <v>64</v>
      </c>
      <c r="F1173" s="36">
        <v>1611</v>
      </c>
      <c r="G1173" s="16" t="str">
        <f>HYPERLINK("#'Data'!A8209", "Households who treat drinking water from the main source broken down by IDP household on the admin of overall perc")</f>
        <v>Households who treat drinking water from the main source broken down by IDP household on the admin of overall perc</v>
      </c>
    </row>
    <row r="1174" spans="3:7" x14ac:dyDescent="0.35">
      <c r="C1174" t="s">
        <v>173</v>
      </c>
      <c r="D1174" t="s">
        <v>177</v>
      </c>
      <c r="E1174" t="s">
        <v>65</v>
      </c>
      <c r="F1174" s="36">
        <v>1612</v>
      </c>
      <c r="G1174" s="16" t="str">
        <f>HYPERLINK("#'Data'!A8215", "Households who treat drinking water from the main source broken down by proximity to frontline/border with Russian Federation on the admin of overall ...")</f>
        <v>Households who treat drinking water from the main source broken down by proximity to frontline/border with Russian Federation on the admin of overall ...</v>
      </c>
    </row>
    <row r="1175" spans="3:7" x14ac:dyDescent="0.35">
      <c r="C1175" t="s">
        <v>173</v>
      </c>
      <c r="D1175" t="s">
        <v>177</v>
      </c>
      <c r="E1175" t="s">
        <v>77</v>
      </c>
      <c r="F1175" s="36">
        <v>1613</v>
      </c>
      <c r="G1175" s="16" t="str">
        <f>HYPERLINK("#'Data'!A8222", "Households who treat drinking water from the main source broken down by caregiving status  on the admin of overall perc")</f>
        <v>Households who treat drinking water from the main source broken down by caregiving status  on the admin of overall perc</v>
      </c>
    </row>
    <row r="1176" spans="3:7" x14ac:dyDescent="0.35">
      <c r="C1176" t="s">
        <v>173</v>
      </c>
      <c r="D1176" t="s">
        <v>178</v>
      </c>
      <c r="E1176" t="s">
        <v>36</v>
      </c>
      <c r="F1176" s="36">
        <v>1614</v>
      </c>
      <c r="G1176" s="16" t="str">
        <f>HYPERLINK("#'Data'!A8230", "Households by days without sufficient drinking water quantity in the past 4 weeks on the admin of overall perc")</f>
        <v>Households by days without sufficient drinking water quantity in the past 4 weeks on the admin of overall perc</v>
      </c>
    </row>
    <row r="1177" spans="3:7" x14ac:dyDescent="0.35">
      <c r="C1177" t="s">
        <v>173</v>
      </c>
      <c r="D1177" t="s">
        <v>178</v>
      </c>
      <c r="E1177" t="s">
        <v>57</v>
      </c>
      <c r="F1177" s="36">
        <v>1615</v>
      </c>
      <c r="G1177" s="16" t="str">
        <f>HYPERLINK("#'Data'!A8235", "Households by days without sufficient drinking water quantity in the past 4 weeks broken down by households with at least one member with a reported a...")</f>
        <v>Households by days without sufficient drinking water quantity in the past 4 weeks broken down by households with at least one member with a reported a...</v>
      </c>
    </row>
    <row r="1178" spans="3:7" x14ac:dyDescent="0.35">
      <c r="C1178" t="s">
        <v>173</v>
      </c>
      <c r="D1178" t="s">
        <v>178</v>
      </c>
      <c r="E1178" t="s">
        <v>58</v>
      </c>
      <c r="F1178" s="36">
        <v>1616</v>
      </c>
      <c r="G1178" s="16" t="str">
        <f>HYPERLINK("#'Data'!A8241", "Households by days without sufficient drinking water quantity in the past 4 weeks broken down by urbanity on the admin of overall perc")</f>
        <v>Households by days without sufficient drinking water quantity in the past 4 weeks broken down by urbanity on the admin of overall perc</v>
      </c>
    </row>
    <row r="1179" spans="3:7" x14ac:dyDescent="0.35">
      <c r="C1179" t="s">
        <v>173</v>
      </c>
      <c r="D1179" t="s">
        <v>178</v>
      </c>
      <c r="E1179" t="s">
        <v>59</v>
      </c>
      <c r="F1179" s="36">
        <v>1617</v>
      </c>
      <c r="G1179" s="16" t="str">
        <f>HYPERLINK("#'Data'!A8247", "Households by days without sufficient drinking water quantity in the past 4 weeks broken down by household size on the admin of overall perc")</f>
        <v>Households by days without sufficient drinking water quantity in the past 4 weeks broken down by household size on the admin of overall perc</v>
      </c>
    </row>
    <row r="1180" spans="3:7" x14ac:dyDescent="0.35">
      <c r="C1180" t="s">
        <v>173</v>
      </c>
      <c r="D1180" t="s">
        <v>178</v>
      </c>
      <c r="E1180" t="s">
        <v>60</v>
      </c>
      <c r="F1180" s="36">
        <v>1618</v>
      </c>
      <c r="G1180" s="16" t="str">
        <f>HYPERLINK("#'Data'!A8254", "Households by days without sufficient drinking water quantity in the past 4 weeks broken down by income per capita (quartiles) on the admin of overall...")</f>
        <v>Households by days without sufficient drinking water quantity in the past 4 weeks broken down by income per capita (quartiles) on the admin of overall...</v>
      </c>
    </row>
    <row r="1181" spans="3:7" x14ac:dyDescent="0.35">
      <c r="C1181" t="s">
        <v>173</v>
      </c>
      <c r="D1181" t="s">
        <v>178</v>
      </c>
      <c r="E1181" t="s">
        <v>61</v>
      </c>
      <c r="F1181" s="36">
        <v>1619</v>
      </c>
      <c r="G1181" s="16" t="str">
        <f>HYPERLINK("#'Data'!A8262", "Households by days without sufficient drinking water quantity in the past 4 weeks broken down by gender of head of household on the admin of overall p...")</f>
        <v>Households by days without sufficient drinking water quantity in the past 4 weeks broken down by gender of head of household on the admin of overall p...</v>
      </c>
    </row>
    <row r="1182" spans="3:7" x14ac:dyDescent="0.35">
      <c r="C1182" t="s">
        <v>173</v>
      </c>
      <c r="D1182" t="s">
        <v>178</v>
      </c>
      <c r="E1182" t="s">
        <v>62</v>
      </c>
      <c r="F1182" s="36">
        <v>1620</v>
      </c>
      <c r="G1182" s="16" t="str">
        <f>HYPERLINK("#'Data'!A8270", "Households by days without sufficient drinking water quantity in the past 4 weeks broken down by age of adults in the households on the admin of overa...")</f>
        <v>Households by days without sufficient drinking water quantity in the past 4 weeks broken down by age of adults in the households on the admin of overa...</v>
      </c>
    </row>
    <row r="1183" spans="3:7" x14ac:dyDescent="0.35">
      <c r="C1183" t="s">
        <v>173</v>
      </c>
      <c r="D1183" t="s">
        <v>178</v>
      </c>
      <c r="E1183" t="s">
        <v>76</v>
      </c>
      <c r="F1183" s="36">
        <v>1621</v>
      </c>
      <c r="G1183" s="16" t="str">
        <f>HYPERLINK("#'Data'!A8277", "Households by days without sufficient drinking water quantity in the past 4 weeks broken down by households with at least one child (&lt;18 y.o.) on the ...")</f>
        <v>Households by days without sufficient drinking water quantity in the past 4 weeks broken down by households with at least one child (&lt;18 y.o.) on the ...</v>
      </c>
    </row>
    <row r="1184" spans="3:7" x14ac:dyDescent="0.35">
      <c r="C1184" t="s">
        <v>173</v>
      </c>
      <c r="D1184" t="s">
        <v>178</v>
      </c>
      <c r="E1184" t="s">
        <v>63</v>
      </c>
      <c r="F1184" s="36">
        <v>1622</v>
      </c>
      <c r="G1184" s="16" t="str">
        <f>HYPERLINK("#'Data'!A8283", "Households by days without sufficient drinking water quantity in the past 4 weeks broken down by displacement status of head of household on the admin...")</f>
        <v>Households by days without sufficient drinking water quantity in the past 4 weeks broken down by displacement status of head of household on the admin...</v>
      </c>
    </row>
    <row r="1185" spans="3:7" x14ac:dyDescent="0.35">
      <c r="C1185" t="s">
        <v>173</v>
      </c>
      <c r="D1185" t="s">
        <v>178</v>
      </c>
      <c r="E1185" t="s">
        <v>64</v>
      </c>
      <c r="F1185" s="36">
        <v>1623</v>
      </c>
      <c r="G1185" s="16" t="str">
        <f>HYPERLINK("#'Data'!A8292", "Households by days without sufficient drinking water quantity in the past 4 weeks broken down by IDP household on the admin of overall perc")</f>
        <v>Households by days without sufficient drinking water quantity in the past 4 weeks broken down by IDP household on the admin of overall perc</v>
      </c>
    </row>
    <row r="1186" spans="3:7" x14ac:dyDescent="0.35">
      <c r="C1186" t="s">
        <v>173</v>
      </c>
      <c r="D1186" t="s">
        <v>178</v>
      </c>
      <c r="E1186" t="s">
        <v>65</v>
      </c>
      <c r="F1186" s="36">
        <v>1624</v>
      </c>
      <c r="G1186" s="16" t="str">
        <f>HYPERLINK("#'Data'!A8298", "Households by days without sufficient drinking water quantity in the past 4 weeks broken down by proximity to frontline/border with Russian Federation...")</f>
        <v>Households by days without sufficient drinking water quantity in the past 4 weeks broken down by proximity to frontline/border with Russian Federation...</v>
      </c>
    </row>
    <row r="1187" spans="3:7" x14ac:dyDescent="0.35">
      <c r="C1187" t="s">
        <v>173</v>
      </c>
      <c r="D1187" t="s">
        <v>178</v>
      </c>
      <c r="E1187" t="s">
        <v>77</v>
      </c>
      <c r="F1187" s="36">
        <v>1625</v>
      </c>
      <c r="G1187" s="16" t="str">
        <f>HYPERLINK("#'Data'!A8305", "Households by days without sufficient drinking water quantity in the past 4 weeks broken down by caregiving status  on the admin of overall perc")</f>
        <v>Households by days without sufficient drinking water quantity in the past 4 weeks broken down by caregiving status  on the admin of overall perc</v>
      </c>
    </row>
    <row r="1188" spans="3:7" x14ac:dyDescent="0.35">
      <c r="C1188" t="s">
        <v>173</v>
      </c>
      <c r="D1188" t="s">
        <v>179</v>
      </c>
      <c r="E1188" t="s">
        <v>36</v>
      </c>
      <c r="F1188" s="36">
        <v>1626</v>
      </c>
      <c r="G1188" s="16" t="str">
        <f>HYPERLINK("#'Data'!A8313", "Households by main source of water for domestic purposes on the admin of overall perc")</f>
        <v>Households by main source of water for domestic purposes on the admin of overall perc</v>
      </c>
    </row>
    <row r="1189" spans="3:7" x14ac:dyDescent="0.35">
      <c r="C1189" t="s">
        <v>173</v>
      </c>
      <c r="D1189" t="s">
        <v>179</v>
      </c>
      <c r="E1189" t="s">
        <v>57</v>
      </c>
      <c r="F1189" s="36">
        <v>1627</v>
      </c>
      <c r="G1189" s="16" t="str">
        <f>HYPERLINK("#'Data'!A8318", "Households by main source of water for domestic purposes broken down by households with at least one member with a reported and/or registered disabili...")</f>
        <v>Households by main source of water for domestic purposes broken down by households with at least one member with a reported and/or registered disabili...</v>
      </c>
    </row>
    <row r="1190" spans="3:7" x14ac:dyDescent="0.35">
      <c r="C1190" t="s">
        <v>173</v>
      </c>
      <c r="D1190" t="s">
        <v>179</v>
      </c>
      <c r="E1190" t="s">
        <v>58</v>
      </c>
      <c r="F1190" s="36">
        <v>1628</v>
      </c>
      <c r="G1190" s="16" t="str">
        <f>HYPERLINK("#'Data'!A8324", "Households by main source of water for domestic purposes broken down by urbanity on the admin of overall perc")</f>
        <v>Households by main source of water for domestic purposes broken down by urbanity on the admin of overall perc</v>
      </c>
    </row>
    <row r="1191" spans="3:7" x14ac:dyDescent="0.35">
      <c r="C1191" t="s">
        <v>173</v>
      </c>
      <c r="D1191" t="s">
        <v>179</v>
      </c>
      <c r="E1191" t="s">
        <v>59</v>
      </c>
      <c r="F1191" s="36">
        <v>1629</v>
      </c>
      <c r="G1191" s="16" t="str">
        <f>HYPERLINK("#'Data'!A8330", "Households by main source of water for domestic purposes broken down by household size on the admin of overall perc")</f>
        <v>Households by main source of water for domestic purposes broken down by household size on the admin of overall perc</v>
      </c>
    </row>
    <row r="1192" spans="3:7" x14ac:dyDescent="0.35">
      <c r="C1192" t="s">
        <v>173</v>
      </c>
      <c r="D1192" t="s">
        <v>179</v>
      </c>
      <c r="E1192" t="s">
        <v>60</v>
      </c>
      <c r="F1192" s="36">
        <v>1630</v>
      </c>
      <c r="G1192" s="16" t="str">
        <f>HYPERLINK("#'Data'!A8337", "Households by main source of water for domestic purposes broken down by income per capita (quartiles) on the admin of overall perc")</f>
        <v>Households by main source of water for domestic purposes broken down by income per capita (quartiles) on the admin of overall perc</v>
      </c>
    </row>
    <row r="1193" spans="3:7" x14ac:dyDescent="0.35">
      <c r="C1193" t="s">
        <v>173</v>
      </c>
      <c r="D1193" t="s">
        <v>179</v>
      </c>
      <c r="E1193" t="s">
        <v>61</v>
      </c>
      <c r="F1193" s="36">
        <v>1631</v>
      </c>
      <c r="G1193" s="16" t="str">
        <f>HYPERLINK("#'Data'!A8345", "Households by main source of water for domestic purposes broken down by gender of head of household on the admin of overall perc")</f>
        <v>Households by main source of water for domestic purposes broken down by gender of head of household on the admin of overall perc</v>
      </c>
    </row>
    <row r="1194" spans="3:7" x14ac:dyDescent="0.35">
      <c r="C1194" t="s">
        <v>173</v>
      </c>
      <c r="D1194" t="s">
        <v>179</v>
      </c>
      <c r="E1194" t="s">
        <v>62</v>
      </c>
      <c r="F1194" s="36">
        <v>1632</v>
      </c>
      <c r="G1194" s="16" t="str">
        <f>HYPERLINK("#'Data'!A8353", "Households by main source of water for domestic purposes broken down by age of adults in the households on the admin of overall perc")</f>
        <v>Households by main source of water for domestic purposes broken down by age of adults in the households on the admin of overall perc</v>
      </c>
    </row>
    <row r="1195" spans="3:7" x14ac:dyDescent="0.35">
      <c r="C1195" t="s">
        <v>173</v>
      </c>
      <c r="D1195" t="s">
        <v>179</v>
      </c>
      <c r="E1195" t="s">
        <v>76</v>
      </c>
      <c r="F1195" s="36">
        <v>1633</v>
      </c>
      <c r="G1195" s="16" t="str">
        <f>HYPERLINK("#'Data'!A8360", "Households by main source of water for domestic purposes broken down by households with at least one child (&lt;18 y.o.) on the admin of overall perc")</f>
        <v>Households by main source of water for domestic purposes broken down by households with at least one child (&lt;18 y.o.) on the admin of overall perc</v>
      </c>
    </row>
    <row r="1196" spans="3:7" x14ac:dyDescent="0.35">
      <c r="C1196" t="s">
        <v>173</v>
      </c>
      <c r="D1196" t="s">
        <v>179</v>
      </c>
      <c r="E1196" t="s">
        <v>63</v>
      </c>
      <c r="F1196" s="36">
        <v>1634</v>
      </c>
      <c r="G1196" s="16" t="str">
        <f>HYPERLINK("#'Data'!A8366", "Households by main source of water for domestic purposes broken down by displacement status of head of household on the admin of overall perc")</f>
        <v>Households by main source of water for domestic purposes broken down by displacement status of head of household on the admin of overall perc</v>
      </c>
    </row>
    <row r="1197" spans="3:7" x14ac:dyDescent="0.35">
      <c r="C1197" t="s">
        <v>173</v>
      </c>
      <c r="D1197" t="s">
        <v>179</v>
      </c>
      <c r="E1197" t="s">
        <v>64</v>
      </c>
      <c r="F1197" s="36">
        <v>1635</v>
      </c>
      <c r="G1197" s="16" t="str">
        <f>HYPERLINK("#'Data'!A8375", "Households by main source of water for domestic purposes broken down by IDP household on the admin of overall perc")</f>
        <v>Households by main source of water for domestic purposes broken down by IDP household on the admin of overall perc</v>
      </c>
    </row>
    <row r="1198" spans="3:7" x14ac:dyDescent="0.35">
      <c r="C1198" t="s">
        <v>173</v>
      </c>
      <c r="D1198" t="s">
        <v>179</v>
      </c>
      <c r="E1198" t="s">
        <v>65</v>
      </c>
      <c r="F1198" s="36">
        <v>1636</v>
      </c>
      <c r="G1198" s="16" t="str">
        <f>HYPERLINK("#'Data'!A8381", "Households by main source of water for domestic purposes broken down by proximity to frontline/border with Russian Federation on the admin of overall ...")</f>
        <v>Households by main source of water for domestic purposes broken down by proximity to frontline/border with Russian Federation on the admin of overall ...</v>
      </c>
    </row>
    <row r="1199" spans="3:7" x14ac:dyDescent="0.35">
      <c r="C1199" t="s">
        <v>173</v>
      </c>
      <c r="D1199" t="s">
        <v>179</v>
      </c>
      <c r="E1199" t="s">
        <v>77</v>
      </c>
      <c r="F1199" s="36">
        <v>1637</v>
      </c>
      <c r="G1199" s="16" t="str">
        <f>HYPERLINK("#'Data'!A8388", "Households by main source of water for domestic purposes broken down by caregiving status  on the admin of overall perc")</f>
        <v>Households by main source of water for domestic purposes broken down by caregiving status  on the admin of overall perc</v>
      </c>
    </row>
    <row r="1200" spans="3:7" x14ac:dyDescent="0.35">
      <c r="C1200" t="s">
        <v>173</v>
      </c>
      <c r="D1200" t="s">
        <v>180</v>
      </c>
      <c r="E1200" t="s">
        <v>36</v>
      </c>
      <c r="F1200" s="36">
        <v>1638</v>
      </c>
      <c r="G1200" s="16" t="str">
        <f>HYPERLINK("#'Data'!A8396", "Households by days without sufficient water for domestic purposes quantity in the past 4 weeks on the admin of overall perc")</f>
        <v>Households by days without sufficient water for domestic purposes quantity in the past 4 weeks on the admin of overall perc</v>
      </c>
    </row>
    <row r="1201" spans="3:7" x14ac:dyDescent="0.35">
      <c r="C1201" t="s">
        <v>173</v>
      </c>
      <c r="D1201" t="s">
        <v>180</v>
      </c>
      <c r="E1201" t="s">
        <v>57</v>
      </c>
      <c r="F1201" s="36">
        <v>1639</v>
      </c>
      <c r="G1201" s="16" t="str">
        <f>HYPERLINK("#'Data'!A8401", "Households by days without sufficient water for domestic purposes quantity in the past 4 weeks broken down by households with at least one member with...")</f>
        <v>Households by days without sufficient water for domestic purposes quantity in the past 4 weeks broken down by households with at least one member with...</v>
      </c>
    </row>
    <row r="1202" spans="3:7" x14ac:dyDescent="0.35">
      <c r="C1202" t="s">
        <v>173</v>
      </c>
      <c r="D1202" t="s">
        <v>180</v>
      </c>
      <c r="E1202" t="s">
        <v>58</v>
      </c>
      <c r="F1202" s="36">
        <v>1640</v>
      </c>
      <c r="G1202" s="16" t="str">
        <f>HYPERLINK("#'Data'!A8407", "Households by days without sufficient water for domestic purposes quantity in the past 4 weeks broken down by urbanity on the admin of overall perc")</f>
        <v>Households by days without sufficient water for domestic purposes quantity in the past 4 weeks broken down by urbanity on the admin of overall perc</v>
      </c>
    </row>
    <row r="1203" spans="3:7" x14ac:dyDescent="0.35">
      <c r="C1203" t="s">
        <v>173</v>
      </c>
      <c r="D1203" t="s">
        <v>180</v>
      </c>
      <c r="E1203" t="s">
        <v>59</v>
      </c>
      <c r="F1203" s="36">
        <v>1641</v>
      </c>
      <c r="G1203" s="16" t="str">
        <f>HYPERLINK("#'Data'!A8413", "Households by days without sufficient water for domestic purposes quantity in the past 4 weeks broken down by household size on the admin of overall p...")</f>
        <v>Households by days without sufficient water for domestic purposes quantity in the past 4 weeks broken down by household size on the admin of overall p...</v>
      </c>
    </row>
    <row r="1204" spans="3:7" x14ac:dyDescent="0.35">
      <c r="C1204" t="s">
        <v>173</v>
      </c>
      <c r="D1204" t="s">
        <v>180</v>
      </c>
      <c r="E1204" t="s">
        <v>60</v>
      </c>
      <c r="F1204" s="36">
        <v>1642</v>
      </c>
      <c r="G1204" s="16" t="str">
        <f>HYPERLINK("#'Data'!A8420", "Households by days without sufficient water for domestic purposes quantity in the past 4 weeks broken down by income per capita (quartiles) on the adm...")</f>
        <v>Households by days without sufficient water for domestic purposes quantity in the past 4 weeks broken down by income per capita (quartiles) on the adm...</v>
      </c>
    </row>
    <row r="1205" spans="3:7" x14ac:dyDescent="0.35">
      <c r="C1205" t="s">
        <v>173</v>
      </c>
      <c r="D1205" t="s">
        <v>180</v>
      </c>
      <c r="E1205" t="s">
        <v>61</v>
      </c>
      <c r="F1205" s="36">
        <v>1643</v>
      </c>
      <c r="G1205" s="16" t="str">
        <f>HYPERLINK("#'Data'!A8428", "Households by days without sufficient water for domestic purposes quantity in the past 4 weeks broken down by gender of head of household on the admin...")</f>
        <v>Households by days without sufficient water for domestic purposes quantity in the past 4 weeks broken down by gender of head of household on the admin...</v>
      </c>
    </row>
    <row r="1206" spans="3:7" x14ac:dyDescent="0.35">
      <c r="C1206" t="s">
        <v>173</v>
      </c>
      <c r="D1206" t="s">
        <v>180</v>
      </c>
      <c r="E1206" t="s">
        <v>62</v>
      </c>
      <c r="F1206" s="36">
        <v>1644</v>
      </c>
      <c r="G1206" s="16" t="str">
        <f>HYPERLINK("#'Data'!A8436", "Households by days without sufficient water for domestic purposes quantity in the past 4 weeks broken down by age of adults in the households on the a...")</f>
        <v>Households by days without sufficient water for domestic purposes quantity in the past 4 weeks broken down by age of adults in the households on the a...</v>
      </c>
    </row>
    <row r="1207" spans="3:7" x14ac:dyDescent="0.35">
      <c r="C1207" t="s">
        <v>173</v>
      </c>
      <c r="D1207" t="s">
        <v>180</v>
      </c>
      <c r="E1207" t="s">
        <v>76</v>
      </c>
      <c r="F1207" s="36">
        <v>1645</v>
      </c>
      <c r="G1207" s="16" t="str">
        <f>HYPERLINK("#'Data'!A8443", "Households by days without sufficient water for domestic purposes quantity in the past 4 weeks broken down by households with at least one child (&lt;18 ...")</f>
        <v>Households by days without sufficient water for domestic purposes quantity in the past 4 weeks broken down by households with at least one child (&lt;18 ...</v>
      </c>
    </row>
    <row r="1208" spans="3:7" x14ac:dyDescent="0.35">
      <c r="C1208" t="s">
        <v>173</v>
      </c>
      <c r="D1208" t="s">
        <v>180</v>
      </c>
      <c r="E1208" t="s">
        <v>63</v>
      </c>
      <c r="F1208" s="36">
        <v>1646</v>
      </c>
      <c r="G1208" s="16" t="str">
        <f>HYPERLINK("#'Data'!A8449", "Households by days without sufficient water for domestic purposes quantity in the past 4 weeks broken down by displacement status of head of household...")</f>
        <v>Households by days without sufficient water for domestic purposes quantity in the past 4 weeks broken down by displacement status of head of household...</v>
      </c>
    </row>
    <row r="1209" spans="3:7" x14ac:dyDescent="0.35">
      <c r="C1209" t="s">
        <v>173</v>
      </c>
      <c r="D1209" t="s">
        <v>180</v>
      </c>
      <c r="E1209" t="s">
        <v>64</v>
      </c>
      <c r="F1209" s="36">
        <v>1647</v>
      </c>
      <c r="G1209" s="16" t="str">
        <f>HYPERLINK("#'Data'!A8458", "Households by days without sufficient water for domestic purposes quantity in the past 4 weeks broken down by IDP household on the admin of overall pe...")</f>
        <v>Households by days without sufficient water for domestic purposes quantity in the past 4 weeks broken down by IDP household on the admin of overall pe...</v>
      </c>
    </row>
    <row r="1210" spans="3:7" x14ac:dyDescent="0.35">
      <c r="C1210" t="s">
        <v>173</v>
      </c>
      <c r="D1210" t="s">
        <v>180</v>
      </c>
      <c r="E1210" t="s">
        <v>65</v>
      </c>
      <c r="F1210" s="36">
        <v>1648</v>
      </c>
      <c r="G1210" s="16" t="str">
        <f>HYPERLINK("#'Data'!A8464", "Households by days without sufficient water for domestic purposes quantity in the past 4 weeks broken down by proximity to frontline/border with Russi...")</f>
        <v>Households by days without sufficient water for domestic purposes quantity in the past 4 weeks broken down by proximity to frontline/border with Russi...</v>
      </c>
    </row>
    <row r="1211" spans="3:7" x14ac:dyDescent="0.35">
      <c r="C1211" t="s">
        <v>173</v>
      </c>
      <c r="D1211" t="s">
        <v>180</v>
      </c>
      <c r="E1211" t="s">
        <v>77</v>
      </c>
      <c r="F1211" s="36">
        <v>1649</v>
      </c>
      <c r="G1211" s="16" t="str">
        <f>HYPERLINK("#'Data'!A8471", "Households by days without sufficient water for domestic purposes quantity in the past 4 weeks broken down by caregiving status  on the admin of overa...")</f>
        <v>Households by days without sufficient water for domestic purposes quantity in the past 4 weeks broken down by caregiving status  on the admin of overa...</v>
      </c>
    </row>
    <row r="1212" spans="3:7" x14ac:dyDescent="0.35">
      <c r="C1212" t="s">
        <v>173</v>
      </c>
      <c r="D1212" t="s">
        <v>181</v>
      </c>
      <c r="E1212" t="s">
        <v>36</v>
      </c>
      <c r="F1212" s="36">
        <v>1650</v>
      </c>
      <c r="G1212" s="16" t="str">
        <f>HYPERLINK("#'Data'!A8479", "Percentage of households reporting enough space/essential items so that the members of the households can perform personal hygiene on the admin of ove...")</f>
        <v>Percentage of households reporting enough space/essential items so that the members of the households can perform personal hygiene on the admin of ove...</v>
      </c>
    </row>
    <row r="1213" spans="3:7" x14ac:dyDescent="0.35">
      <c r="C1213" t="s">
        <v>173</v>
      </c>
      <c r="D1213" t="s">
        <v>181</v>
      </c>
      <c r="E1213" t="s">
        <v>57</v>
      </c>
      <c r="F1213" s="36">
        <v>1651</v>
      </c>
      <c r="G1213" s="16" t="str">
        <f>HYPERLINK("#'Data'!A8484", "Percentage of households reporting enough space/essential items so that the members of the households can perform personal hygiene broken down by hous...")</f>
        <v>Percentage of households reporting enough space/essential items so that the members of the households can perform personal hygiene broken down by hous...</v>
      </c>
    </row>
    <row r="1214" spans="3:7" x14ac:dyDescent="0.35">
      <c r="C1214" t="s">
        <v>173</v>
      </c>
      <c r="D1214" t="s">
        <v>181</v>
      </c>
      <c r="E1214" t="s">
        <v>58</v>
      </c>
      <c r="F1214" s="36">
        <v>1652</v>
      </c>
      <c r="G1214" s="16" t="str">
        <f>HYPERLINK("#'Data'!A8490", "Percentage of households reporting enough space/essential items so that the members of the households can perform personal hygiene broken down by urba...")</f>
        <v>Percentage of households reporting enough space/essential items so that the members of the households can perform personal hygiene broken down by urba...</v>
      </c>
    </row>
    <row r="1215" spans="3:7" x14ac:dyDescent="0.35">
      <c r="C1215" t="s">
        <v>173</v>
      </c>
      <c r="D1215" t="s">
        <v>181</v>
      </c>
      <c r="E1215" t="s">
        <v>59</v>
      </c>
      <c r="F1215" s="36">
        <v>1653</v>
      </c>
      <c r="G1215" s="16" t="str">
        <f>HYPERLINK("#'Data'!A8496", "Percentage of households reporting enough space/essential items so that the members of the households can perform personal hygiene broken down by hous...")</f>
        <v>Percentage of households reporting enough space/essential items so that the members of the households can perform personal hygiene broken down by hous...</v>
      </c>
    </row>
    <row r="1216" spans="3:7" x14ac:dyDescent="0.35">
      <c r="C1216" t="s">
        <v>173</v>
      </c>
      <c r="D1216" t="s">
        <v>181</v>
      </c>
      <c r="E1216" t="s">
        <v>60</v>
      </c>
      <c r="F1216" s="36">
        <v>1654</v>
      </c>
      <c r="G1216" s="16" t="str">
        <f>HYPERLINK("#'Data'!A8503", "Percentage of households reporting enough space/essential items so that the members of the households can perform personal hygiene broken down by inco...")</f>
        <v>Percentage of households reporting enough space/essential items so that the members of the households can perform personal hygiene broken down by inco...</v>
      </c>
    </row>
    <row r="1217" spans="3:7" x14ac:dyDescent="0.35">
      <c r="C1217" t="s">
        <v>173</v>
      </c>
      <c r="D1217" t="s">
        <v>181</v>
      </c>
      <c r="E1217" t="s">
        <v>61</v>
      </c>
      <c r="F1217" s="36">
        <v>1655</v>
      </c>
      <c r="G1217" s="16" t="str">
        <f>HYPERLINK("#'Data'!A8511", "Percentage of households reporting enough space/essential items so that the members of the households can perform personal hygiene broken down by gend...")</f>
        <v>Percentage of households reporting enough space/essential items so that the members of the households can perform personal hygiene broken down by gend...</v>
      </c>
    </row>
    <row r="1218" spans="3:7" x14ac:dyDescent="0.35">
      <c r="C1218" t="s">
        <v>173</v>
      </c>
      <c r="D1218" t="s">
        <v>181</v>
      </c>
      <c r="E1218" t="s">
        <v>62</v>
      </c>
      <c r="F1218" s="36">
        <v>1656</v>
      </c>
      <c r="G1218" s="16" t="str">
        <f>HYPERLINK("#'Data'!A8519", "Percentage of households reporting enough space/essential items so that the members of the households can perform personal hygiene broken down by age ...")</f>
        <v>Percentage of households reporting enough space/essential items so that the members of the households can perform personal hygiene broken down by age ...</v>
      </c>
    </row>
    <row r="1219" spans="3:7" x14ac:dyDescent="0.35">
      <c r="C1219" t="s">
        <v>173</v>
      </c>
      <c r="D1219" t="s">
        <v>181</v>
      </c>
      <c r="E1219" t="s">
        <v>76</v>
      </c>
      <c r="F1219" s="36">
        <v>1657</v>
      </c>
      <c r="G1219" s="16" t="str">
        <f>HYPERLINK("#'Data'!A8526", "Percentage of households reporting enough space/essential items so that the members of the households can perform personal hygiene broken down by hous...")</f>
        <v>Percentage of households reporting enough space/essential items so that the members of the households can perform personal hygiene broken down by hous...</v>
      </c>
    </row>
    <row r="1220" spans="3:7" x14ac:dyDescent="0.35">
      <c r="C1220" t="s">
        <v>173</v>
      </c>
      <c r="D1220" t="s">
        <v>181</v>
      </c>
      <c r="E1220" t="s">
        <v>63</v>
      </c>
      <c r="F1220" s="36">
        <v>1658</v>
      </c>
      <c r="G1220" s="16" t="str">
        <f>HYPERLINK("#'Data'!A8532", "Percentage of households reporting enough space/essential items so that the members of the households can perform personal hygiene broken down by disp...")</f>
        <v>Percentage of households reporting enough space/essential items so that the members of the households can perform personal hygiene broken down by disp...</v>
      </c>
    </row>
    <row r="1221" spans="3:7" x14ac:dyDescent="0.35">
      <c r="C1221" t="s">
        <v>173</v>
      </c>
      <c r="D1221" t="s">
        <v>181</v>
      </c>
      <c r="E1221" t="s">
        <v>64</v>
      </c>
      <c r="F1221" s="36">
        <v>1659</v>
      </c>
      <c r="G1221" s="16" t="str">
        <f>HYPERLINK("#'Data'!A8541", "Percentage of households reporting enough space/essential items so that the members of the households can perform personal hygiene broken down by IDP ...")</f>
        <v>Percentage of households reporting enough space/essential items so that the members of the households can perform personal hygiene broken down by IDP ...</v>
      </c>
    </row>
    <row r="1222" spans="3:7" x14ac:dyDescent="0.35">
      <c r="C1222" t="s">
        <v>173</v>
      </c>
      <c r="D1222" t="s">
        <v>181</v>
      </c>
      <c r="E1222" t="s">
        <v>65</v>
      </c>
      <c r="F1222" s="36">
        <v>1660</v>
      </c>
      <c r="G1222" s="16" t="str">
        <f>HYPERLINK("#'Data'!A8547", "Percentage of households reporting enough space/essential items so that the members of the households can perform personal hygiene broken down by prox...")</f>
        <v>Percentage of households reporting enough space/essential items so that the members of the households can perform personal hygiene broken down by prox...</v>
      </c>
    </row>
    <row r="1223" spans="3:7" x14ac:dyDescent="0.35">
      <c r="C1223" t="s">
        <v>173</v>
      </c>
      <c r="D1223" t="s">
        <v>181</v>
      </c>
      <c r="E1223" t="s">
        <v>77</v>
      </c>
      <c r="F1223" s="36">
        <v>1661</v>
      </c>
      <c r="G1223" s="16" t="str">
        <f>HYPERLINK("#'Data'!A8554", "Percentage of households reporting enough space/essential items so that the members of the households can perform personal hygiene broken down by care...")</f>
        <v>Percentage of households reporting enough space/essential items so that the members of the households can perform personal hygiene broken down by care...</v>
      </c>
    </row>
    <row r="1224" spans="3:7" x14ac:dyDescent="0.35">
      <c r="C1224" t="s">
        <v>173</v>
      </c>
      <c r="D1224" t="s">
        <v>182</v>
      </c>
      <c r="E1224" t="s">
        <v>36</v>
      </c>
      <c r="F1224" s="36">
        <v>1662</v>
      </c>
      <c r="G1224" s="16" t="str">
        <f>HYPERLINK("#'Data'!A8562", "Households by main handwashing facility on the admin of overall perc")</f>
        <v>Households by main handwashing facility on the admin of overall perc</v>
      </c>
    </row>
    <row r="1225" spans="3:7" x14ac:dyDescent="0.35">
      <c r="C1225" t="s">
        <v>173</v>
      </c>
      <c r="D1225" t="s">
        <v>182</v>
      </c>
      <c r="E1225" t="s">
        <v>57</v>
      </c>
      <c r="F1225" s="36">
        <v>1663</v>
      </c>
      <c r="G1225" s="16" t="str">
        <f>HYPERLINK("#'Data'!A8567", "Households by main handwashing facility broken down by households with at least one member with a reported and/or registered disability on the admin o...")</f>
        <v>Households by main handwashing facility broken down by households with at least one member with a reported and/or registered disability on the admin o...</v>
      </c>
    </row>
    <row r="1226" spans="3:7" x14ac:dyDescent="0.35">
      <c r="C1226" t="s">
        <v>173</v>
      </c>
      <c r="D1226" t="s">
        <v>182</v>
      </c>
      <c r="E1226" t="s">
        <v>58</v>
      </c>
      <c r="F1226" s="36">
        <v>1664</v>
      </c>
      <c r="G1226" s="16" t="str">
        <f>HYPERLINK("#'Data'!A8573", "Households by main handwashing facility broken down by urbanity on the admin of overall perc")</f>
        <v>Households by main handwashing facility broken down by urbanity on the admin of overall perc</v>
      </c>
    </row>
    <row r="1227" spans="3:7" x14ac:dyDescent="0.35">
      <c r="C1227" t="s">
        <v>173</v>
      </c>
      <c r="D1227" t="s">
        <v>182</v>
      </c>
      <c r="E1227" t="s">
        <v>59</v>
      </c>
      <c r="F1227" s="36">
        <v>1665</v>
      </c>
      <c r="G1227" s="16" t="str">
        <f>HYPERLINK("#'Data'!A8579", "Households by main handwashing facility broken down by household size on the admin of overall perc")</f>
        <v>Households by main handwashing facility broken down by household size on the admin of overall perc</v>
      </c>
    </row>
    <row r="1228" spans="3:7" x14ac:dyDescent="0.35">
      <c r="C1228" t="s">
        <v>173</v>
      </c>
      <c r="D1228" t="s">
        <v>182</v>
      </c>
      <c r="E1228" t="s">
        <v>60</v>
      </c>
      <c r="F1228" s="36">
        <v>1666</v>
      </c>
      <c r="G1228" s="16" t="str">
        <f>HYPERLINK("#'Data'!A8586", "Households by main handwashing facility broken down by income per capita (quartiles) on the admin of overall perc")</f>
        <v>Households by main handwashing facility broken down by income per capita (quartiles) on the admin of overall perc</v>
      </c>
    </row>
    <row r="1229" spans="3:7" x14ac:dyDescent="0.35">
      <c r="C1229" t="s">
        <v>173</v>
      </c>
      <c r="D1229" t="s">
        <v>182</v>
      </c>
      <c r="E1229" t="s">
        <v>61</v>
      </c>
      <c r="F1229" s="36">
        <v>1667</v>
      </c>
      <c r="G1229" s="16" t="str">
        <f>HYPERLINK("#'Data'!A8594", "Households by main handwashing facility broken down by gender of head of household on the admin of overall perc")</f>
        <v>Households by main handwashing facility broken down by gender of head of household on the admin of overall perc</v>
      </c>
    </row>
    <row r="1230" spans="3:7" x14ac:dyDescent="0.35">
      <c r="C1230" t="s">
        <v>173</v>
      </c>
      <c r="D1230" t="s">
        <v>182</v>
      </c>
      <c r="E1230" t="s">
        <v>62</v>
      </c>
      <c r="F1230" s="36">
        <v>1668</v>
      </c>
      <c r="G1230" s="16" t="str">
        <f>HYPERLINK("#'Data'!A8602", "Households by main handwashing facility broken down by age of adults in the households on the admin of overall perc")</f>
        <v>Households by main handwashing facility broken down by age of adults in the households on the admin of overall perc</v>
      </c>
    </row>
    <row r="1231" spans="3:7" x14ac:dyDescent="0.35">
      <c r="C1231" t="s">
        <v>173</v>
      </c>
      <c r="D1231" t="s">
        <v>182</v>
      </c>
      <c r="E1231" t="s">
        <v>76</v>
      </c>
      <c r="F1231" s="36">
        <v>1669</v>
      </c>
      <c r="G1231" s="16" t="str">
        <f>HYPERLINK("#'Data'!A8609", "Households by main handwashing facility broken down by households with at least one child (&lt;18 y.o.) on the admin of overall perc")</f>
        <v>Households by main handwashing facility broken down by households with at least one child (&lt;18 y.o.) on the admin of overall perc</v>
      </c>
    </row>
    <row r="1232" spans="3:7" x14ac:dyDescent="0.35">
      <c r="C1232" t="s">
        <v>173</v>
      </c>
      <c r="D1232" t="s">
        <v>182</v>
      </c>
      <c r="E1232" t="s">
        <v>63</v>
      </c>
      <c r="F1232" s="36">
        <v>1670</v>
      </c>
      <c r="G1232" s="16" t="str">
        <f>HYPERLINK("#'Data'!A8615", "Households by main handwashing facility broken down by displacement status of head of household on the admin of overall perc")</f>
        <v>Households by main handwashing facility broken down by displacement status of head of household on the admin of overall perc</v>
      </c>
    </row>
    <row r="1233" spans="3:7" x14ac:dyDescent="0.35">
      <c r="C1233" t="s">
        <v>173</v>
      </c>
      <c r="D1233" t="s">
        <v>182</v>
      </c>
      <c r="E1233" t="s">
        <v>64</v>
      </c>
      <c r="F1233" s="36">
        <v>1671</v>
      </c>
      <c r="G1233" s="16" t="str">
        <f>HYPERLINK("#'Data'!A8624", "Households by main handwashing facility broken down by IDP household on the admin of overall perc")</f>
        <v>Households by main handwashing facility broken down by IDP household on the admin of overall perc</v>
      </c>
    </row>
    <row r="1234" spans="3:7" x14ac:dyDescent="0.35">
      <c r="C1234" t="s">
        <v>173</v>
      </c>
      <c r="D1234" t="s">
        <v>182</v>
      </c>
      <c r="E1234" t="s">
        <v>65</v>
      </c>
      <c r="F1234" s="36">
        <v>1672</v>
      </c>
      <c r="G1234" s="16" t="str">
        <f>HYPERLINK("#'Data'!A8630", "Households by main handwashing facility broken down by proximity to frontline/border with Russian Federation on the admin of overall perc")</f>
        <v>Households by main handwashing facility broken down by proximity to frontline/border with Russian Federation on the admin of overall perc</v>
      </c>
    </row>
    <row r="1235" spans="3:7" x14ac:dyDescent="0.35">
      <c r="C1235" t="s">
        <v>173</v>
      </c>
      <c r="D1235" t="s">
        <v>182</v>
      </c>
      <c r="E1235" t="s">
        <v>77</v>
      </c>
      <c r="F1235" s="36">
        <v>1673</v>
      </c>
      <c r="G1235" s="16" t="str">
        <f>HYPERLINK("#'Data'!A8637", "Households by main handwashing facility broken down by caregiving status  on the admin of overall perc")</f>
        <v>Households by main handwashing facility broken down by caregiving status  on the admin of overall perc</v>
      </c>
    </row>
    <row r="1236" spans="3:7" x14ac:dyDescent="0.35">
      <c r="C1236" t="s">
        <v>173</v>
      </c>
      <c r="D1236" t="s">
        <v>183</v>
      </c>
      <c r="E1236" t="s">
        <v>36</v>
      </c>
      <c r="F1236" s="36">
        <v>1674</v>
      </c>
      <c r="G1236" s="16" t="str">
        <f>HYPERLINK("#'Data'!A8645", "Households having access to soap for washing hands on the admin of overall perc")</f>
        <v>Households having access to soap for washing hands on the admin of overall perc</v>
      </c>
    </row>
    <row r="1237" spans="3:7" x14ac:dyDescent="0.35">
      <c r="C1237" t="s">
        <v>173</v>
      </c>
      <c r="D1237" t="s">
        <v>183</v>
      </c>
      <c r="E1237" t="s">
        <v>57</v>
      </c>
      <c r="F1237" s="36">
        <v>1675</v>
      </c>
      <c r="G1237" s="16" t="str">
        <f>HYPERLINK("#'Data'!A8650", "Households having access to soap for washing hands broken down by households with at least one member with a reported and/or registered disability on ...")</f>
        <v>Households having access to soap for washing hands broken down by households with at least one member with a reported and/or registered disability on ...</v>
      </c>
    </row>
    <row r="1238" spans="3:7" x14ac:dyDescent="0.35">
      <c r="C1238" t="s">
        <v>173</v>
      </c>
      <c r="D1238" t="s">
        <v>183</v>
      </c>
      <c r="E1238" t="s">
        <v>58</v>
      </c>
      <c r="F1238" s="36">
        <v>1676</v>
      </c>
      <c r="G1238" s="16" t="str">
        <f>HYPERLINK("#'Data'!A8656", "Households having access to soap for washing hands broken down by urbanity on the admin of overall perc")</f>
        <v>Households having access to soap for washing hands broken down by urbanity on the admin of overall perc</v>
      </c>
    </row>
    <row r="1239" spans="3:7" x14ac:dyDescent="0.35">
      <c r="C1239" t="s">
        <v>173</v>
      </c>
      <c r="D1239" t="s">
        <v>183</v>
      </c>
      <c r="E1239" t="s">
        <v>59</v>
      </c>
      <c r="F1239" s="36">
        <v>1677</v>
      </c>
      <c r="G1239" s="16" t="str">
        <f>HYPERLINK("#'Data'!A8662", "Households having access to soap for washing hands broken down by household size on the admin of overall perc")</f>
        <v>Households having access to soap for washing hands broken down by household size on the admin of overall perc</v>
      </c>
    </row>
    <row r="1240" spans="3:7" x14ac:dyDescent="0.35">
      <c r="C1240" t="s">
        <v>173</v>
      </c>
      <c r="D1240" t="s">
        <v>183</v>
      </c>
      <c r="E1240" t="s">
        <v>60</v>
      </c>
      <c r="F1240" s="36">
        <v>1678</v>
      </c>
      <c r="G1240" s="16" t="str">
        <f>HYPERLINK("#'Data'!A8669", "Households having access to soap for washing hands broken down by income per capita (quartiles) on the admin of overall perc")</f>
        <v>Households having access to soap for washing hands broken down by income per capita (quartiles) on the admin of overall perc</v>
      </c>
    </row>
    <row r="1241" spans="3:7" x14ac:dyDescent="0.35">
      <c r="C1241" t="s">
        <v>173</v>
      </c>
      <c r="D1241" t="s">
        <v>183</v>
      </c>
      <c r="E1241" t="s">
        <v>61</v>
      </c>
      <c r="F1241" s="36">
        <v>1679</v>
      </c>
      <c r="G1241" s="16" t="str">
        <f>HYPERLINK("#'Data'!A8677", "Households having access to soap for washing hands broken down by gender of head of household on the admin of overall perc")</f>
        <v>Households having access to soap for washing hands broken down by gender of head of household on the admin of overall perc</v>
      </c>
    </row>
    <row r="1242" spans="3:7" x14ac:dyDescent="0.35">
      <c r="C1242" t="s">
        <v>173</v>
      </c>
      <c r="D1242" t="s">
        <v>183</v>
      </c>
      <c r="E1242" t="s">
        <v>62</v>
      </c>
      <c r="F1242" s="36">
        <v>1680</v>
      </c>
      <c r="G1242" s="16" t="str">
        <f>HYPERLINK("#'Data'!A8685", "Households having access to soap for washing hands broken down by age of adults in the households on the admin of overall perc")</f>
        <v>Households having access to soap for washing hands broken down by age of adults in the households on the admin of overall perc</v>
      </c>
    </row>
    <row r="1243" spans="3:7" x14ac:dyDescent="0.35">
      <c r="C1243" t="s">
        <v>173</v>
      </c>
      <c r="D1243" t="s">
        <v>183</v>
      </c>
      <c r="E1243" t="s">
        <v>76</v>
      </c>
      <c r="F1243" s="36">
        <v>1681</v>
      </c>
      <c r="G1243" s="16" t="str">
        <f>HYPERLINK("#'Data'!A8692", "Households having access to soap for washing hands broken down by households with at least one child (&lt;18 y.o.) on the admin of overall perc")</f>
        <v>Households having access to soap for washing hands broken down by households with at least one child (&lt;18 y.o.) on the admin of overall perc</v>
      </c>
    </row>
    <row r="1244" spans="3:7" x14ac:dyDescent="0.35">
      <c r="C1244" t="s">
        <v>173</v>
      </c>
      <c r="D1244" t="s">
        <v>183</v>
      </c>
      <c r="E1244" t="s">
        <v>63</v>
      </c>
      <c r="F1244" s="36">
        <v>1682</v>
      </c>
      <c r="G1244" s="16" t="str">
        <f>HYPERLINK("#'Data'!A8698", "Households having access to soap for washing hands broken down by displacement status of head of household on the admin of overall perc")</f>
        <v>Households having access to soap for washing hands broken down by displacement status of head of household on the admin of overall perc</v>
      </c>
    </row>
    <row r="1245" spans="3:7" x14ac:dyDescent="0.35">
      <c r="C1245" t="s">
        <v>173</v>
      </c>
      <c r="D1245" t="s">
        <v>183</v>
      </c>
      <c r="E1245" t="s">
        <v>64</v>
      </c>
      <c r="F1245" s="36">
        <v>1683</v>
      </c>
      <c r="G1245" s="16" t="str">
        <f>HYPERLINK("#'Data'!A8707", "Households having access to soap for washing hands broken down by IDP household on the admin of overall perc")</f>
        <v>Households having access to soap for washing hands broken down by IDP household on the admin of overall perc</v>
      </c>
    </row>
    <row r="1246" spans="3:7" x14ac:dyDescent="0.35">
      <c r="C1246" t="s">
        <v>173</v>
      </c>
      <c r="D1246" t="s">
        <v>183</v>
      </c>
      <c r="E1246" t="s">
        <v>65</v>
      </c>
      <c r="F1246" s="36">
        <v>1684</v>
      </c>
      <c r="G1246" s="16" t="str">
        <f>HYPERLINK("#'Data'!A8713", "Households having access to soap for washing hands broken down by proximity to frontline/border with Russian Federation on the admin of overall perc")</f>
        <v>Households having access to soap for washing hands broken down by proximity to frontline/border with Russian Federation on the admin of overall perc</v>
      </c>
    </row>
    <row r="1247" spans="3:7" x14ac:dyDescent="0.35">
      <c r="C1247" t="s">
        <v>173</v>
      </c>
      <c r="D1247" t="s">
        <v>183</v>
      </c>
      <c r="E1247" t="s">
        <v>77</v>
      </c>
      <c r="F1247" s="36">
        <v>1685</v>
      </c>
      <c r="G1247" s="16" t="str">
        <f>HYPERLINK("#'Data'!A8720", "Households having access to soap for washing hands broken down by caregiving status  on the admin of overall perc")</f>
        <v>Households having access to soap for washing hands broken down by caregiving status  on the admin of overall perc</v>
      </c>
    </row>
    <row r="1248" spans="3:7" x14ac:dyDescent="0.35">
      <c r="C1248" t="s">
        <v>173</v>
      </c>
      <c r="D1248" t="s">
        <v>184</v>
      </c>
      <c r="E1248" t="s">
        <v>36</v>
      </c>
      <c r="F1248" s="36">
        <v>1686</v>
      </c>
      <c r="G1248" s="16" t="str">
        <f>HYPERLINK("#'Data'!A8728", "Households by main toilet facility on the admin of overall perc")</f>
        <v>Households by main toilet facility on the admin of overall perc</v>
      </c>
    </row>
    <row r="1249" spans="3:7" x14ac:dyDescent="0.35">
      <c r="C1249" t="s">
        <v>173</v>
      </c>
      <c r="D1249" t="s">
        <v>184</v>
      </c>
      <c r="E1249" t="s">
        <v>57</v>
      </c>
      <c r="F1249" s="36">
        <v>1687</v>
      </c>
      <c r="G1249" s="16" t="str">
        <f>HYPERLINK("#'Data'!A8733", "Households by main toilet facility broken down by households with at least one member with a reported and/or registered disability on the admin of ove...")</f>
        <v>Households by main toilet facility broken down by households with at least one member with a reported and/or registered disability on the admin of ove...</v>
      </c>
    </row>
    <row r="1250" spans="3:7" x14ac:dyDescent="0.35">
      <c r="C1250" t="s">
        <v>173</v>
      </c>
      <c r="D1250" t="s">
        <v>184</v>
      </c>
      <c r="E1250" t="s">
        <v>58</v>
      </c>
      <c r="F1250" s="36">
        <v>1688</v>
      </c>
      <c r="G1250" s="16" t="str">
        <f>HYPERLINK("#'Data'!A8739", "Households by main toilet facility broken down by urbanity on the admin of overall perc")</f>
        <v>Households by main toilet facility broken down by urbanity on the admin of overall perc</v>
      </c>
    </row>
    <row r="1251" spans="3:7" x14ac:dyDescent="0.35">
      <c r="C1251" t="s">
        <v>173</v>
      </c>
      <c r="D1251" t="s">
        <v>184</v>
      </c>
      <c r="E1251" t="s">
        <v>59</v>
      </c>
      <c r="F1251" s="36">
        <v>1689</v>
      </c>
      <c r="G1251" s="16" t="str">
        <f>HYPERLINK("#'Data'!A8745", "Households by main toilet facility broken down by household size on the admin of overall perc")</f>
        <v>Households by main toilet facility broken down by household size on the admin of overall perc</v>
      </c>
    </row>
    <row r="1252" spans="3:7" x14ac:dyDescent="0.35">
      <c r="C1252" t="s">
        <v>173</v>
      </c>
      <c r="D1252" t="s">
        <v>184</v>
      </c>
      <c r="E1252" t="s">
        <v>60</v>
      </c>
      <c r="F1252" s="36">
        <v>1690</v>
      </c>
      <c r="G1252" s="16" t="str">
        <f>HYPERLINK("#'Data'!A8752", "Households by main toilet facility broken down by income per capita (quartiles) on the admin of overall perc")</f>
        <v>Households by main toilet facility broken down by income per capita (quartiles) on the admin of overall perc</v>
      </c>
    </row>
    <row r="1253" spans="3:7" x14ac:dyDescent="0.35">
      <c r="C1253" t="s">
        <v>173</v>
      </c>
      <c r="D1253" t="s">
        <v>184</v>
      </c>
      <c r="E1253" t="s">
        <v>61</v>
      </c>
      <c r="F1253" s="36">
        <v>1691</v>
      </c>
      <c r="G1253" s="16" t="str">
        <f>HYPERLINK("#'Data'!A8760", "Households by main toilet facility broken down by gender of head of household on the admin of overall perc")</f>
        <v>Households by main toilet facility broken down by gender of head of household on the admin of overall perc</v>
      </c>
    </row>
    <row r="1254" spans="3:7" x14ac:dyDescent="0.35">
      <c r="C1254" t="s">
        <v>173</v>
      </c>
      <c r="D1254" t="s">
        <v>184</v>
      </c>
      <c r="E1254" t="s">
        <v>62</v>
      </c>
      <c r="F1254" s="36">
        <v>1692</v>
      </c>
      <c r="G1254" s="16" t="str">
        <f>HYPERLINK("#'Data'!A8768", "Households by main toilet facility broken down by age of adults in the households on the admin of overall perc")</f>
        <v>Households by main toilet facility broken down by age of adults in the households on the admin of overall perc</v>
      </c>
    </row>
    <row r="1255" spans="3:7" x14ac:dyDescent="0.35">
      <c r="C1255" t="s">
        <v>173</v>
      </c>
      <c r="D1255" t="s">
        <v>184</v>
      </c>
      <c r="E1255" t="s">
        <v>76</v>
      </c>
      <c r="F1255" s="36">
        <v>1693</v>
      </c>
      <c r="G1255" s="16" t="str">
        <f>HYPERLINK("#'Data'!A8775", "Households by main toilet facility broken down by households with at least one child (&lt;18 y.o.) on the admin of overall perc")</f>
        <v>Households by main toilet facility broken down by households with at least one child (&lt;18 y.o.) on the admin of overall perc</v>
      </c>
    </row>
    <row r="1256" spans="3:7" x14ac:dyDescent="0.35">
      <c r="C1256" t="s">
        <v>173</v>
      </c>
      <c r="D1256" t="s">
        <v>184</v>
      </c>
      <c r="E1256" t="s">
        <v>63</v>
      </c>
      <c r="F1256" s="36">
        <v>1694</v>
      </c>
      <c r="G1256" s="16" t="str">
        <f>HYPERLINK("#'Data'!A8781", "Households by main toilet facility broken down by displacement status of head of household on the admin of overall perc")</f>
        <v>Households by main toilet facility broken down by displacement status of head of household on the admin of overall perc</v>
      </c>
    </row>
    <row r="1257" spans="3:7" x14ac:dyDescent="0.35">
      <c r="C1257" t="s">
        <v>173</v>
      </c>
      <c r="D1257" t="s">
        <v>184</v>
      </c>
      <c r="E1257" t="s">
        <v>64</v>
      </c>
      <c r="F1257" s="36">
        <v>1695</v>
      </c>
      <c r="G1257" s="16" t="str">
        <f>HYPERLINK("#'Data'!A8790", "Households by main toilet facility broken down by IDP household on the admin of overall perc")</f>
        <v>Households by main toilet facility broken down by IDP household on the admin of overall perc</v>
      </c>
    </row>
    <row r="1258" spans="3:7" x14ac:dyDescent="0.35">
      <c r="C1258" t="s">
        <v>173</v>
      </c>
      <c r="D1258" t="s">
        <v>184</v>
      </c>
      <c r="E1258" t="s">
        <v>65</v>
      </c>
      <c r="F1258" s="36">
        <v>1696</v>
      </c>
      <c r="G1258" s="16" t="str">
        <f>HYPERLINK("#'Data'!A8796", "Households by main toilet facility broken down by proximity to frontline/border with Russian Federation on the admin of overall perc")</f>
        <v>Households by main toilet facility broken down by proximity to frontline/border with Russian Federation on the admin of overall perc</v>
      </c>
    </row>
    <row r="1259" spans="3:7" x14ac:dyDescent="0.35">
      <c r="C1259" t="s">
        <v>173</v>
      </c>
      <c r="D1259" t="s">
        <v>184</v>
      </c>
      <c r="E1259" t="s">
        <v>77</v>
      </c>
      <c r="F1259" s="36">
        <v>1697</v>
      </c>
      <c r="G1259" s="16" t="str">
        <f>HYPERLINK("#'Data'!A8803", "Households by main toilet facility broken down by caregiving status  on the admin of overall perc")</f>
        <v>Households by main toilet facility broken down by caregiving status  on the admin of overall perc</v>
      </c>
    </row>
    <row r="1260" spans="3:7" x14ac:dyDescent="0.35">
      <c r="C1260" t="s">
        <v>173</v>
      </c>
      <c r="D1260" t="s">
        <v>185</v>
      </c>
      <c r="E1260" t="s">
        <v>36</v>
      </c>
      <c r="F1260" s="36">
        <v>1698</v>
      </c>
      <c r="G1260" s="16" t="str">
        <f>HYPERLINK("#'Data'!A8811", "Households sharing main toilet facility on the admin of overall perc")</f>
        <v>Households sharing main toilet facility on the admin of overall perc</v>
      </c>
    </row>
    <row r="1261" spans="3:7" x14ac:dyDescent="0.35">
      <c r="C1261" t="s">
        <v>173</v>
      </c>
      <c r="D1261" t="s">
        <v>185</v>
      </c>
      <c r="E1261" t="s">
        <v>57</v>
      </c>
      <c r="F1261" s="36">
        <v>1699</v>
      </c>
      <c r="G1261" s="16" t="str">
        <f>HYPERLINK("#'Data'!A8816", "Households sharing main toilet facility broken down by households with at least one member with a reported and/or registered disability on the admin o...")</f>
        <v>Households sharing main toilet facility broken down by households with at least one member with a reported and/or registered disability on the admin o...</v>
      </c>
    </row>
    <row r="1262" spans="3:7" x14ac:dyDescent="0.35">
      <c r="C1262" t="s">
        <v>173</v>
      </c>
      <c r="D1262" t="s">
        <v>185</v>
      </c>
      <c r="E1262" t="s">
        <v>58</v>
      </c>
      <c r="F1262" s="36">
        <v>1700</v>
      </c>
      <c r="G1262" s="16" t="str">
        <f>HYPERLINK("#'Data'!A8822", "Households sharing main toilet facility broken down by urbanity on the admin of overall perc")</f>
        <v>Households sharing main toilet facility broken down by urbanity on the admin of overall perc</v>
      </c>
    </row>
    <row r="1263" spans="3:7" x14ac:dyDescent="0.35">
      <c r="C1263" t="s">
        <v>173</v>
      </c>
      <c r="D1263" t="s">
        <v>185</v>
      </c>
      <c r="E1263" t="s">
        <v>59</v>
      </c>
      <c r="F1263" s="36">
        <v>1701</v>
      </c>
      <c r="G1263" s="16" t="str">
        <f>HYPERLINK("#'Data'!A8828", "Households sharing main toilet facility broken down by household size on the admin of overall perc")</f>
        <v>Households sharing main toilet facility broken down by household size on the admin of overall perc</v>
      </c>
    </row>
    <row r="1264" spans="3:7" x14ac:dyDescent="0.35">
      <c r="C1264" t="s">
        <v>173</v>
      </c>
      <c r="D1264" t="s">
        <v>185</v>
      </c>
      <c r="E1264" t="s">
        <v>60</v>
      </c>
      <c r="F1264" s="36">
        <v>1702</v>
      </c>
      <c r="G1264" s="16" t="str">
        <f>HYPERLINK("#'Data'!A8835", "Households sharing main toilet facility broken down by income per capita (quartiles) on the admin of overall perc")</f>
        <v>Households sharing main toilet facility broken down by income per capita (quartiles) on the admin of overall perc</v>
      </c>
    </row>
    <row r="1265" spans="3:7" x14ac:dyDescent="0.35">
      <c r="C1265" t="s">
        <v>173</v>
      </c>
      <c r="D1265" t="s">
        <v>185</v>
      </c>
      <c r="E1265" t="s">
        <v>61</v>
      </c>
      <c r="F1265" s="36">
        <v>1703</v>
      </c>
      <c r="G1265" s="16" t="str">
        <f>HYPERLINK("#'Data'!A8843", "Households sharing main toilet facility broken down by gender of head of household on the admin of overall perc")</f>
        <v>Households sharing main toilet facility broken down by gender of head of household on the admin of overall perc</v>
      </c>
    </row>
    <row r="1266" spans="3:7" x14ac:dyDescent="0.35">
      <c r="C1266" t="s">
        <v>173</v>
      </c>
      <c r="D1266" t="s">
        <v>185</v>
      </c>
      <c r="E1266" t="s">
        <v>62</v>
      </c>
      <c r="F1266" s="36">
        <v>1704</v>
      </c>
      <c r="G1266" s="16" t="str">
        <f>HYPERLINK("#'Data'!A8851", "Households sharing main toilet facility broken down by age of adults in the households on the admin of overall perc")</f>
        <v>Households sharing main toilet facility broken down by age of adults in the households on the admin of overall perc</v>
      </c>
    </row>
    <row r="1267" spans="3:7" x14ac:dyDescent="0.35">
      <c r="C1267" t="s">
        <v>173</v>
      </c>
      <c r="D1267" t="s">
        <v>185</v>
      </c>
      <c r="E1267" t="s">
        <v>76</v>
      </c>
      <c r="F1267" s="36">
        <v>1705</v>
      </c>
      <c r="G1267" s="16" t="str">
        <f>HYPERLINK("#'Data'!A8858", "Households sharing main toilet facility broken down by households with at least one child (&lt;18 y.o.) on the admin of overall perc")</f>
        <v>Households sharing main toilet facility broken down by households with at least one child (&lt;18 y.o.) on the admin of overall perc</v>
      </c>
    </row>
    <row r="1268" spans="3:7" x14ac:dyDescent="0.35">
      <c r="C1268" t="s">
        <v>173</v>
      </c>
      <c r="D1268" t="s">
        <v>185</v>
      </c>
      <c r="E1268" t="s">
        <v>63</v>
      </c>
      <c r="F1268" s="36">
        <v>1706</v>
      </c>
      <c r="G1268" s="16" t="str">
        <f>HYPERLINK("#'Data'!A8864", "Households sharing main toilet facility broken down by displacement status of head of household on the admin of overall perc")</f>
        <v>Households sharing main toilet facility broken down by displacement status of head of household on the admin of overall perc</v>
      </c>
    </row>
    <row r="1269" spans="3:7" x14ac:dyDescent="0.35">
      <c r="C1269" t="s">
        <v>173</v>
      </c>
      <c r="D1269" t="s">
        <v>185</v>
      </c>
      <c r="E1269" t="s">
        <v>64</v>
      </c>
      <c r="F1269" s="36">
        <v>1707</v>
      </c>
      <c r="G1269" s="16" t="str">
        <f>HYPERLINK("#'Data'!A8873", "Households sharing main toilet facility broken down by IDP household on the admin of overall perc")</f>
        <v>Households sharing main toilet facility broken down by IDP household on the admin of overall perc</v>
      </c>
    </row>
    <row r="1270" spans="3:7" x14ac:dyDescent="0.35">
      <c r="C1270" t="s">
        <v>173</v>
      </c>
      <c r="D1270" t="s">
        <v>185</v>
      </c>
      <c r="E1270" t="s">
        <v>65</v>
      </c>
      <c r="F1270" s="36">
        <v>1708</v>
      </c>
      <c r="G1270" s="16" t="str">
        <f>HYPERLINK("#'Data'!A8879", "Households sharing main toilet facility broken down by proximity to frontline/border with Russian Federation on the admin of overall perc")</f>
        <v>Households sharing main toilet facility broken down by proximity to frontline/border with Russian Federation on the admin of overall perc</v>
      </c>
    </row>
    <row r="1271" spans="3:7" x14ac:dyDescent="0.35">
      <c r="C1271" t="s">
        <v>173</v>
      </c>
      <c r="D1271" t="s">
        <v>185</v>
      </c>
      <c r="E1271" t="s">
        <v>77</v>
      </c>
      <c r="F1271" s="36">
        <v>1709</v>
      </c>
      <c r="G1271" s="16" t="str">
        <f>HYPERLINK("#'Data'!A8886", "Households sharing main toilet facility broken down by caregiving status  on the admin of overall perc")</f>
        <v>Households sharing main toilet facility broken down by caregiving status  on the admin of overall perc</v>
      </c>
    </row>
    <row r="1272" spans="3:7" x14ac:dyDescent="0.35">
      <c r="C1272" t="s">
        <v>173</v>
      </c>
      <c r="D1272" t="s">
        <v>186</v>
      </c>
      <c r="E1272" t="s">
        <v>36</v>
      </c>
      <c r="F1272" s="36">
        <v>1710</v>
      </c>
      <c r="G1272" s="16" t="str">
        <f>HYPERLINK("#'Data'!A8894", "Households sharing main toilet facility by number of households sharing that facility on the admin of overall mean")</f>
        <v>Households sharing main toilet facility by number of households sharing that facility on the admin of overall mean</v>
      </c>
    </row>
    <row r="1273" spans="3:7" x14ac:dyDescent="0.35">
      <c r="C1273" t="s">
        <v>173</v>
      </c>
      <c r="D1273" t="s">
        <v>186</v>
      </c>
      <c r="E1273" t="s">
        <v>57</v>
      </c>
      <c r="F1273" s="36">
        <v>1711</v>
      </c>
      <c r="G1273" s="16" t="str">
        <f>HYPERLINK("#'Data'!A8899", "Households sharing main toilet facility by number of households sharing that facility broken down by households with at least one member with a report...")</f>
        <v>Households sharing main toilet facility by number of households sharing that facility broken down by households with at least one member with a report...</v>
      </c>
    </row>
    <row r="1274" spans="3:7" x14ac:dyDescent="0.35">
      <c r="C1274" t="s">
        <v>173</v>
      </c>
      <c r="D1274" t="s">
        <v>186</v>
      </c>
      <c r="E1274" t="s">
        <v>58</v>
      </c>
      <c r="F1274" s="36">
        <v>1712</v>
      </c>
      <c r="G1274" s="16" t="str">
        <f>HYPERLINK("#'Data'!A8905", "Households sharing main toilet facility by number of households sharing that facility broken down by urbanity on the admin of overall mean")</f>
        <v>Households sharing main toilet facility by number of households sharing that facility broken down by urbanity on the admin of overall mean</v>
      </c>
    </row>
    <row r="1275" spans="3:7" x14ac:dyDescent="0.35">
      <c r="C1275" t="s">
        <v>173</v>
      </c>
      <c r="D1275" t="s">
        <v>186</v>
      </c>
      <c r="E1275" t="s">
        <v>59</v>
      </c>
      <c r="F1275" s="36">
        <v>1713</v>
      </c>
      <c r="G1275" s="16" t="str">
        <f>HYPERLINK("#'Data'!A8911", "Households sharing main toilet facility by number of households sharing that facility broken down by household size on the admin of overall mean")</f>
        <v>Households sharing main toilet facility by number of households sharing that facility broken down by household size on the admin of overall mean</v>
      </c>
    </row>
    <row r="1276" spans="3:7" x14ac:dyDescent="0.35">
      <c r="C1276" t="s">
        <v>173</v>
      </c>
      <c r="D1276" t="s">
        <v>186</v>
      </c>
      <c r="E1276" t="s">
        <v>60</v>
      </c>
      <c r="F1276" s="36">
        <v>1714</v>
      </c>
      <c r="G1276" s="16" t="str">
        <f>HYPERLINK("#'Data'!A8918", "Households sharing main toilet facility by number of households sharing that facility broken down by income per capita (quartiles) on the admin of ove...")</f>
        <v>Households sharing main toilet facility by number of households sharing that facility broken down by income per capita (quartiles) on the admin of ove...</v>
      </c>
    </row>
    <row r="1277" spans="3:7" x14ac:dyDescent="0.35">
      <c r="C1277" t="s">
        <v>173</v>
      </c>
      <c r="D1277" t="s">
        <v>186</v>
      </c>
      <c r="E1277" t="s">
        <v>61</v>
      </c>
      <c r="F1277" s="36">
        <v>1715</v>
      </c>
      <c r="G1277" s="16" t="str">
        <f>HYPERLINK("#'Data'!A8926", "Households sharing main toilet facility by number of households sharing that facility broken down by gender of head of household on the admin of overa...")</f>
        <v>Households sharing main toilet facility by number of households sharing that facility broken down by gender of head of household on the admin of overa...</v>
      </c>
    </row>
    <row r="1278" spans="3:7" x14ac:dyDescent="0.35">
      <c r="C1278" t="s">
        <v>173</v>
      </c>
      <c r="D1278" t="s">
        <v>186</v>
      </c>
      <c r="E1278" t="s">
        <v>62</v>
      </c>
      <c r="F1278" s="36">
        <v>1716</v>
      </c>
      <c r="G1278" s="16" t="str">
        <f>HYPERLINK("#'Data'!A8933", "Households sharing main toilet facility by number of households sharing that facility broken down by age of adults in the households on the admin of o...")</f>
        <v>Households sharing main toilet facility by number of households sharing that facility broken down by age of adults in the households on the admin of o...</v>
      </c>
    </row>
    <row r="1279" spans="3:7" x14ac:dyDescent="0.35">
      <c r="C1279" t="s">
        <v>173</v>
      </c>
      <c r="D1279" t="s">
        <v>186</v>
      </c>
      <c r="E1279" t="s">
        <v>76</v>
      </c>
      <c r="F1279" s="36">
        <v>1717</v>
      </c>
      <c r="G1279" s="16" t="str">
        <f>HYPERLINK("#'Data'!A8940", "Households sharing main toilet facility by number of households sharing that facility broken down by households with at least one child (&lt;18 y.o.) on ...")</f>
        <v>Households sharing main toilet facility by number of households sharing that facility broken down by households with at least one child (&lt;18 y.o.) on ...</v>
      </c>
    </row>
    <row r="1280" spans="3:7" x14ac:dyDescent="0.35">
      <c r="C1280" t="s">
        <v>173</v>
      </c>
      <c r="D1280" t="s">
        <v>186</v>
      </c>
      <c r="E1280" t="s">
        <v>63</v>
      </c>
      <c r="F1280" s="36">
        <v>1718</v>
      </c>
      <c r="G1280" s="16" t="str">
        <f>HYPERLINK("#'Data'!A8946", "Households sharing main toilet facility by number of households sharing that facility broken down by displacement status of head of household on the a...")</f>
        <v>Households sharing main toilet facility by number of households sharing that facility broken down by displacement status of head of household on the a...</v>
      </c>
    </row>
    <row r="1281" spans="3:7" x14ac:dyDescent="0.35">
      <c r="C1281" t="s">
        <v>173</v>
      </c>
      <c r="D1281" t="s">
        <v>186</v>
      </c>
      <c r="E1281" t="s">
        <v>64</v>
      </c>
      <c r="F1281" s="36">
        <v>1719</v>
      </c>
      <c r="G1281" s="16" t="str">
        <f>HYPERLINK("#'Data'!A8954", "Households sharing main toilet facility by number of households sharing that facility broken down by IDP household on the admin of overall mean")</f>
        <v>Households sharing main toilet facility by number of households sharing that facility broken down by IDP household on the admin of overall mean</v>
      </c>
    </row>
    <row r="1282" spans="3:7" x14ac:dyDescent="0.35">
      <c r="C1282" t="s">
        <v>173</v>
      </c>
      <c r="D1282" t="s">
        <v>186</v>
      </c>
      <c r="E1282" t="s">
        <v>65</v>
      </c>
      <c r="F1282" s="36">
        <v>1720</v>
      </c>
      <c r="G1282" s="16" t="str">
        <f>HYPERLINK("#'Data'!A8960", "Households sharing main toilet facility by number of households sharing that facility broken down by proximity to frontline/border with Russian Federa...")</f>
        <v>Households sharing main toilet facility by number of households sharing that facility broken down by proximity to frontline/border with Russian Federa...</v>
      </c>
    </row>
    <row r="1283" spans="3:7" x14ac:dyDescent="0.35">
      <c r="C1283" t="s">
        <v>173</v>
      </c>
      <c r="D1283" t="s">
        <v>186</v>
      </c>
      <c r="E1283" t="s">
        <v>77</v>
      </c>
      <c r="F1283" s="36">
        <v>1721</v>
      </c>
      <c r="G1283" s="16" t="str">
        <f>HYPERLINK("#'Data'!A8967", "Households sharing main toilet facility by number of households sharing that facility broken down by caregiving status  on the admin of overall mean")</f>
        <v>Households sharing main toilet facility by number of households sharing that facility broken down by caregiving status  on the admin of overall mean</v>
      </c>
    </row>
    <row r="1284" spans="3:7" x14ac:dyDescent="0.35">
      <c r="C1284" t="s">
        <v>173</v>
      </c>
      <c r="D1284" t="s">
        <v>187</v>
      </c>
      <c r="E1284" t="s">
        <v>36</v>
      </c>
      <c r="F1284" s="36">
        <v>1722</v>
      </c>
      <c r="G1284" s="16" t="str">
        <f>HYPERLINK("#'Data'!A8974", "Households facing issues with pumping off sewage/septic tank in the past 12 months, by issue on the admin of overall perc")</f>
        <v>Households facing issues with pumping off sewage/septic tank in the past 12 months, by issue on the admin of overall perc</v>
      </c>
    </row>
    <row r="1285" spans="3:7" x14ac:dyDescent="0.35">
      <c r="C1285" t="s">
        <v>173</v>
      </c>
      <c r="D1285" t="s">
        <v>187</v>
      </c>
      <c r="E1285" t="s">
        <v>57</v>
      </c>
      <c r="F1285" s="36">
        <v>1723</v>
      </c>
      <c r="G1285" s="16" t="str">
        <f>HYPERLINK("#'Data'!A8979", "Households facing issues with pumping off sewage/septic tank in the past 12 months, by issue broken down by households with at least one member with a...")</f>
        <v>Households facing issues with pumping off sewage/septic tank in the past 12 months, by issue broken down by households with at least one member with a...</v>
      </c>
    </row>
    <row r="1286" spans="3:7" x14ac:dyDescent="0.35">
      <c r="C1286" t="s">
        <v>173</v>
      </c>
      <c r="D1286" t="s">
        <v>187</v>
      </c>
      <c r="E1286" t="s">
        <v>58</v>
      </c>
      <c r="F1286" s="36">
        <v>1724</v>
      </c>
      <c r="G1286" s="16" t="str">
        <f>HYPERLINK("#'Data'!A8985", "Households facing issues with pumping off sewage/septic tank in the past 12 months, by issue broken down by urbanity on the admin of overall perc")</f>
        <v>Households facing issues with pumping off sewage/septic tank in the past 12 months, by issue broken down by urbanity on the admin of overall perc</v>
      </c>
    </row>
    <row r="1287" spans="3:7" x14ac:dyDescent="0.35">
      <c r="C1287" t="s">
        <v>173</v>
      </c>
      <c r="D1287" t="s">
        <v>187</v>
      </c>
      <c r="E1287" t="s">
        <v>59</v>
      </c>
      <c r="F1287" s="36">
        <v>1725</v>
      </c>
      <c r="G1287" s="16" t="str">
        <f>HYPERLINK("#'Data'!A8991", "Households facing issues with pumping off sewage/septic tank in the past 12 months, by issue broken down by household size on the admin of overall per...")</f>
        <v>Households facing issues with pumping off sewage/septic tank in the past 12 months, by issue broken down by household size on the admin of overall per...</v>
      </c>
    </row>
    <row r="1288" spans="3:7" x14ac:dyDescent="0.35">
      <c r="C1288" t="s">
        <v>173</v>
      </c>
      <c r="D1288" t="s">
        <v>187</v>
      </c>
      <c r="E1288" t="s">
        <v>60</v>
      </c>
      <c r="F1288" s="36">
        <v>1726</v>
      </c>
      <c r="G1288" s="16" t="str">
        <f>HYPERLINK("#'Data'!A8998", "Households facing issues with pumping off sewage/septic tank in the past 12 months, by issue broken down by income per capita (quartiles) on the admin...")</f>
        <v>Households facing issues with pumping off sewage/septic tank in the past 12 months, by issue broken down by income per capita (quartiles) on the admin...</v>
      </c>
    </row>
    <row r="1289" spans="3:7" x14ac:dyDescent="0.35">
      <c r="C1289" t="s">
        <v>173</v>
      </c>
      <c r="D1289" t="s">
        <v>187</v>
      </c>
      <c r="E1289" t="s">
        <v>61</v>
      </c>
      <c r="F1289" s="36">
        <v>1727</v>
      </c>
      <c r="G1289" s="16" t="str">
        <f>HYPERLINK("#'Data'!A9006", "Households facing issues with pumping off sewage/septic tank in the past 12 months, by issue broken down by gender of head of household on the admin o...")</f>
        <v>Households facing issues with pumping off sewage/septic tank in the past 12 months, by issue broken down by gender of head of household on the admin o...</v>
      </c>
    </row>
    <row r="1290" spans="3:7" x14ac:dyDescent="0.35">
      <c r="C1290" t="s">
        <v>173</v>
      </c>
      <c r="D1290" t="s">
        <v>187</v>
      </c>
      <c r="E1290" t="s">
        <v>62</v>
      </c>
      <c r="F1290" s="36">
        <v>1728</v>
      </c>
      <c r="G1290" s="16" t="str">
        <f>HYPERLINK("#'Data'!A9014", "Households facing issues with pumping off sewage/septic tank in the past 12 months, by issue broken down by age of adults in the households on the adm...")</f>
        <v>Households facing issues with pumping off sewage/septic tank in the past 12 months, by issue broken down by age of adults in the households on the adm...</v>
      </c>
    </row>
    <row r="1291" spans="3:7" x14ac:dyDescent="0.35">
      <c r="C1291" t="s">
        <v>173</v>
      </c>
      <c r="D1291" t="s">
        <v>187</v>
      </c>
      <c r="E1291" t="s">
        <v>76</v>
      </c>
      <c r="F1291" s="36">
        <v>1729</v>
      </c>
      <c r="G1291" s="16" t="str">
        <f>HYPERLINK("#'Data'!A9021", "Households facing issues with pumping off sewage/septic tank in the past 12 months, by issue broken down by households with at least one child (&lt;18 y....")</f>
        <v>Households facing issues with pumping off sewage/septic tank in the past 12 months, by issue broken down by households with at least one child (&lt;18 y....</v>
      </c>
    </row>
    <row r="1292" spans="3:7" x14ac:dyDescent="0.35">
      <c r="C1292" t="s">
        <v>173</v>
      </c>
      <c r="D1292" t="s">
        <v>187</v>
      </c>
      <c r="E1292" t="s">
        <v>63</v>
      </c>
      <c r="F1292" s="36">
        <v>1730</v>
      </c>
      <c r="G1292" s="16" t="str">
        <f>HYPERLINK("#'Data'!A9027", "Households facing issues with pumping off sewage/septic tank in the past 12 months, by issue broken down by displacement status of head of household o...")</f>
        <v>Households facing issues with pumping off sewage/septic tank in the past 12 months, by issue broken down by displacement status of head of household o...</v>
      </c>
    </row>
    <row r="1293" spans="3:7" x14ac:dyDescent="0.35">
      <c r="C1293" t="s">
        <v>173</v>
      </c>
      <c r="D1293" t="s">
        <v>187</v>
      </c>
      <c r="E1293" t="s">
        <v>64</v>
      </c>
      <c r="F1293" s="36">
        <v>1731</v>
      </c>
      <c r="G1293" s="16" t="str">
        <f>HYPERLINK("#'Data'!A9036", "Households facing issues with pumping off sewage/septic tank in the past 12 months, by issue broken down by IDP household on the admin of overall perc")</f>
        <v>Households facing issues with pumping off sewage/septic tank in the past 12 months, by issue broken down by IDP household on the admin of overall perc</v>
      </c>
    </row>
    <row r="1294" spans="3:7" x14ac:dyDescent="0.35">
      <c r="C1294" t="s">
        <v>173</v>
      </c>
      <c r="D1294" t="s">
        <v>187</v>
      </c>
      <c r="E1294" t="s">
        <v>65</v>
      </c>
      <c r="F1294" s="36">
        <v>1732</v>
      </c>
      <c r="G1294" s="16" t="str">
        <f>HYPERLINK("#'Data'!A9042", "Households facing issues with pumping off sewage/septic tank in the past 12 months, by issue broken down by proximity to frontline/border with Russian...")</f>
        <v>Households facing issues with pumping off sewage/septic tank in the past 12 months, by issue broken down by proximity to frontline/border with Russian...</v>
      </c>
    </row>
    <row r="1295" spans="3:7" x14ac:dyDescent="0.35">
      <c r="C1295" t="s">
        <v>173</v>
      </c>
      <c r="D1295" t="s">
        <v>187</v>
      </c>
      <c r="E1295" t="s">
        <v>77</v>
      </c>
      <c r="F1295" s="36">
        <v>1733</v>
      </c>
      <c r="G1295" s="16" t="str">
        <f>HYPERLINK("#'Data'!A9049", "Households facing issues with pumping off sewage/septic tank in the past 12 months, by issue broken down by caregiving status  on the admin of overall...")</f>
        <v>Households facing issues with pumping off sewage/septic tank in the past 12 months, by issue broken down by caregiving status  on the admin of overall...</v>
      </c>
    </row>
    <row r="1296" spans="3:7" x14ac:dyDescent="0.35">
      <c r="C1296" t="s">
        <v>173</v>
      </c>
      <c r="D1296" t="s">
        <v>188</v>
      </c>
      <c r="E1296" t="s">
        <v>36</v>
      </c>
      <c r="F1296" s="36">
        <v>1734</v>
      </c>
      <c r="G1296" s="16" t="str">
        <f>HYPERLINK("#'Data'!A9057", "Percentage of households who had to go without washing hands after dirty activities in the past 4 weeks, by frequency on the admin of overall perc")</f>
        <v>Percentage of households who had to go without washing hands after dirty activities in the past 4 weeks, by frequency on the admin of overall perc</v>
      </c>
    </row>
    <row r="1297" spans="3:7" x14ac:dyDescent="0.35">
      <c r="C1297" t="s">
        <v>173</v>
      </c>
      <c r="D1297" t="s">
        <v>188</v>
      </c>
      <c r="E1297" t="s">
        <v>57</v>
      </c>
      <c r="F1297" s="36">
        <v>1735</v>
      </c>
      <c r="G1297" s="16" t="str">
        <f>HYPERLINK("#'Data'!A9062", "Percentage of households who had to go without washing hands after dirty activities in the past 4 weeks, by frequency broken down by households with a...")</f>
        <v>Percentage of households who had to go without washing hands after dirty activities in the past 4 weeks, by frequency broken down by households with a...</v>
      </c>
    </row>
    <row r="1298" spans="3:7" x14ac:dyDescent="0.35">
      <c r="C1298" t="s">
        <v>173</v>
      </c>
      <c r="D1298" t="s">
        <v>188</v>
      </c>
      <c r="E1298" t="s">
        <v>58</v>
      </c>
      <c r="F1298" s="36">
        <v>1736</v>
      </c>
      <c r="G1298" s="16" t="str">
        <f>HYPERLINK("#'Data'!A9068", "Percentage of households who had to go without washing hands after dirty activities in the past 4 weeks, by frequency broken down by urbanity on the a...")</f>
        <v>Percentage of households who had to go without washing hands after dirty activities in the past 4 weeks, by frequency broken down by urbanity on the a...</v>
      </c>
    </row>
    <row r="1299" spans="3:7" x14ac:dyDescent="0.35">
      <c r="C1299" t="s">
        <v>173</v>
      </c>
      <c r="D1299" t="s">
        <v>188</v>
      </c>
      <c r="E1299" t="s">
        <v>59</v>
      </c>
      <c r="F1299" s="36">
        <v>1737</v>
      </c>
      <c r="G1299" s="16" t="str">
        <f>HYPERLINK("#'Data'!A9074", "Percentage of households who had to go without washing hands after dirty activities in the past 4 weeks, by frequency broken down by household size on...")</f>
        <v>Percentage of households who had to go without washing hands after dirty activities in the past 4 weeks, by frequency broken down by household size on...</v>
      </c>
    </row>
    <row r="1300" spans="3:7" x14ac:dyDescent="0.35">
      <c r="C1300" t="s">
        <v>173</v>
      </c>
      <c r="D1300" t="s">
        <v>188</v>
      </c>
      <c r="E1300" t="s">
        <v>60</v>
      </c>
      <c r="F1300" s="36">
        <v>1738</v>
      </c>
      <c r="G1300" s="16" t="str">
        <f>HYPERLINK("#'Data'!A9081", "Percentage of households who had to go without washing hands after dirty activities in the past 4 weeks, by frequency broken down by income per capita...")</f>
        <v>Percentage of households who had to go without washing hands after dirty activities in the past 4 weeks, by frequency broken down by income per capita...</v>
      </c>
    </row>
    <row r="1301" spans="3:7" x14ac:dyDescent="0.35">
      <c r="C1301" t="s">
        <v>173</v>
      </c>
      <c r="D1301" t="s">
        <v>188</v>
      </c>
      <c r="E1301" t="s">
        <v>61</v>
      </c>
      <c r="F1301" s="36">
        <v>1739</v>
      </c>
      <c r="G1301" s="16" t="str">
        <f>HYPERLINK("#'Data'!A9089", "Percentage of households who had to go without washing hands after dirty activities in the past 4 weeks, by frequency broken down by gender of head of...")</f>
        <v>Percentage of households who had to go without washing hands after dirty activities in the past 4 weeks, by frequency broken down by gender of head of...</v>
      </c>
    </row>
    <row r="1302" spans="3:7" x14ac:dyDescent="0.35">
      <c r="C1302" t="s">
        <v>173</v>
      </c>
      <c r="D1302" t="s">
        <v>188</v>
      </c>
      <c r="E1302" t="s">
        <v>62</v>
      </c>
      <c r="F1302" s="36">
        <v>1740</v>
      </c>
      <c r="G1302" s="16" t="str">
        <f>HYPERLINK("#'Data'!A9097", "Percentage of households who had to go without washing hands after dirty activities in the past 4 weeks, by frequency broken down by age of adults in ...")</f>
        <v>Percentage of households who had to go without washing hands after dirty activities in the past 4 weeks, by frequency broken down by age of adults in ...</v>
      </c>
    </row>
    <row r="1303" spans="3:7" x14ac:dyDescent="0.35">
      <c r="C1303" t="s">
        <v>173</v>
      </c>
      <c r="D1303" t="s">
        <v>188</v>
      </c>
      <c r="E1303" t="s">
        <v>76</v>
      </c>
      <c r="F1303" s="36">
        <v>1741</v>
      </c>
      <c r="G1303" s="16" t="str">
        <f>HYPERLINK("#'Data'!A9104", "Percentage of households who had to go without washing hands after dirty activities in the past 4 weeks, by frequency broken down by households with a...")</f>
        <v>Percentage of households who had to go without washing hands after dirty activities in the past 4 weeks, by frequency broken down by households with a...</v>
      </c>
    </row>
    <row r="1304" spans="3:7" x14ac:dyDescent="0.35">
      <c r="C1304" t="s">
        <v>173</v>
      </c>
      <c r="D1304" t="s">
        <v>188</v>
      </c>
      <c r="E1304" t="s">
        <v>63</v>
      </c>
      <c r="F1304" s="36">
        <v>1742</v>
      </c>
      <c r="G1304" s="16" t="str">
        <f>HYPERLINK("#'Data'!A9110", "Percentage of households who had to go without washing hands after dirty activities in the past 4 weeks, by frequency broken down by displacement stat...")</f>
        <v>Percentage of households who had to go without washing hands after dirty activities in the past 4 weeks, by frequency broken down by displacement stat...</v>
      </c>
    </row>
    <row r="1305" spans="3:7" x14ac:dyDescent="0.35">
      <c r="C1305" t="s">
        <v>173</v>
      </c>
      <c r="D1305" t="s">
        <v>188</v>
      </c>
      <c r="E1305" t="s">
        <v>64</v>
      </c>
      <c r="F1305" s="36">
        <v>1743</v>
      </c>
      <c r="G1305" s="16" t="str">
        <f>HYPERLINK("#'Data'!A9119", "Percentage of households who had to go without washing hands after dirty activities in the past 4 weeks, by frequency broken down by IDP household on ...")</f>
        <v>Percentage of households who had to go without washing hands after dirty activities in the past 4 weeks, by frequency broken down by IDP household on ...</v>
      </c>
    </row>
    <row r="1306" spans="3:7" x14ac:dyDescent="0.35">
      <c r="C1306" t="s">
        <v>173</v>
      </c>
      <c r="D1306" t="s">
        <v>188</v>
      </c>
      <c r="E1306" t="s">
        <v>65</v>
      </c>
      <c r="F1306" s="36">
        <v>1744</v>
      </c>
      <c r="G1306" s="16" t="str">
        <f>HYPERLINK("#'Data'!A9125", "Percentage of households who had to go without washing hands after dirty activities in the past 4 weeks, by frequency broken down by proximity to fron...")</f>
        <v>Percentage of households who had to go without washing hands after dirty activities in the past 4 weeks, by frequency broken down by proximity to fron...</v>
      </c>
    </row>
    <row r="1307" spans="3:7" x14ac:dyDescent="0.35">
      <c r="C1307" t="s">
        <v>173</v>
      </c>
      <c r="D1307" t="s">
        <v>188</v>
      </c>
      <c r="E1307" t="s">
        <v>77</v>
      </c>
      <c r="F1307" s="36">
        <v>1745</v>
      </c>
      <c r="G1307" s="16" t="str">
        <f>HYPERLINK("#'Data'!A9132", "Percentage of households who had to go without washing hands after dirty activities in the past 4 weeks, by frequency broken down by caregiving status...")</f>
        <v>Percentage of households who had to go without washing hands after dirty activities in the past 4 weeks, by frequency broken down by caregiving status...</v>
      </c>
    </row>
    <row r="1308" spans="3:7" x14ac:dyDescent="0.35">
      <c r="C1308" t="s">
        <v>173</v>
      </c>
      <c r="D1308" t="s">
        <v>189</v>
      </c>
      <c r="E1308" t="s">
        <v>36</v>
      </c>
      <c r="F1308" s="36">
        <v>1746</v>
      </c>
      <c r="G1308" s="16" t="str">
        <f>HYPERLINK("#'Data'!A9140", "Percentage of households who worried about not having enough water to cover all needs in the past 4 weeks, by frequency on the admin of overall perc")</f>
        <v>Percentage of households who worried about not having enough water to cover all needs in the past 4 weeks, by frequency on the admin of overall perc</v>
      </c>
    </row>
    <row r="1309" spans="3:7" x14ac:dyDescent="0.35">
      <c r="C1309" t="s">
        <v>173</v>
      </c>
      <c r="D1309" t="s">
        <v>189</v>
      </c>
      <c r="E1309" t="s">
        <v>57</v>
      </c>
      <c r="F1309" s="36">
        <v>1747</v>
      </c>
      <c r="G1309" s="16" t="str">
        <f>HYPERLINK("#'Data'!A9145", "Percentage of households who worried about not having enough water to cover all needs in the past 4 weeks, by frequency broken down by households with...")</f>
        <v>Percentage of households who worried about not having enough water to cover all needs in the past 4 weeks, by frequency broken down by households with...</v>
      </c>
    </row>
    <row r="1310" spans="3:7" x14ac:dyDescent="0.35">
      <c r="C1310" t="s">
        <v>173</v>
      </c>
      <c r="D1310" t="s">
        <v>189</v>
      </c>
      <c r="E1310" t="s">
        <v>58</v>
      </c>
      <c r="F1310" s="36">
        <v>1748</v>
      </c>
      <c r="G1310" s="16" t="str">
        <f>HYPERLINK("#'Data'!A9151", "Percentage of households who worried about not having enough water to cover all needs in the past 4 weeks, by frequency broken down by urbanity on the...")</f>
        <v>Percentage of households who worried about not having enough water to cover all needs in the past 4 weeks, by frequency broken down by urbanity on the...</v>
      </c>
    </row>
    <row r="1311" spans="3:7" x14ac:dyDescent="0.35">
      <c r="C1311" t="s">
        <v>173</v>
      </c>
      <c r="D1311" t="s">
        <v>189</v>
      </c>
      <c r="E1311" t="s">
        <v>59</v>
      </c>
      <c r="F1311" s="36">
        <v>1749</v>
      </c>
      <c r="G1311" s="16" t="str">
        <f>HYPERLINK("#'Data'!A9157", "Percentage of households who worried about not having enough water to cover all needs in the past 4 weeks, by frequency broken down by household size ...")</f>
        <v>Percentage of households who worried about not having enough water to cover all needs in the past 4 weeks, by frequency broken down by household size ...</v>
      </c>
    </row>
    <row r="1312" spans="3:7" x14ac:dyDescent="0.35">
      <c r="C1312" t="s">
        <v>173</v>
      </c>
      <c r="D1312" t="s">
        <v>189</v>
      </c>
      <c r="E1312" t="s">
        <v>60</v>
      </c>
      <c r="F1312" s="36">
        <v>1750</v>
      </c>
      <c r="G1312" s="16" t="str">
        <f>HYPERLINK("#'Data'!A9164", "Percentage of households who worried about not having enough water to cover all needs in the past 4 weeks, by frequency broken down by income per capi...")</f>
        <v>Percentage of households who worried about not having enough water to cover all needs in the past 4 weeks, by frequency broken down by income per capi...</v>
      </c>
    </row>
    <row r="1313" spans="3:7" x14ac:dyDescent="0.35">
      <c r="C1313" t="s">
        <v>173</v>
      </c>
      <c r="D1313" t="s">
        <v>189</v>
      </c>
      <c r="E1313" t="s">
        <v>61</v>
      </c>
      <c r="F1313" s="36">
        <v>1751</v>
      </c>
      <c r="G1313" s="16" t="str">
        <f>HYPERLINK("#'Data'!A9172", "Percentage of households who worried about not having enough water to cover all needs in the past 4 weeks, by frequency broken down by gender of head ...")</f>
        <v>Percentage of households who worried about not having enough water to cover all needs in the past 4 weeks, by frequency broken down by gender of head ...</v>
      </c>
    </row>
    <row r="1314" spans="3:7" x14ac:dyDescent="0.35">
      <c r="C1314" t="s">
        <v>173</v>
      </c>
      <c r="D1314" t="s">
        <v>189</v>
      </c>
      <c r="E1314" t="s">
        <v>62</v>
      </c>
      <c r="F1314" s="36">
        <v>1752</v>
      </c>
      <c r="G1314" s="16" t="str">
        <f>HYPERLINK("#'Data'!A9180", "Percentage of households who worried about not having enough water to cover all needs in the past 4 weeks, by frequency broken down by age of adults i...")</f>
        <v>Percentage of households who worried about not having enough water to cover all needs in the past 4 weeks, by frequency broken down by age of adults i...</v>
      </c>
    </row>
    <row r="1315" spans="3:7" x14ac:dyDescent="0.35">
      <c r="C1315" t="s">
        <v>173</v>
      </c>
      <c r="D1315" t="s">
        <v>189</v>
      </c>
      <c r="E1315" t="s">
        <v>76</v>
      </c>
      <c r="F1315" s="36">
        <v>1753</v>
      </c>
      <c r="G1315" s="16" t="str">
        <f>HYPERLINK("#'Data'!A9187", "Percentage of households who worried about not having enough water to cover all needs in the past 4 weeks, by frequency broken down by households with...")</f>
        <v>Percentage of households who worried about not having enough water to cover all needs in the past 4 weeks, by frequency broken down by households with...</v>
      </c>
    </row>
    <row r="1316" spans="3:7" x14ac:dyDescent="0.35">
      <c r="C1316" t="s">
        <v>173</v>
      </c>
      <c r="D1316" t="s">
        <v>189</v>
      </c>
      <c r="E1316" t="s">
        <v>63</v>
      </c>
      <c r="F1316" s="36">
        <v>1754</v>
      </c>
      <c r="G1316" s="16" t="str">
        <f>HYPERLINK("#'Data'!A9193", "Percentage of households who worried about not having enough water to cover all needs in the past 4 weeks, by frequency broken down by displacement st...")</f>
        <v>Percentage of households who worried about not having enough water to cover all needs in the past 4 weeks, by frequency broken down by displacement st...</v>
      </c>
    </row>
    <row r="1317" spans="3:7" x14ac:dyDescent="0.35">
      <c r="C1317" t="s">
        <v>173</v>
      </c>
      <c r="D1317" t="s">
        <v>189</v>
      </c>
      <c r="E1317" t="s">
        <v>64</v>
      </c>
      <c r="F1317" s="36">
        <v>1755</v>
      </c>
      <c r="G1317" s="16" t="str">
        <f>HYPERLINK("#'Data'!A9202", "Percentage of households who worried about not having enough water to cover all needs in the past 4 weeks, by frequency broken down by IDP household o...")</f>
        <v>Percentage of households who worried about not having enough water to cover all needs in the past 4 weeks, by frequency broken down by IDP household o...</v>
      </c>
    </row>
    <row r="1318" spans="3:7" x14ac:dyDescent="0.35">
      <c r="C1318" t="s">
        <v>173</v>
      </c>
      <c r="D1318" t="s">
        <v>189</v>
      </c>
      <c r="E1318" t="s">
        <v>65</v>
      </c>
      <c r="F1318" s="36">
        <v>1756</v>
      </c>
      <c r="G1318" s="16" t="str">
        <f>HYPERLINK("#'Data'!A9208", "Percentage of households who worried about not having enough water to cover all needs in the past 4 weeks, by frequency broken down by proximity to fr...")</f>
        <v>Percentage of households who worried about not having enough water to cover all needs in the past 4 weeks, by frequency broken down by proximity to fr...</v>
      </c>
    </row>
    <row r="1319" spans="3:7" x14ac:dyDescent="0.35">
      <c r="C1319" t="s">
        <v>173</v>
      </c>
      <c r="D1319" t="s">
        <v>189</v>
      </c>
      <c r="E1319" t="s">
        <v>77</v>
      </c>
      <c r="F1319" s="36">
        <v>1757</v>
      </c>
      <c r="G1319" s="16" t="str">
        <f>HYPERLINK("#'Data'!A9215", "Percentage of households who worried about not having enough water to cover all needs in the past 4 weeks, by frequency broken down by caregiving stat...")</f>
        <v>Percentage of households who worried about not having enough water to cover all needs in the past 4 weeks, by frequency broken down by caregiving stat...</v>
      </c>
    </row>
    <row r="1320" spans="3:7" x14ac:dyDescent="0.35">
      <c r="C1320" t="s">
        <v>173</v>
      </c>
      <c r="D1320" t="s">
        <v>190</v>
      </c>
      <c r="E1320" t="s">
        <v>36</v>
      </c>
      <c r="F1320" s="36">
        <v>1758</v>
      </c>
      <c r="G1320" s="16" t="str">
        <f>HYPERLINK("#'Data'!A9223", "Percentage of households who had to change plans due to problems with water in the past 4 weeks, by frequency on the admin of overall perc")</f>
        <v>Percentage of households who had to change plans due to problems with water in the past 4 weeks, by frequency on the admin of overall perc</v>
      </c>
    </row>
    <row r="1321" spans="3:7" x14ac:dyDescent="0.35">
      <c r="C1321" t="s">
        <v>173</v>
      </c>
      <c r="D1321" t="s">
        <v>190</v>
      </c>
      <c r="E1321" t="s">
        <v>57</v>
      </c>
      <c r="F1321" s="36">
        <v>1759</v>
      </c>
      <c r="G1321" s="16" t="str">
        <f>HYPERLINK("#'Data'!A9228", "Percentage of households who had to change plans due to problems with water in the past 4 weeks, by frequency broken down by households with at least ...")</f>
        <v>Percentage of households who had to change plans due to problems with water in the past 4 weeks, by frequency broken down by households with at least ...</v>
      </c>
    </row>
    <row r="1322" spans="3:7" x14ac:dyDescent="0.35">
      <c r="C1322" t="s">
        <v>173</v>
      </c>
      <c r="D1322" t="s">
        <v>190</v>
      </c>
      <c r="E1322" t="s">
        <v>58</v>
      </c>
      <c r="F1322" s="36">
        <v>1760</v>
      </c>
      <c r="G1322" s="16" t="str">
        <f>HYPERLINK("#'Data'!A9234", "Percentage of households who had to change plans due to problems with water in the past 4 weeks, by frequency broken down by urbanity on the admin of ...")</f>
        <v>Percentage of households who had to change plans due to problems with water in the past 4 weeks, by frequency broken down by urbanity on the admin of ...</v>
      </c>
    </row>
    <row r="1323" spans="3:7" x14ac:dyDescent="0.35">
      <c r="C1323" t="s">
        <v>173</v>
      </c>
      <c r="D1323" t="s">
        <v>190</v>
      </c>
      <c r="E1323" t="s">
        <v>59</v>
      </c>
      <c r="F1323" s="36">
        <v>1761</v>
      </c>
      <c r="G1323" s="16" t="str">
        <f>HYPERLINK("#'Data'!A9240", "Percentage of households who had to change plans due to problems with water in the past 4 weeks, by frequency broken down by household size on the adm...")</f>
        <v>Percentage of households who had to change plans due to problems with water in the past 4 weeks, by frequency broken down by household size on the adm...</v>
      </c>
    </row>
    <row r="1324" spans="3:7" x14ac:dyDescent="0.35">
      <c r="C1324" t="s">
        <v>173</v>
      </c>
      <c r="D1324" t="s">
        <v>190</v>
      </c>
      <c r="E1324" t="s">
        <v>60</v>
      </c>
      <c r="F1324" s="36">
        <v>1762</v>
      </c>
      <c r="G1324" s="16" t="str">
        <f>HYPERLINK("#'Data'!A9247", "Percentage of households who had to change plans due to problems with water in the past 4 weeks, by frequency broken down by income per capita (quarti...")</f>
        <v>Percentage of households who had to change plans due to problems with water in the past 4 weeks, by frequency broken down by income per capita (quarti...</v>
      </c>
    </row>
    <row r="1325" spans="3:7" x14ac:dyDescent="0.35">
      <c r="C1325" t="s">
        <v>173</v>
      </c>
      <c r="D1325" t="s">
        <v>190</v>
      </c>
      <c r="E1325" t="s">
        <v>61</v>
      </c>
      <c r="F1325" s="36">
        <v>1763</v>
      </c>
      <c r="G1325" s="16" t="str">
        <f>HYPERLINK("#'Data'!A9255", "Percentage of households who had to change plans due to problems with water in the past 4 weeks, by frequency broken down by gender of head of househo...")</f>
        <v>Percentage of households who had to change plans due to problems with water in the past 4 weeks, by frequency broken down by gender of head of househo...</v>
      </c>
    </row>
    <row r="1326" spans="3:7" x14ac:dyDescent="0.35">
      <c r="C1326" t="s">
        <v>173</v>
      </c>
      <c r="D1326" t="s">
        <v>190</v>
      </c>
      <c r="E1326" t="s">
        <v>62</v>
      </c>
      <c r="F1326" s="36">
        <v>1764</v>
      </c>
      <c r="G1326" s="16" t="str">
        <f>HYPERLINK("#'Data'!A9263", "Percentage of households who had to change plans due to problems with water in the past 4 weeks, by frequency broken down by age of adults in the hous...")</f>
        <v>Percentage of households who had to change plans due to problems with water in the past 4 weeks, by frequency broken down by age of adults in the hous...</v>
      </c>
    </row>
    <row r="1327" spans="3:7" x14ac:dyDescent="0.35">
      <c r="C1327" t="s">
        <v>173</v>
      </c>
      <c r="D1327" t="s">
        <v>190</v>
      </c>
      <c r="E1327" t="s">
        <v>76</v>
      </c>
      <c r="F1327" s="36">
        <v>1765</v>
      </c>
      <c r="G1327" s="16" t="str">
        <f>HYPERLINK("#'Data'!A9270", "Percentage of households who had to change plans due to problems with water in the past 4 weeks, by frequency broken down by households with at least ...")</f>
        <v>Percentage of households who had to change plans due to problems with water in the past 4 weeks, by frequency broken down by households with at least ...</v>
      </c>
    </row>
    <row r="1328" spans="3:7" x14ac:dyDescent="0.35">
      <c r="C1328" t="s">
        <v>173</v>
      </c>
      <c r="D1328" t="s">
        <v>190</v>
      </c>
      <c r="E1328" t="s">
        <v>63</v>
      </c>
      <c r="F1328" s="36">
        <v>1766</v>
      </c>
      <c r="G1328" s="16" t="str">
        <f>HYPERLINK("#'Data'!A9276", "Percentage of households who had to change plans due to problems with water in the past 4 weeks, by frequency broken down by displacement status of he...")</f>
        <v>Percentage of households who had to change plans due to problems with water in the past 4 weeks, by frequency broken down by displacement status of he...</v>
      </c>
    </row>
    <row r="1329" spans="3:7" x14ac:dyDescent="0.35">
      <c r="C1329" t="s">
        <v>173</v>
      </c>
      <c r="D1329" t="s">
        <v>190</v>
      </c>
      <c r="E1329" t="s">
        <v>64</v>
      </c>
      <c r="F1329" s="36">
        <v>1767</v>
      </c>
      <c r="G1329" s="16" t="str">
        <f>HYPERLINK("#'Data'!A9285", "Percentage of households who had to change plans due to problems with water in the past 4 weeks, by frequency broken down by IDP household on the admi...")</f>
        <v>Percentage of households who had to change plans due to problems with water in the past 4 weeks, by frequency broken down by IDP household on the admi...</v>
      </c>
    </row>
    <row r="1330" spans="3:7" x14ac:dyDescent="0.35">
      <c r="C1330" t="s">
        <v>173</v>
      </c>
      <c r="D1330" t="s">
        <v>190</v>
      </c>
      <c r="E1330" t="s">
        <v>65</v>
      </c>
      <c r="F1330" s="36">
        <v>1768</v>
      </c>
      <c r="G1330" s="16" t="str">
        <f>HYPERLINK("#'Data'!A9291", "Percentage of households who had to change plans due to problems with water in the past 4 weeks, by frequency broken down by proximity to frontline/bo...")</f>
        <v>Percentage of households who had to change plans due to problems with water in the past 4 weeks, by frequency broken down by proximity to frontline/bo...</v>
      </c>
    </row>
    <row r="1331" spans="3:7" x14ac:dyDescent="0.35">
      <c r="C1331" t="s">
        <v>173</v>
      </c>
      <c r="D1331" t="s">
        <v>190</v>
      </c>
      <c r="E1331" t="s">
        <v>77</v>
      </c>
      <c r="F1331" s="36">
        <v>1769</v>
      </c>
      <c r="G1331" s="16" t="str">
        <f>HYPERLINK("#'Data'!A9298", "Percentage of households who had to change plans due to problems with water in the past 4 weeks, by frequency broken down by caregiving status  on the...")</f>
        <v>Percentage of households who had to change plans due to problems with water in the past 4 weeks, by frequency broken down by caregiving status  on the...</v>
      </c>
    </row>
    <row r="1332" spans="3:7" x14ac:dyDescent="0.35">
      <c r="C1332" t="s">
        <v>191</v>
      </c>
      <c r="D1332" t="s">
        <v>192</v>
      </c>
      <c r="E1332" t="s">
        <v>36</v>
      </c>
      <c r="F1332" s="36">
        <v>1770</v>
      </c>
      <c r="G1332" s="16" t="str">
        <f>HYPERLINK("#'Data'!A9306", "Reduced Coping Strategies Index (rCSI) on the admin of overall perc")</f>
        <v>Reduced Coping Strategies Index (rCSI) on the admin of overall perc</v>
      </c>
    </row>
    <row r="1333" spans="3:7" x14ac:dyDescent="0.35">
      <c r="C1333" t="s">
        <v>191</v>
      </c>
      <c r="D1333" t="s">
        <v>192</v>
      </c>
      <c r="E1333" t="s">
        <v>57</v>
      </c>
      <c r="F1333" s="36">
        <v>1771</v>
      </c>
      <c r="G1333" s="16" t="str">
        <f>HYPERLINK("#'Data'!A9311", "Reduced Coping Strategies Index (rCSI) broken down by households with at least one member with a reported and/or registered disability on the admin of...")</f>
        <v>Reduced Coping Strategies Index (rCSI) broken down by households with at least one member with a reported and/or registered disability on the admin of...</v>
      </c>
    </row>
    <row r="1334" spans="3:7" x14ac:dyDescent="0.35">
      <c r="C1334" t="s">
        <v>191</v>
      </c>
      <c r="D1334" t="s">
        <v>192</v>
      </c>
      <c r="E1334" t="s">
        <v>58</v>
      </c>
      <c r="F1334" s="36">
        <v>1772</v>
      </c>
      <c r="G1334" s="16" t="str">
        <f>HYPERLINK("#'Data'!A9317", "Reduced Coping Strategies Index (rCSI) broken down by urbanity on the admin of overall perc")</f>
        <v>Reduced Coping Strategies Index (rCSI) broken down by urbanity on the admin of overall perc</v>
      </c>
    </row>
    <row r="1335" spans="3:7" x14ac:dyDescent="0.35">
      <c r="C1335" t="s">
        <v>191</v>
      </c>
      <c r="D1335" t="s">
        <v>192</v>
      </c>
      <c r="E1335" t="s">
        <v>59</v>
      </c>
      <c r="F1335" s="36">
        <v>1773</v>
      </c>
      <c r="G1335" s="16" t="str">
        <f>HYPERLINK("#'Data'!A9323", "Reduced Coping Strategies Index (rCSI) broken down by household size on the admin of overall perc")</f>
        <v>Reduced Coping Strategies Index (rCSI) broken down by household size on the admin of overall perc</v>
      </c>
    </row>
    <row r="1336" spans="3:7" x14ac:dyDescent="0.35">
      <c r="C1336" t="s">
        <v>191</v>
      </c>
      <c r="D1336" t="s">
        <v>192</v>
      </c>
      <c r="E1336" t="s">
        <v>60</v>
      </c>
      <c r="F1336" s="36">
        <v>1774</v>
      </c>
      <c r="G1336" s="16" t="str">
        <f>HYPERLINK("#'Data'!A9330", "Reduced Coping Strategies Index (rCSI) broken down by income per capita (quartiles) on the admin of overall perc")</f>
        <v>Reduced Coping Strategies Index (rCSI) broken down by income per capita (quartiles) on the admin of overall perc</v>
      </c>
    </row>
    <row r="1337" spans="3:7" x14ac:dyDescent="0.35">
      <c r="C1337" t="s">
        <v>191</v>
      </c>
      <c r="D1337" t="s">
        <v>192</v>
      </c>
      <c r="E1337" t="s">
        <v>61</v>
      </c>
      <c r="F1337" s="36">
        <v>1775</v>
      </c>
      <c r="G1337" s="16" t="str">
        <f>HYPERLINK("#'Data'!A9338", "Reduced Coping Strategies Index (rCSI) broken down by gender of head of household on the admin of overall perc")</f>
        <v>Reduced Coping Strategies Index (rCSI) broken down by gender of head of household on the admin of overall perc</v>
      </c>
    </row>
    <row r="1338" spans="3:7" x14ac:dyDescent="0.35">
      <c r="C1338" t="s">
        <v>191</v>
      </c>
      <c r="D1338" t="s">
        <v>192</v>
      </c>
      <c r="E1338" t="s">
        <v>62</v>
      </c>
      <c r="F1338" s="36">
        <v>1776</v>
      </c>
      <c r="G1338" s="16" t="str">
        <f>HYPERLINK("#'Data'!A9346", "Reduced Coping Strategies Index (rCSI) broken down by age of adults in the households on the admin of overall perc")</f>
        <v>Reduced Coping Strategies Index (rCSI) broken down by age of adults in the households on the admin of overall perc</v>
      </c>
    </row>
    <row r="1339" spans="3:7" x14ac:dyDescent="0.35">
      <c r="C1339" t="s">
        <v>191</v>
      </c>
      <c r="D1339" t="s">
        <v>192</v>
      </c>
      <c r="E1339" t="s">
        <v>76</v>
      </c>
      <c r="F1339" s="36">
        <v>1777</v>
      </c>
      <c r="G1339" s="16" t="str">
        <f>HYPERLINK("#'Data'!A9353", "Reduced Coping Strategies Index (rCSI) broken down by households with at least one child (&lt;18 y.o.) on the admin of overall perc")</f>
        <v>Reduced Coping Strategies Index (rCSI) broken down by households with at least one child (&lt;18 y.o.) on the admin of overall perc</v>
      </c>
    </row>
    <row r="1340" spans="3:7" x14ac:dyDescent="0.35">
      <c r="C1340" t="s">
        <v>191</v>
      </c>
      <c r="D1340" t="s">
        <v>192</v>
      </c>
      <c r="E1340" t="s">
        <v>63</v>
      </c>
      <c r="F1340" s="36">
        <v>1778</v>
      </c>
      <c r="G1340" s="16" t="str">
        <f>HYPERLINK("#'Data'!A9359", "Reduced Coping Strategies Index (rCSI) broken down by displacement status of head of household on the admin of overall perc")</f>
        <v>Reduced Coping Strategies Index (rCSI) broken down by displacement status of head of household on the admin of overall perc</v>
      </c>
    </row>
    <row r="1341" spans="3:7" x14ac:dyDescent="0.35">
      <c r="C1341" t="s">
        <v>191</v>
      </c>
      <c r="D1341" t="s">
        <v>192</v>
      </c>
      <c r="E1341" t="s">
        <v>64</v>
      </c>
      <c r="F1341" s="36">
        <v>1779</v>
      </c>
      <c r="G1341" s="16" t="str">
        <f>HYPERLINK("#'Data'!A9368", "Reduced Coping Strategies Index (rCSI) broken down by IDP household on the admin of overall perc")</f>
        <v>Reduced Coping Strategies Index (rCSI) broken down by IDP household on the admin of overall perc</v>
      </c>
    </row>
    <row r="1342" spans="3:7" x14ac:dyDescent="0.35">
      <c r="C1342" t="s">
        <v>191</v>
      </c>
      <c r="D1342" t="s">
        <v>192</v>
      </c>
      <c r="E1342" t="s">
        <v>65</v>
      </c>
      <c r="F1342" s="36">
        <v>1780</v>
      </c>
      <c r="G1342" s="16" t="str">
        <f>HYPERLINK("#'Data'!A9374", "Reduced Coping Strategies Index (rCSI) broken down by proximity to frontline/border with Russian Federation on the admin of overall perc")</f>
        <v>Reduced Coping Strategies Index (rCSI) broken down by proximity to frontline/border with Russian Federation on the admin of overall perc</v>
      </c>
    </row>
    <row r="1343" spans="3:7" x14ac:dyDescent="0.35">
      <c r="C1343" t="s">
        <v>191</v>
      </c>
      <c r="D1343" t="s">
        <v>192</v>
      </c>
      <c r="E1343" t="s">
        <v>77</v>
      </c>
      <c r="F1343" s="36">
        <v>1781</v>
      </c>
      <c r="G1343" s="16" t="str">
        <f>HYPERLINK("#'Data'!A9381", "Reduced Coping Strategies Index (rCSI) broken down by caregiving status  on the admin of overall perc")</f>
        <v>Reduced Coping Strategies Index (rCSI) broken down by caregiving status  on the admin of overall perc</v>
      </c>
    </row>
    <row r="1344" spans="3:7" x14ac:dyDescent="0.35">
      <c r="C1344" t="s">
        <v>191</v>
      </c>
      <c r="D1344" t="s">
        <v>193</v>
      </c>
      <c r="E1344" t="s">
        <v>36</v>
      </c>
      <c r="F1344" s="36">
        <v>1782</v>
      </c>
      <c r="G1344" s="16" t="str">
        <f>HYPERLINK("#'Data'!A9389", "Food Consumption Score on the admin of overall perc")</f>
        <v>Food Consumption Score on the admin of overall perc</v>
      </c>
    </row>
    <row r="1345" spans="3:7" x14ac:dyDescent="0.35">
      <c r="C1345" t="s">
        <v>191</v>
      </c>
      <c r="D1345" t="s">
        <v>193</v>
      </c>
      <c r="E1345" t="s">
        <v>57</v>
      </c>
      <c r="F1345" s="36">
        <v>1783</v>
      </c>
      <c r="G1345" s="16" t="str">
        <f>HYPERLINK("#'Data'!A9394", "Food Consumption Score broken down by households with at least one member with a reported and/or registered disability on the admin of overall perc")</f>
        <v>Food Consumption Score broken down by households with at least one member with a reported and/or registered disability on the admin of overall perc</v>
      </c>
    </row>
    <row r="1346" spans="3:7" x14ac:dyDescent="0.35">
      <c r="C1346" t="s">
        <v>191</v>
      </c>
      <c r="D1346" t="s">
        <v>193</v>
      </c>
      <c r="E1346" t="s">
        <v>58</v>
      </c>
      <c r="F1346" s="36">
        <v>1784</v>
      </c>
      <c r="G1346" s="16" t="str">
        <f>HYPERLINK("#'Data'!A9400", "Food Consumption Score broken down by urbanity on the admin of overall perc")</f>
        <v>Food Consumption Score broken down by urbanity on the admin of overall perc</v>
      </c>
    </row>
    <row r="1347" spans="3:7" x14ac:dyDescent="0.35">
      <c r="C1347" t="s">
        <v>191</v>
      </c>
      <c r="D1347" t="s">
        <v>193</v>
      </c>
      <c r="E1347" t="s">
        <v>59</v>
      </c>
      <c r="F1347" s="36">
        <v>1785</v>
      </c>
      <c r="G1347" s="16" t="str">
        <f>HYPERLINK("#'Data'!A9406", "Food Consumption Score broken down by household size on the admin of overall perc")</f>
        <v>Food Consumption Score broken down by household size on the admin of overall perc</v>
      </c>
    </row>
    <row r="1348" spans="3:7" x14ac:dyDescent="0.35">
      <c r="C1348" t="s">
        <v>191</v>
      </c>
      <c r="D1348" t="s">
        <v>193</v>
      </c>
      <c r="E1348" t="s">
        <v>60</v>
      </c>
      <c r="F1348" s="36">
        <v>1786</v>
      </c>
      <c r="G1348" s="16" t="str">
        <f>HYPERLINK("#'Data'!A9413", "Food Consumption Score broken down by income per capita (quartiles) on the admin of overall perc")</f>
        <v>Food Consumption Score broken down by income per capita (quartiles) on the admin of overall perc</v>
      </c>
    </row>
    <row r="1349" spans="3:7" x14ac:dyDescent="0.35">
      <c r="C1349" t="s">
        <v>191</v>
      </c>
      <c r="D1349" t="s">
        <v>193</v>
      </c>
      <c r="E1349" t="s">
        <v>61</v>
      </c>
      <c r="F1349" s="36">
        <v>1787</v>
      </c>
      <c r="G1349" s="16" t="str">
        <f>HYPERLINK("#'Data'!A9421", "Food Consumption Score broken down by gender of head of household on the admin of overall perc")</f>
        <v>Food Consumption Score broken down by gender of head of household on the admin of overall perc</v>
      </c>
    </row>
    <row r="1350" spans="3:7" x14ac:dyDescent="0.35">
      <c r="C1350" t="s">
        <v>191</v>
      </c>
      <c r="D1350" t="s">
        <v>193</v>
      </c>
      <c r="E1350" t="s">
        <v>62</v>
      </c>
      <c r="F1350" s="36">
        <v>1788</v>
      </c>
      <c r="G1350" s="16" t="str">
        <f>HYPERLINK("#'Data'!A9429", "Food Consumption Score broken down by age of adults in the households on the admin of overall perc")</f>
        <v>Food Consumption Score broken down by age of adults in the households on the admin of overall perc</v>
      </c>
    </row>
    <row r="1351" spans="3:7" x14ac:dyDescent="0.35">
      <c r="C1351" t="s">
        <v>191</v>
      </c>
      <c r="D1351" t="s">
        <v>193</v>
      </c>
      <c r="E1351" t="s">
        <v>76</v>
      </c>
      <c r="F1351" s="36">
        <v>1789</v>
      </c>
      <c r="G1351" s="16" t="str">
        <f>HYPERLINK("#'Data'!A9436", "Food Consumption Score broken down by households with at least one child (&lt;18 y.o.) on the admin of overall perc")</f>
        <v>Food Consumption Score broken down by households with at least one child (&lt;18 y.o.) on the admin of overall perc</v>
      </c>
    </row>
    <row r="1352" spans="3:7" x14ac:dyDescent="0.35">
      <c r="C1352" t="s">
        <v>191</v>
      </c>
      <c r="D1352" t="s">
        <v>193</v>
      </c>
      <c r="E1352" t="s">
        <v>63</v>
      </c>
      <c r="F1352" s="36">
        <v>1790</v>
      </c>
      <c r="G1352" s="16" t="str">
        <f>HYPERLINK("#'Data'!A9442", "Food Consumption Score broken down by displacement status of head of household on the admin of overall perc")</f>
        <v>Food Consumption Score broken down by displacement status of head of household on the admin of overall perc</v>
      </c>
    </row>
    <row r="1353" spans="3:7" x14ac:dyDescent="0.35">
      <c r="C1353" t="s">
        <v>191</v>
      </c>
      <c r="D1353" t="s">
        <v>193</v>
      </c>
      <c r="E1353" t="s">
        <v>64</v>
      </c>
      <c r="F1353" s="36">
        <v>1791</v>
      </c>
      <c r="G1353" s="16" t="str">
        <f>HYPERLINK("#'Data'!A9451", "Food Consumption Score broken down by IDP household on the admin of overall perc")</f>
        <v>Food Consumption Score broken down by IDP household on the admin of overall perc</v>
      </c>
    </row>
    <row r="1354" spans="3:7" x14ac:dyDescent="0.35">
      <c r="C1354" t="s">
        <v>191</v>
      </c>
      <c r="D1354" t="s">
        <v>193</v>
      </c>
      <c r="E1354" t="s">
        <v>65</v>
      </c>
      <c r="F1354" s="36">
        <v>1792</v>
      </c>
      <c r="G1354" s="16" t="str">
        <f>HYPERLINK("#'Data'!A9457", "Food Consumption Score broken down by proximity to frontline/border with Russian Federation on the admin of overall perc")</f>
        <v>Food Consumption Score broken down by proximity to frontline/border with Russian Federation on the admin of overall perc</v>
      </c>
    </row>
    <row r="1355" spans="3:7" x14ac:dyDescent="0.35">
      <c r="C1355" t="s">
        <v>191</v>
      </c>
      <c r="D1355" t="s">
        <v>193</v>
      </c>
      <c r="E1355" t="s">
        <v>77</v>
      </c>
      <c r="F1355" s="36">
        <v>1793</v>
      </c>
      <c r="G1355" s="16" t="str">
        <f>HYPERLINK("#'Data'!A9464", "Food Consumption Score broken down by caregiving status  on the admin of overall perc")</f>
        <v>Food Consumption Score broken down by caregiving status  on the admin of overall perc</v>
      </c>
    </row>
    <row r="1356" spans="3:7" x14ac:dyDescent="0.35">
      <c r="C1356" t="s">
        <v>191</v>
      </c>
      <c r="D1356" t="s">
        <v>194</v>
      </c>
      <c r="E1356" t="s">
        <v>36</v>
      </c>
      <c r="F1356" s="36">
        <v>1794</v>
      </c>
      <c r="G1356" s="16" t="str">
        <f>HYPERLINK("#'Data'!A9472", "Households adopting Consumption-based Coping Strategies, by strategy ")</f>
        <v xml:space="preserve">Households adopting Consumption-based Coping Strategies, by strategy </v>
      </c>
    </row>
    <row r="1357" spans="3:7" x14ac:dyDescent="0.35">
      <c r="C1357" t="s">
        <v>191</v>
      </c>
      <c r="D1357" t="s">
        <v>194</v>
      </c>
      <c r="E1357" t="s">
        <v>57</v>
      </c>
      <c r="F1357" s="36">
        <v>1799</v>
      </c>
      <c r="G1357" s="16" t="str">
        <f>HYPERLINK("#'Data'!A9491", "Households adopting Consumption-based Coping Strategies, by strategy by households with at least one member with a reported and/or registered disabili...")</f>
        <v>Households adopting Consumption-based Coping Strategies, by strategy by households with at least one member with a reported and/or registered disabili...</v>
      </c>
    </row>
    <row r="1358" spans="3:7" x14ac:dyDescent="0.35">
      <c r="C1358" t="s">
        <v>191</v>
      </c>
      <c r="D1358" t="s">
        <v>194</v>
      </c>
      <c r="E1358" t="s">
        <v>58</v>
      </c>
      <c r="F1358" s="36">
        <v>1804</v>
      </c>
      <c r="G1358" s="16" t="str">
        <f>HYPERLINK("#'Data'!A9518", "Households adopting Consumption-based Coping Strategies, by strategy by urbanity ")</f>
        <v xml:space="preserve">Households adopting Consumption-based Coping Strategies, by strategy by urbanity </v>
      </c>
    </row>
    <row r="1359" spans="3:7" x14ac:dyDescent="0.35">
      <c r="C1359" t="s">
        <v>191</v>
      </c>
      <c r="D1359" t="s">
        <v>194</v>
      </c>
      <c r="E1359" t="s">
        <v>59</v>
      </c>
      <c r="F1359" s="36">
        <v>1809</v>
      </c>
      <c r="G1359" s="16" t="str">
        <f>HYPERLINK("#'Data'!A9545", "Households adopting Consumption-based Coping Strategies, by strategy by household size ")</f>
        <v xml:space="preserve">Households adopting Consumption-based Coping Strategies, by strategy by household size </v>
      </c>
    </row>
    <row r="1360" spans="3:7" x14ac:dyDescent="0.35">
      <c r="C1360" t="s">
        <v>191</v>
      </c>
      <c r="D1360" t="s">
        <v>194</v>
      </c>
      <c r="E1360" t="s">
        <v>60</v>
      </c>
      <c r="F1360" s="36">
        <v>1814</v>
      </c>
      <c r="G1360" s="16" t="str">
        <f>HYPERLINK("#'Data'!A9580", "Households adopting Consumption-based Coping Strategies, by strategy by income per capita (quartiles) ")</f>
        <v xml:space="preserve">Households adopting Consumption-based Coping Strategies, by strategy by income per capita (quartiles) </v>
      </c>
    </row>
    <row r="1361" spans="3:7" x14ac:dyDescent="0.35">
      <c r="C1361" t="s">
        <v>191</v>
      </c>
      <c r="D1361" t="s">
        <v>194</v>
      </c>
      <c r="E1361" t="s">
        <v>61</v>
      </c>
      <c r="F1361" s="36">
        <v>1819</v>
      </c>
      <c r="G1361" s="16" t="str">
        <f>HYPERLINK("#'Data'!A9622", "Households adopting Consumption-based Coping Strategies, by strategy by gender of head of household ")</f>
        <v xml:space="preserve">Households adopting Consumption-based Coping Strategies, by strategy by gender of head of household </v>
      </c>
    </row>
    <row r="1362" spans="3:7" x14ac:dyDescent="0.35">
      <c r="C1362" t="s">
        <v>191</v>
      </c>
      <c r="D1362" t="s">
        <v>194</v>
      </c>
      <c r="E1362" t="s">
        <v>62</v>
      </c>
      <c r="F1362" s="36">
        <v>1824</v>
      </c>
      <c r="G1362" s="16" t="str">
        <f>HYPERLINK("#'Data'!A9659", "Households adopting Consumption-based Coping Strategies, by strategy by age of adults in the households ")</f>
        <v xml:space="preserve">Households adopting Consumption-based Coping Strategies, by strategy by age of adults in the households </v>
      </c>
    </row>
    <row r="1363" spans="3:7" x14ac:dyDescent="0.35">
      <c r="C1363" t="s">
        <v>191</v>
      </c>
      <c r="D1363" t="s">
        <v>194</v>
      </c>
      <c r="E1363" t="s">
        <v>76</v>
      </c>
      <c r="F1363" s="36">
        <v>1829</v>
      </c>
      <c r="G1363" s="16" t="str">
        <f>HYPERLINK("#'Data'!A9694", "Households adopting Consumption-based Coping Strategies, by strategy by households with at least one child (&lt;18 y.o.) ")</f>
        <v xml:space="preserve">Households adopting Consumption-based Coping Strategies, by strategy by households with at least one child (&lt;18 y.o.) </v>
      </c>
    </row>
    <row r="1364" spans="3:7" x14ac:dyDescent="0.35">
      <c r="C1364" t="s">
        <v>191</v>
      </c>
      <c r="D1364" t="s">
        <v>194</v>
      </c>
      <c r="E1364" t="s">
        <v>63</v>
      </c>
      <c r="F1364" s="36">
        <v>1834</v>
      </c>
      <c r="G1364" s="16" t="str">
        <f>HYPERLINK("#'Data'!A9721", "Households adopting Consumption-based Coping Strategies, by strategy by displacement status of head of household ")</f>
        <v xml:space="preserve">Households adopting Consumption-based Coping Strategies, by strategy by displacement status of head of household </v>
      </c>
    </row>
    <row r="1365" spans="3:7" x14ac:dyDescent="0.35">
      <c r="C1365" t="s">
        <v>191</v>
      </c>
      <c r="D1365" t="s">
        <v>194</v>
      </c>
      <c r="E1365" t="s">
        <v>64</v>
      </c>
      <c r="F1365" s="36">
        <v>1839</v>
      </c>
      <c r="G1365" s="16" t="str">
        <f>HYPERLINK("#'Data'!A9766", "Households adopting Consumption-based Coping Strategies, by strategy by IDP household ")</f>
        <v xml:space="preserve">Households adopting Consumption-based Coping Strategies, by strategy by IDP household </v>
      </c>
    </row>
    <row r="1366" spans="3:7" x14ac:dyDescent="0.35">
      <c r="C1366" t="s">
        <v>191</v>
      </c>
      <c r="D1366" t="s">
        <v>194</v>
      </c>
      <c r="E1366" t="s">
        <v>65</v>
      </c>
      <c r="F1366" s="36">
        <v>1844</v>
      </c>
      <c r="G1366" s="16" t="str">
        <f>HYPERLINK("#'Data'!A9793", "Households adopting Consumption-based Coping Strategies, by strategy by proximity to frontline/border with Russian Federation ")</f>
        <v xml:space="preserve">Households adopting Consumption-based Coping Strategies, by strategy by proximity to frontline/border with Russian Federation </v>
      </c>
    </row>
    <row r="1367" spans="3:7" x14ac:dyDescent="0.35">
      <c r="C1367" t="s">
        <v>191</v>
      </c>
      <c r="D1367" t="s">
        <v>194</v>
      </c>
      <c r="E1367" t="s">
        <v>77</v>
      </c>
      <c r="F1367" s="36">
        <v>1849</v>
      </c>
      <c r="G1367" s="16" t="str">
        <f>HYPERLINK("#'Data'!A9828", "Households adopting Consumption-based Coping Strategies, by strategy by caregiving status  ")</f>
        <v xml:space="preserve">Households adopting Consumption-based Coping Strategies, by strategy by caregiving status  </v>
      </c>
    </row>
    <row r="1368" spans="3:7" x14ac:dyDescent="0.35">
      <c r="C1368" t="s">
        <v>195</v>
      </c>
      <c r="D1368" t="s">
        <v>196</v>
      </c>
      <c r="E1368" t="s">
        <v>36</v>
      </c>
      <c r="F1368" s="36">
        <v>1854</v>
      </c>
      <c r="G1368" s="16" t="str">
        <f>HYPERLINK("#'Data'!A9866", "Households reporting most significant challenges their household currently faces on the admin of overall perc")</f>
        <v>Households reporting most significant challenges their household currently faces on the admin of overall perc</v>
      </c>
    </row>
    <row r="1369" spans="3:7" x14ac:dyDescent="0.35">
      <c r="C1369" t="s">
        <v>195</v>
      </c>
      <c r="D1369" t="s">
        <v>196</v>
      </c>
      <c r="E1369" t="s">
        <v>57</v>
      </c>
      <c r="F1369" s="36">
        <v>1855</v>
      </c>
      <c r="G1369" s="16" t="str">
        <f>HYPERLINK("#'Data'!A9871", "Households reporting most significant challenges their household currently faces broken down by households with at least one member with a reported an...")</f>
        <v>Households reporting most significant challenges their household currently faces broken down by households with at least one member with a reported an...</v>
      </c>
    </row>
    <row r="1370" spans="3:7" x14ac:dyDescent="0.35">
      <c r="C1370" t="s">
        <v>195</v>
      </c>
      <c r="D1370" t="s">
        <v>196</v>
      </c>
      <c r="E1370" t="s">
        <v>58</v>
      </c>
      <c r="F1370" s="36">
        <v>1856</v>
      </c>
      <c r="G1370" s="16" t="str">
        <f>HYPERLINK("#'Data'!A9877", "Households reporting most significant challenges their household currently faces broken down by urbanity on the admin of overall perc")</f>
        <v>Households reporting most significant challenges their household currently faces broken down by urbanity on the admin of overall perc</v>
      </c>
    </row>
    <row r="1371" spans="3:7" x14ac:dyDescent="0.35">
      <c r="C1371" t="s">
        <v>195</v>
      </c>
      <c r="D1371" t="s">
        <v>196</v>
      </c>
      <c r="E1371" t="s">
        <v>59</v>
      </c>
      <c r="F1371" s="36">
        <v>1857</v>
      </c>
      <c r="G1371" s="16" t="str">
        <f>HYPERLINK("#'Data'!A9883", "Households reporting most significant challenges their household currently faces broken down by household size on the admin of overall perc")</f>
        <v>Households reporting most significant challenges their household currently faces broken down by household size on the admin of overall perc</v>
      </c>
    </row>
    <row r="1372" spans="3:7" x14ac:dyDescent="0.35">
      <c r="C1372" t="s">
        <v>195</v>
      </c>
      <c r="D1372" t="s">
        <v>196</v>
      </c>
      <c r="E1372" t="s">
        <v>60</v>
      </c>
      <c r="F1372" s="36">
        <v>1858</v>
      </c>
      <c r="G1372" s="16" t="str">
        <f>HYPERLINK("#'Data'!A9890", "Households reporting most significant challenges their household currently faces broken down by income per capita (quartiles) on the admin of overall ...")</f>
        <v>Households reporting most significant challenges their household currently faces broken down by income per capita (quartiles) on the admin of overall ...</v>
      </c>
    </row>
    <row r="1373" spans="3:7" x14ac:dyDescent="0.35">
      <c r="C1373" t="s">
        <v>195</v>
      </c>
      <c r="D1373" t="s">
        <v>196</v>
      </c>
      <c r="E1373" t="s">
        <v>61</v>
      </c>
      <c r="F1373" s="36">
        <v>1859</v>
      </c>
      <c r="G1373" s="16" t="str">
        <f>HYPERLINK("#'Data'!A9898", "Households reporting most significant challenges their household currently faces broken down by gender of head of household on the admin of overall pe...")</f>
        <v>Households reporting most significant challenges their household currently faces broken down by gender of head of household on the admin of overall pe...</v>
      </c>
    </row>
    <row r="1374" spans="3:7" x14ac:dyDescent="0.35">
      <c r="C1374" t="s">
        <v>195</v>
      </c>
      <c r="D1374" t="s">
        <v>196</v>
      </c>
      <c r="E1374" t="s">
        <v>62</v>
      </c>
      <c r="F1374" s="36">
        <v>1860</v>
      </c>
      <c r="G1374" s="16" t="str">
        <f>HYPERLINK("#'Data'!A9906", "Households reporting most significant challenges their household currently faces broken down by age of adults in the households on the admin of overal...")</f>
        <v>Households reporting most significant challenges their household currently faces broken down by age of adults in the households on the admin of overal...</v>
      </c>
    </row>
    <row r="1375" spans="3:7" x14ac:dyDescent="0.35">
      <c r="C1375" t="s">
        <v>195</v>
      </c>
      <c r="D1375" t="s">
        <v>196</v>
      </c>
      <c r="E1375" t="s">
        <v>76</v>
      </c>
      <c r="F1375" s="36">
        <v>1861</v>
      </c>
      <c r="G1375" s="16" t="str">
        <f>HYPERLINK("#'Data'!A9913", "Households reporting most significant challenges their household currently faces broken down by households with at least one child (&lt;18 y.o.) on the a...")</f>
        <v>Households reporting most significant challenges their household currently faces broken down by households with at least one child (&lt;18 y.o.) on the a...</v>
      </c>
    </row>
    <row r="1376" spans="3:7" x14ac:dyDescent="0.35">
      <c r="C1376" t="s">
        <v>195</v>
      </c>
      <c r="D1376" t="s">
        <v>196</v>
      </c>
      <c r="E1376" t="s">
        <v>63</v>
      </c>
      <c r="F1376" s="36">
        <v>1862</v>
      </c>
      <c r="G1376" s="16" t="str">
        <f>HYPERLINK("#'Data'!A9919", "Households reporting most significant challenges their household currently faces broken down by displacement status of head of household on the admin ...")</f>
        <v>Households reporting most significant challenges their household currently faces broken down by displacement status of head of household on the admin ...</v>
      </c>
    </row>
    <row r="1377" spans="3:7" x14ac:dyDescent="0.35">
      <c r="C1377" t="s">
        <v>195</v>
      </c>
      <c r="D1377" t="s">
        <v>196</v>
      </c>
      <c r="E1377" t="s">
        <v>64</v>
      </c>
      <c r="F1377" s="36">
        <v>1863</v>
      </c>
      <c r="G1377" s="16" t="str">
        <f>HYPERLINK("#'Data'!A9928", "Households reporting most significant challenges their household currently faces broken down by IDP household on the admin of overall perc")</f>
        <v>Households reporting most significant challenges their household currently faces broken down by IDP household on the admin of overall perc</v>
      </c>
    </row>
    <row r="1378" spans="3:7" x14ac:dyDescent="0.35">
      <c r="C1378" t="s">
        <v>195</v>
      </c>
      <c r="D1378" t="s">
        <v>196</v>
      </c>
      <c r="E1378" t="s">
        <v>65</v>
      </c>
      <c r="F1378" s="36">
        <v>1864</v>
      </c>
      <c r="G1378" s="16" t="str">
        <f>HYPERLINK("#'Data'!A9934", "Households reporting most significant challenges their household currently faces broken down by proximity to frontline/border with Russian Federation ...")</f>
        <v>Households reporting most significant challenges their household currently faces broken down by proximity to frontline/border with Russian Federation ...</v>
      </c>
    </row>
    <row r="1379" spans="3:7" x14ac:dyDescent="0.35">
      <c r="C1379" t="s">
        <v>195</v>
      </c>
      <c r="D1379" t="s">
        <v>196</v>
      </c>
      <c r="E1379" t="s">
        <v>77</v>
      </c>
      <c r="F1379" s="36">
        <v>1865</v>
      </c>
      <c r="G1379" s="16" t="str">
        <f>HYPERLINK("#'Data'!A9941", "Households reporting most significant challenges their household currently faces broken down by caregiving status  on the admin of overall perc")</f>
        <v>Households reporting most significant challenges their household currently faces broken down by caregiving status  on the admin of overall perc</v>
      </c>
    </row>
    <row r="1380" spans="3:7" x14ac:dyDescent="0.35">
      <c r="C1380" t="s">
        <v>195</v>
      </c>
      <c r="D1380" t="s">
        <v>196</v>
      </c>
      <c r="E1380" t="s">
        <v>131</v>
      </c>
      <c r="F1380" s="36">
        <v>1866</v>
      </c>
      <c r="G1380" s="16" t="str">
        <f>HYPERLINK("#'Data'!A9949", "Households reporting most significant challenges their household currently faces broken down by gender of respondent on the admin of overall perc")</f>
        <v>Households reporting most significant challenges their household currently faces broken down by gender of respondent on the admin of overall perc</v>
      </c>
    </row>
    <row r="1381" spans="3:7" x14ac:dyDescent="0.35">
      <c r="C1381" t="s">
        <v>195</v>
      </c>
      <c r="D1381" t="s">
        <v>196</v>
      </c>
      <c r="E1381" t="s">
        <v>132</v>
      </c>
      <c r="F1381" s="36">
        <v>1867</v>
      </c>
      <c r="G1381" s="16" t="str">
        <f>HYPERLINK("#'Data'!A9956", "Households reporting most significant challenges their household currently faces broken down by age of respondents on the admin of overall perc")</f>
        <v>Households reporting most significant challenges their household currently faces broken down by age of respondents on the admin of overall perc</v>
      </c>
    </row>
    <row r="1382" spans="3:7" x14ac:dyDescent="0.35">
      <c r="C1382" t="s">
        <v>195</v>
      </c>
      <c r="D1382" t="s">
        <v>196</v>
      </c>
      <c r="E1382" t="s">
        <v>133</v>
      </c>
      <c r="F1382" s="36">
        <v>1868</v>
      </c>
      <c r="G1382" s="16" t="str">
        <f>HYPERLINK("#'Data'!A9964", "Households reporting most significant challenges their household currently faces broken down by gender and age of respondents on the admin of overall ...")</f>
        <v>Households reporting most significant challenges their household currently faces broken down by gender and age of respondents on the admin of overall ...</v>
      </c>
    </row>
    <row r="1383" spans="3:7" x14ac:dyDescent="0.35">
      <c r="C1383" t="s">
        <v>195</v>
      </c>
      <c r="D1383" t="s">
        <v>197</v>
      </c>
      <c r="E1383" t="s">
        <v>36</v>
      </c>
      <c r="F1383" s="36">
        <v>1869</v>
      </c>
      <c r="G1383" s="16" t="str">
        <f>HYPERLINK("#'Data'!A9977", "Households reporting challenges, by type of support they would like to receive on the admin of overall perc")</f>
        <v>Households reporting challenges, by type of support they would like to receive on the admin of overall perc</v>
      </c>
    </row>
    <row r="1384" spans="3:7" x14ac:dyDescent="0.35">
      <c r="C1384" t="s">
        <v>195</v>
      </c>
      <c r="D1384" t="s">
        <v>197</v>
      </c>
      <c r="E1384" t="s">
        <v>57</v>
      </c>
      <c r="F1384" s="36">
        <v>1870</v>
      </c>
      <c r="G1384" s="16" t="str">
        <f>HYPERLINK("#'Data'!A9982", "Households reporting challenges, by type of support they would like to receive broken down by households with at least one member with a reported and/...")</f>
        <v>Households reporting challenges, by type of support they would like to receive broken down by households with at least one member with a reported and/...</v>
      </c>
    </row>
    <row r="1385" spans="3:7" x14ac:dyDescent="0.35">
      <c r="C1385" t="s">
        <v>195</v>
      </c>
      <c r="D1385" t="s">
        <v>197</v>
      </c>
      <c r="E1385" t="s">
        <v>58</v>
      </c>
      <c r="F1385" s="36">
        <v>1871</v>
      </c>
      <c r="G1385" s="16" t="str">
        <f>HYPERLINK("#'Data'!A9988", "Households reporting challenges, by type of support they would like to receive broken down by urbanity on the admin of overall perc")</f>
        <v>Households reporting challenges, by type of support they would like to receive broken down by urbanity on the admin of overall perc</v>
      </c>
    </row>
    <row r="1386" spans="3:7" x14ac:dyDescent="0.35">
      <c r="C1386" t="s">
        <v>195</v>
      </c>
      <c r="D1386" t="s">
        <v>197</v>
      </c>
      <c r="E1386" t="s">
        <v>59</v>
      </c>
      <c r="F1386" s="36">
        <v>1872</v>
      </c>
      <c r="G1386" s="16" t="str">
        <f>HYPERLINK("#'Data'!A9994", "Households reporting challenges, by type of support they would like to receive broken down by household size on the admin of overall perc")</f>
        <v>Households reporting challenges, by type of support they would like to receive broken down by household size on the admin of overall perc</v>
      </c>
    </row>
    <row r="1387" spans="3:7" x14ac:dyDescent="0.35">
      <c r="C1387" t="s">
        <v>195</v>
      </c>
      <c r="D1387" t="s">
        <v>197</v>
      </c>
      <c r="E1387" t="s">
        <v>60</v>
      </c>
      <c r="F1387" s="36">
        <v>1873</v>
      </c>
      <c r="G1387" s="16" t="str">
        <f>HYPERLINK("#'Data'!A10001", "Households reporting challenges, by type of support they would like to receive broken down by income per capita (quartiles) on the admin of overall pe...")</f>
        <v>Households reporting challenges, by type of support they would like to receive broken down by income per capita (quartiles) on the admin of overall pe...</v>
      </c>
    </row>
    <row r="1388" spans="3:7" x14ac:dyDescent="0.35">
      <c r="C1388" t="s">
        <v>195</v>
      </c>
      <c r="D1388" t="s">
        <v>197</v>
      </c>
      <c r="E1388" t="s">
        <v>61</v>
      </c>
      <c r="F1388" s="36">
        <v>1874</v>
      </c>
      <c r="G1388" s="16" t="str">
        <f>HYPERLINK("#'Data'!A10009", "Households reporting challenges, by type of support they would like to receive broken down by gender of head of household on the admin of overall perc")</f>
        <v>Households reporting challenges, by type of support they would like to receive broken down by gender of head of household on the admin of overall perc</v>
      </c>
    </row>
    <row r="1389" spans="3:7" x14ac:dyDescent="0.35">
      <c r="C1389" t="s">
        <v>195</v>
      </c>
      <c r="D1389" t="s">
        <v>197</v>
      </c>
      <c r="E1389" t="s">
        <v>62</v>
      </c>
      <c r="F1389" s="36">
        <v>1875</v>
      </c>
      <c r="G1389" s="16" t="str">
        <f>HYPERLINK("#'Data'!A10017", "Households reporting challenges, by type of support they would like to receive broken down by age of adults in the households on the admin of overall ...")</f>
        <v>Households reporting challenges, by type of support they would like to receive broken down by age of adults in the households on the admin of overall ...</v>
      </c>
    </row>
    <row r="1390" spans="3:7" x14ac:dyDescent="0.35">
      <c r="C1390" t="s">
        <v>195</v>
      </c>
      <c r="D1390" t="s">
        <v>197</v>
      </c>
      <c r="E1390" t="s">
        <v>76</v>
      </c>
      <c r="F1390" s="36">
        <v>1876</v>
      </c>
      <c r="G1390" s="16" t="str">
        <f>HYPERLINK("#'Data'!A10024", "Households reporting challenges, by type of support they would like to receive broken down by households with at least one child (&lt;18 y.o.) on the adm...")</f>
        <v>Households reporting challenges, by type of support they would like to receive broken down by households with at least one child (&lt;18 y.o.) on the adm...</v>
      </c>
    </row>
    <row r="1391" spans="3:7" x14ac:dyDescent="0.35">
      <c r="C1391" t="s">
        <v>195</v>
      </c>
      <c r="D1391" t="s">
        <v>197</v>
      </c>
      <c r="E1391" t="s">
        <v>63</v>
      </c>
      <c r="F1391" s="36">
        <v>1877</v>
      </c>
      <c r="G1391" s="16" t="str">
        <f>HYPERLINK("#'Data'!A10030", "Households reporting challenges, by type of support they would like to receive broken down by displacement status of head of household on the admin of...")</f>
        <v>Households reporting challenges, by type of support they would like to receive broken down by displacement status of head of household on the admin of...</v>
      </c>
    </row>
    <row r="1392" spans="3:7" x14ac:dyDescent="0.35">
      <c r="C1392" t="s">
        <v>195</v>
      </c>
      <c r="D1392" t="s">
        <v>197</v>
      </c>
      <c r="E1392" t="s">
        <v>64</v>
      </c>
      <c r="F1392" s="36">
        <v>1878</v>
      </c>
      <c r="G1392" s="16" t="str">
        <f>HYPERLINK("#'Data'!A10039", "Households reporting challenges, by type of support they would like to receive broken down by IDP household on the admin of overall perc")</f>
        <v>Households reporting challenges, by type of support they would like to receive broken down by IDP household on the admin of overall perc</v>
      </c>
    </row>
    <row r="1393" spans="3:7" x14ac:dyDescent="0.35">
      <c r="C1393" t="s">
        <v>195</v>
      </c>
      <c r="D1393" t="s">
        <v>197</v>
      </c>
      <c r="E1393" t="s">
        <v>65</v>
      </c>
      <c r="F1393" s="36">
        <v>1879</v>
      </c>
      <c r="G1393" s="16" t="str">
        <f>HYPERLINK("#'Data'!A10045", "Households reporting challenges, by type of support they would like to receive broken down by proximity to frontline/border with Russian Federation on...")</f>
        <v>Households reporting challenges, by type of support they would like to receive broken down by proximity to frontline/border with Russian Federation on...</v>
      </c>
    </row>
    <row r="1394" spans="3:7" x14ac:dyDescent="0.35">
      <c r="C1394" t="s">
        <v>195</v>
      </c>
      <c r="D1394" t="s">
        <v>197</v>
      </c>
      <c r="E1394" t="s">
        <v>77</v>
      </c>
      <c r="F1394" s="36">
        <v>1880</v>
      </c>
      <c r="G1394" s="16" t="str">
        <f>HYPERLINK("#'Data'!A10052", "Households reporting challenges, by type of support they would like to receive broken down by caregiving status  on the admin of overall perc")</f>
        <v>Households reporting challenges, by type of support they would like to receive broken down by caregiving status  on the admin of overall perc</v>
      </c>
    </row>
    <row r="1395" spans="3:7" x14ac:dyDescent="0.35">
      <c r="C1395" t="s">
        <v>195</v>
      </c>
      <c r="D1395" t="s">
        <v>197</v>
      </c>
      <c r="E1395" t="s">
        <v>131</v>
      </c>
      <c r="F1395" s="36">
        <v>1881</v>
      </c>
      <c r="G1395" s="16" t="str">
        <f>HYPERLINK("#'Data'!A10060", "Households reporting challenges, by type of support they would like to receive broken down by gender of respondent on the admin of overall perc")</f>
        <v>Households reporting challenges, by type of support they would like to receive broken down by gender of respondent on the admin of overall perc</v>
      </c>
    </row>
    <row r="1396" spans="3:7" x14ac:dyDescent="0.35">
      <c r="C1396" t="s">
        <v>195</v>
      </c>
      <c r="D1396" t="s">
        <v>197</v>
      </c>
      <c r="E1396" t="s">
        <v>132</v>
      </c>
      <c r="F1396" s="36">
        <v>1882</v>
      </c>
      <c r="G1396" s="16" t="str">
        <f>HYPERLINK("#'Data'!A10067", "Households reporting challenges, by type of support they would like to receive broken down by age of respondents on the admin of overall perc")</f>
        <v>Households reporting challenges, by type of support they would like to receive broken down by age of respondents on the admin of overall perc</v>
      </c>
    </row>
    <row r="1397" spans="3:7" x14ac:dyDescent="0.35">
      <c r="C1397" t="s">
        <v>195</v>
      </c>
      <c r="D1397" t="s">
        <v>197</v>
      </c>
      <c r="E1397" t="s">
        <v>133</v>
      </c>
      <c r="F1397" s="36">
        <v>1883</v>
      </c>
      <c r="G1397" s="16" t="str">
        <f>HYPERLINK("#'Data'!A10075", "Households reporting challenges, by type of support they would like to receive broken down by gender and age of respondents on the admin of overall pe...")</f>
        <v>Households reporting challenges, by type of support they would like to receive broken down by gender and age of respondents on the admin of overall pe...</v>
      </c>
    </row>
    <row r="1398" spans="3:7" x14ac:dyDescent="0.35">
      <c r="C1398" t="s">
        <v>195</v>
      </c>
      <c r="D1398" t="s">
        <v>198</v>
      </c>
      <c r="E1398" t="s">
        <v>36</v>
      </c>
      <c r="F1398" s="36">
        <v>1884</v>
      </c>
      <c r="G1398" s="16" t="str">
        <f>HYPERLINK("#'Data'!A10088", "Households reporting challenges, by modality of assistance they would like to receive on the admin of overall perc")</f>
        <v>Households reporting challenges, by modality of assistance they would like to receive on the admin of overall perc</v>
      </c>
    </row>
    <row r="1399" spans="3:7" x14ac:dyDescent="0.35">
      <c r="C1399" t="s">
        <v>195</v>
      </c>
      <c r="D1399" t="s">
        <v>198</v>
      </c>
      <c r="E1399" t="s">
        <v>57</v>
      </c>
      <c r="F1399" s="36">
        <v>1885</v>
      </c>
      <c r="G1399" s="16" t="str">
        <f>HYPERLINK("#'Data'!A10093", "Households reporting challenges, by modality of assistance they would like to receive broken down by households with at least one member with a report...")</f>
        <v>Households reporting challenges, by modality of assistance they would like to receive broken down by households with at least one member with a report...</v>
      </c>
    </row>
    <row r="1400" spans="3:7" x14ac:dyDescent="0.35">
      <c r="C1400" t="s">
        <v>195</v>
      </c>
      <c r="D1400" t="s">
        <v>198</v>
      </c>
      <c r="E1400" t="s">
        <v>58</v>
      </c>
      <c r="F1400" s="36">
        <v>1886</v>
      </c>
      <c r="G1400" s="16" t="str">
        <f>HYPERLINK("#'Data'!A10099", "Households reporting challenges, by modality of assistance they would like to receive broken down by urbanity on the admin of overall perc")</f>
        <v>Households reporting challenges, by modality of assistance they would like to receive broken down by urbanity on the admin of overall perc</v>
      </c>
    </row>
    <row r="1401" spans="3:7" x14ac:dyDescent="0.35">
      <c r="C1401" t="s">
        <v>195</v>
      </c>
      <c r="D1401" t="s">
        <v>198</v>
      </c>
      <c r="E1401" t="s">
        <v>59</v>
      </c>
      <c r="F1401" s="36">
        <v>1887</v>
      </c>
      <c r="G1401" s="16" t="str">
        <f>HYPERLINK("#'Data'!A10105", "Households reporting challenges, by modality of assistance they would like to receive broken down by household size on the admin of overall perc")</f>
        <v>Households reporting challenges, by modality of assistance they would like to receive broken down by household size on the admin of overall perc</v>
      </c>
    </row>
    <row r="1402" spans="3:7" x14ac:dyDescent="0.35">
      <c r="C1402" t="s">
        <v>195</v>
      </c>
      <c r="D1402" t="s">
        <v>198</v>
      </c>
      <c r="E1402" t="s">
        <v>60</v>
      </c>
      <c r="F1402" s="36">
        <v>1888</v>
      </c>
      <c r="G1402" s="16" t="str">
        <f>HYPERLINK("#'Data'!A10112", "Households reporting challenges, by modality of assistance they would like to receive broken down by income per capita (quartiles) on the admin of ove...")</f>
        <v>Households reporting challenges, by modality of assistance they would like to receive broken down by income per capita (quartiles) on the admin of ove...</v>
      </c>
    </row>
    <row r="1403" spans="3:7" x14ac:dyDescent="0.35">
      <c r="C1403" t="s">
        <v>195</v>
      </c>
      <c r="D1403" t="s">
        <v>198</v>
      </c>
      <c r="E1403" t="s">
        <v>61</v>
      </c>
      <c r="F1403" s="36">
        <v>1889</v>
      </c>
      <c r="G1403" s="16" t="str">
        <f>HYPERLINK("#'Data'!A10120", "Households reporting challenges, by modality of assistance they would like to receive broken down by gender of head of household on the admin of overa...")</f>
        <v>Households reporting challenges, by modality of assistance they would like to receive broken down by gender of head of household on the admin of overa...</v>
      </c>
    </row>
    <row r="1404" spans="3:7" x14ac:dyDescent="0.35">
      <c r="C1404" t="s">
        <v>195</v>
      </c>
      <c r="D1404" t="s">
        <v>198</v>
      </c>
      <c r="E1404" t="s">
        <v>62</v>
      </c>
      <c r="F1404" s="36">
        <v>1890</v>
      </c>
      <c r="G1404" s="16" t="str">
        <f>HYPERLINK("#'Data'!A10128", "Households reporting challenges, by modality of assistance they would like to receive broken down by age of adults in the households on the admin of o...")</f>
        <v>Households reporting challenges, by modality of assistance they would like to receive broken down by age of adults in the households on the admin of o...</v>
      </c>
    </row>
    <row r="1405" spans="3:7" x14ac:dyDescent="0.35">
      <c r="C1405" t="s">
        <v>195</v>
      </c>
      <c r="D1405" t="s">
        <v>198</v>
      </c>
      <c r="E1405" t="s">
        <v>76</v>
      </c>
      <c r="F1405" s="36">
        <v>1891</v>
      </c>
      <c r="G1405" s="16" t="str">
        <f>HYPERLINK("#'Data'!A10135", "Households reporting challenges, by modality of assistance they would like to receive broken down by households with at least one child (&lt;18 y.o.) on ...")</f>
        <v>Households reporting challenges, by modality of assistance they would like to receive broken down by households with at least one child (&lt;18 y.o.) on ...</v>
      </c>
    </row>
    <row r="1406" spans="3:7" x14ac:dyDescent="0.35">
      <c r="C1406" t="s">
        <v>195</v>
      </c>
      <c r="D1406" t="s">
        <v>198</v>
      </c>
      <c r="E1406" t="s">
        <v>63</v>
      </c>
      <c r="F1406" s="36">
        <v>1892</v>
      </c>
      <c r="G1406" s="16" t="str">
        <f>HYPERLINK("#'Data'!A10141", "Households reporting challenges, by modality of assistance they would like to receive broken down by displacement status of head of household on the a...")</f>
        <v>Households reporting challenges, by modality of assistance they would like to receive broken down by displacement status of head of household on the a...</v>
      </c>
    </row>
    <row r="1407" spans="3:7" x14ac:dyDescent="0.35">
      <c r="C1407" t="s">
        <v>195</v>
      </c>
      <c r="D1407" t="s">
        <v>198</v>
      </c>
      <c r="E1407" t="s">
        <v>64</v>
      </c>
      <c r="F1407" s="36">
        <v>1893</v>
      </c>
      <c r="G1407" s="16" t="str">
        <f>HYPERLINK("#'Data'!A10150", "Households reporting challenges, by modality of assistance they would like to receive broken down by IDP household on the admin of overall perc")</f>
        <v>Households reporting challenges, by modality of assistance they would like to receive broken down by IDP household on the admin of overall perc</v>
      </c>
    </row>
    <row r="1408" spans="3:7" x14ac:dyDescent="0.35">
      <c r="C1408" t="s">
        <v>195</v>
      </c>
      <c r="D1408" t="s">
        <v>198</v>
      </c>
      <c r="E1408" t="s">
        <v>65</v>
      </c>
      <c r="F1408" s="36">
        <v>1894</v>
      </c>
      <c r="G1408" s="16" t="str">
        <f>HYPERLINK("#'Data'!A10156", "Households reporting challenges, by modality of assistance they would like to receive broken down by proximity to frontline/border with Russian Federa...")</f>
        <v>Households reporting challenges, by modality of assistance they would like to receive broken down by proximity to frontline/border with Russian Federa...</v>
      </c>
    </row>
    <row r="1409" spans="3:7" x14ac:dyDescent="0.35">
      <c r="C1409" t="s">
        <v>195</v>
      </c>
      <c r="D1409" t="s">
        <v>198</v>
      </c>
      <c r="E1409" t="s">
        <v>77</v>
      </c>
      <c r="F1409" s="36">
        <v>1895</v>
      </c>
      <c r="G1409" s="16" t="str">
        <f>HYPERLINK("#'Data'!A10163", "Households reporting challenges, by modality of assistance they would like to receive broken down by caregiving status  on the admin of overall perc")</f>
        <v>Households reporting challenges, by modality of assistance they would like to receive broken down by caregiving status  on the admin of overall perc</v>
      </c>
    </row>
    <row r="1410" spans="3:7" x14ac:dyDescent="0.35">
      <c r="C1410" t="s">
        <v>195</v>
      </c>
      <c r="D1410" t="s">
        <v>198</v>
      </c>
      <c r="E1410" t="s">
        <v>131</v>
      </c>
      <c r="F1410" s="36">
        <v>1896</v>
      </c>
      <c r="G1410" s="16" t="str">
        <f>HYPERLINK("#'Data'!A10171", "Households reporting challenges, by modality of assistance they would like to receive broken down by gender of respondent on the admin of overall perc")</f>
        <v>Households reporting challenges, by modality of assistance they would like to receive broken down by gender of respondent on the admin of overall perc</v>
      </c>
    </row>
    <row r="1411" spans="3:7" x14ac:dyDescent="0.35">
      <c r="C1411" t="s">
        <v>195</v>
      </c>
      <c r="D1411" t="s">
        <v>198</v>
      </c>
      <c r="E1411" t="s">
        <v>132</v>
      </c>
      <c r="F1411" s="36">
        <v>1897</v>
      </c>
      <c r="G1411" s="16" t="str">
        <f>HYPERLINK("#'Data'!A10178", "Households reporting challenges, by modality of assistance they would like to receive broken down by age of respondents on the admin of overall perc")</f>
        <v>Households reporting challenges, by modality of assistance they would like to receive broken down by age of respondents on the admin of overall perc</v>
      </c>
    </row>
    <row r="1412" spans="3:7" x14ac:dyDescent="0.35">
      <c r="C1412" t="s">
        <v>195</v>
      </c>
      <c r="D1412" t="s">
        <v>198</v>
      </c>
      <c r="E1412" t="s">
        <v>133</v>
      </c>
      <c r="F1412" s="36">
        <v>1898</v>
      </c>
      <c r="G1412" s="16" t="str">
        <f>HYPERLINK("#'Data'!A10186", "Households reporting challenges, by modality of assistance they would like to receive broken down by gender and age of respondents on the admin of ove...")</f>
        <v>Households reporting challenges, by modality of assistance they would like to receive broken down by gender and age of respondents on the admin of ove...</v>
      </c>
    </row>
    <row r="1413" spans="3:7" x14ac:dyDescent="0.35">
      <c r="C1413" t="s">
        <v>195</v>
      </c>
      <c r="D1413" t="s">
        <v>199</v>
      </c>
      <c r="E1413" t="s">
        <v>36</v>
      </c>
      <c r="F1413" s="36">
        <v>1899</v>
      </c>
      <c r="G1413" s="16" t="str">
        <f>HYPERLINK("#'Data'!A10199", "Households by last time aid was received on the admin of overall perc")</f>
        <v>Households by last time aid was received on the admin of overall perc</v>
      </c>
    </row>
    <row r="1414" spans="3:7" x14ac:dyDescent="0.35">
      <c r="C1414" t="s">
        <v>195</v>
      </c>
      <c r="D1414" t="s">
        <v>199</v>
      </c>
      <c r="E1414" t="s">
        <v>57</v>
      </c>
      <c r="F1414" s="36">
        <v>1900</v>
      </c>
      <c r="G1414" s="16" t="str">
        <f>HYPERLINK("#'Data'!A10204", "Households by last time aid was received broken down by households with at least one member with a reported and/or registered disability on the admin ...")</f>
        <v>Households by last time aid was received broken down by households with at least one member with a reported and/or registered disability on the admin ...</v>
      </c>
    </row>
    <row r="1415" spans="3:7" x14ac:dyDescent="0.35">
      <c r="C1415" t="s">
        <v>195</v>
      </c>
      <c r="D1415" t="s">
        <v>199</v>
      </c>
      <c r="E1415" t="s">
        <v>58</v>
      </c>
      <c r="F1415" s="36">
        <v>1901</v>
      </c>
      <c r="G1415" s="16" t="str">
        <f>HYPERLINK("#'Data'!A10210", "Households by last time aid was received broken down by urbanity on the admin of overall perc")</f>
        <v>Households by last time aid was received broken down by urbanity on the admin of overall perc</v>
      </c>
    </row>
    <row r="1416" spans="3:7" x14ac:dyDescent="0.35">
      <c r="C1416" t="s">
        <v>195</v>
      </c>
      <c r="D1416" t="s">
        <v>199</v>
      </c>
      <c r="E1416" t="s">
        <v>59</v>
      </c>
      <c r="F1416" s="36">
        <v>1902</v>
      </c>
      <c r="G1416" s="16" t="str">
        <f>HYPERLINK("#'Data'!A10216", "Households by last time aid was received broken down by household size on the admin of overall perc")</f>
        <v>Households by last time aid was received broken down by household size on the admin of overall perc</v>
      </c>
    </row>
    <row r="1417" spans="3:7" x14ac:dyDescent="0.35">
      <c r="C1417" t="s">
        <v>195</v>
      </c>
      <c r="D1417" t="s">
        <v>199</v>
      </c>
      <c r="E1417" t="s">
        <v>60</v>
      </c>
      <c r="F1417" s="36">
        <v>1903</v>
      </c>
      <c r="G1417" s="16" t="str">
        <f>HYPERLINK("#'Data'!A10223", "Households by last time aid was received broken down by income per capita (quartiles) on the admin of overall perc")</f>
        <v>Households by last time aid was received broken down by income per capita (quartiles) on the admin of overall perc</v>
      </c>
    </row>
    <row r="1418" spans="3:7" x14ac:dyDescent="0.35">
      <c r="C1418" t="s">
        <v>195</v>
      </c>
      <c r="D1418" t="s">
        <v>199</v>
      </c>
      <c r="E1418" t="s">
        <v>61</v>
      </c>
      <c r="F1418" s="36">
        <v>1904</v>
      </c>
      <c r="G1418" s="16" t="str">
        <f>HYPERLINK("#'Data'!A10231", "Households by last time aid was received broken down by gender of head of household on the admin of overall perc")</f>
        <v>Households by last time aid was received broken down by gender of head of household on the admin of overall perc</v>
      </c>
    </row>
    <row r="1419" spans="3:7" x14ac:dyDescent="0.35">
      <c r="C1419" t="s">
        <v>195</v>
      </c>
      <c r="D1419" t="s">
        <v>199</v>
      </c>
      <c r="E1419" t="s">
        <v>62</v>
      </c>
      <c r="F1419" s="36">
        <v>1905</v>
      </c>
      <c r="G1419" s="16" t="str">
        <f>HYPERLINK("#'Data'!A10239", "Households by last time aid was received broken down by age of adults in the households on the admin of overall perc")</f>
        <v>Households by last time aid was received broken down by age of adults in the households on the admin of overall perc</v>
      </c>
    </row>
    <row r="1420" spans="3:7" x14ac:dyDescent="0.35">
      <c r="C1420" t="s">
        <v>195</v>
      </c>
      <c r="D1420" t="s">
        <v>199</v>
      </c>
      <c r="E1420" t="s">
        <v>76</v>
      </c>
      <c r="F1420" s="36">
        <v>1906</v>
      </c>
      <c r="G1420" s="16" t="str">
        <f>HYPERLINK("#'Data'!A10246", "Households by last time aid was received broken down by households with at least one child (&lt;18 y.o.) on the admin of overall perc")</f>
        <v>Households by last time aid was received broken down by households with at least one child (&lt;18 y.o.) on the admin of overall perc</v>
      </c>
    </row>
    <row r="1421" spans="3:7" x14ac:dyDescent="0.35">
      <c r="C1421" t="s">
        <v>195</v>
      </c>
      <c r="D1421" t="s">
        <v>199</v>
      </c>
      <c r="E1421" t="s">
        <v>63</v>
      </c>
      <c r="F1421" s="36">
        <v>1907</v>
      </c>
      <c r="G1421" s="16" t="str">
        <f>HYPERLINK("#'Data'!A10252", "Households by last time aid was received broken down by displacement status of head of household on the admin of overall perc")</f>
        <v>Households by last time aid was received broken down by displacement status of head of household on the admin of overall perc</v>
      </c>
    </row>
    <row r="1422" spans="3:7" x14ac:dyDescent="0.35">
      <c r="C1422" t="s">
        <v>195</v>
      </c>
      <c r="D1422" t="s">
        <v>199</v>
      </c>
      <c r="E1422" t="s">
        <v>64</v>
      </c>
      <c r="F1422" s="36">
        <v>1908</v>
      </c>
      <c r="G1422" s="16" t="str">
        <f>HYPERLINK("#'Data'!A10261", "Households by last time aid was received broken down by IDP household on the admin of overall perc")</f>
        <v>Households by last time aid was received broken down by IDP household on the admin of overall perc</v>
      </c>
    </row>
    <row r="1423" spans="3:7" x14ac:dyDescent="0.35">
      <c r="C1423" t="s">
        <v>195</v>
      </c>
      <c r="D1423" t="s">
        <v>199</v>
      </c>
      <c r="E1423" t="s">
        <v>65</v>
      </c>
      <c r="F1423" s="36">
        <v>1909</v>
      </c>
      <c r="G1423" s="16" t="str">
        <f>HYPERLINK("#'Data'!A10267", "Households by last time aid was received broken down by proximity to frontline/border with Russian Federation on the admin of overall perc")</f>
        <v>Households by last time aid was received broken down by proximity to frontline/border with Russian Federation on the admin of overall perc</v>
      </c>
    </row>
    <row r="1424" spans="3:7" x14ac:dyDescent="0.35">
      <c r="C1424" t="s">
        <v>195</v>
      </c>
      <c r="D1424" t="s">
        <v>199</v>
      </c>
      <c r="E1424" t="s">
        <v>77</v>
      </c>
      <c r="F1424" s="36">
        <v>1910</v>
      </c>
      <c r="G1424" s="16" t="str">
        <f>HYPERLINK("#'Data'!A10274", "Households by last time aid was received broken down by caregiving status  on the admin of overall perc")</f>
        <v>Households by last time aid was received broken down by caregiving status  on the admin of overall perc</v>
      </c>
    </row>
    <row r="1425" spans="3:7" x14ac:dyDescent="0.35">
      <c r="C1425" t="s">
        <v>195</v>
      </c>
      <c r="D1425" t="s">
        <v>199</v>
      </c>
      <c r="E1425" t="s">
        <v>131</v>
      </c>
      <c r="F1425" s="36">
        <v>1911</v>
      </c>
      <c r="G1425" s="16" t="str">
        <f>HYPERLINK("#'Data'!A10282", "Households by last time aid was received broken down by gender of respondent on the admin of overall perc")</f>
        <v>Households by last time aid was received broken down by gender of respondent on the admin of overall perc</v>
      </c>
    </row>
    <row r="1426" spans="3:7" x14ac:dyDescent="0.35">
      <c r="C1426" t="s">
        <v>195</v>
      </c>
      <c r="D1426" t="s">
        <v>199</v>
      </c>
      <c r="E1426" t="s">
        <v>132</v>
      </c>
      <c r="F1426" s="36">
        <v>1912</v>
      </c>
      <c r="G1426" s="16" t="str">
        <f>HYPERLINK("#'Data'!A10289", "Households by last time aid was received broken down by age of respondents on the admin of overall perc")</f>
        <v>Households by last time aid was received broken down by age of respondents on the admin of overall perc</v>
      </c>
    </row>
    <row r="1427" spans="3:7" x14ac:dyDescent="0.35">
      <c r="C1427" t="s">
        <v>195</v>
      </c>
      <c r="D1427" t="s">
        <v>199</v>
      </c>
      <c r="E1427" t="s">
        <v>133</v>
      </c>
      <c r="F1427" s="36">
        <v>1913</v>
      </c>
      <c r="G1427" s="16" t="str">
        <f>HYPERLINK("#'Data'!A10297", "Households by last time aid was received broken down by gender and age of respondents on the admin of overall perc")</f>
        <v>Households by last time aid was received broken down by gender and age of respondents on the admin of overall perc</v>
      </c>
    </row>
    <row r="1428" spans="3:7" x14ac:dyDescent="0.35">
      <c r="C1428" t="s">
        <v>195</v>
      </c>
      <c r="D1428" t="s">
        <v>200</v>
      </c>
      <c r="E1428" t="s">
        <v>36</v>
      </c>
      <c r="F1428" s="36">
        <v>1914</v>
      </c>
      <c r="G1428" s="16" t="str">
        <f>HYPERLINK("#'Data'!A10310", "Households reporting barriers in accessing to aid in the past 12 months, by barrier on the admin of overall perc")</f>
        <v>Households reporting barriers in accessing to aid in the past 12 months, by barrier on the admin of overall perc</v>
      </c>
    </row>
    <row r="1429" spans="3:7" x14ac:dyDescent="0.35">
      <c r="C1429" t="s">
        <v>195</v>
      </c>
      <c r="D1429" t="s">
        <v>200</v>
      </c>
      <c r="E1429" t="s">
        <v>57</v>
      </c>
      <c r="F1429" s="36">
        <v>1915</v>
      </c>
      <c r="G1429" s="16" t="str">
        <f>HYPERLINK("#'Data'!A10315", "Households reporting barriers in accessing to aid in the past 12 months, by barrier broken down by households with at least one member with a reported...")</f>
        <v>Households reporting barriers in accessing to aid in the past 12 months, by barrier broken down by households with at least one member with a reported...</v>
      </c>
    </row>
    <row r="1430" spans="3:7" x14ac:dyDescent="0.35">
      <c r="C1430" t="s">
        <v>195</v>
      </c>
      <c r="D1430" t="s">
        <v>200</v>
      </c>
      <c r="E1430" t="s">
        <v>58</v>
      </c>
      <c r="F1430" s="36">
        <v>1916</v>
      </c>
      <c r="G1430" s="16" t="str">
        <f>HYPERLINK("#'Data'!A10321", "Households reporting barriers in accessing to aid in the past 12 months, by barrier broken down by urbanity on the admin of overall perc")</f>
        <v>Households reporting barriers in accessing to aid in the past 12 months, by barrier broken down by urbanity on the admin of overall perc</v>
      </c>
    </row>
    <row r="1431" spans="3:7" x14ac:dyDescent="0.35">
      <c r="C1431" t="s">
        <v>195</v>
      </c>
      <c r="D1431" t="s">
        <v>200</v>
      </c>
      <c r="E1431" t="s">
        <v>59</v>
      </c>
      <c r="F1431" s="36">
        <v>1917</v>
      </c>
      <c r="G1431" s="16" t="str">
        <f>HYPERLINK("#'Data'!A10327", "Households reporting barriers in accessing to aid in the past 12 months, by barrier broken down by household size on the admin of overall perc")</f>
        <v>Households reporting barriers in accessing to aid in the past 12 months, by barrier broken down by household size on the admin of overall perc</v>
      </c>
    </row>
    <row r="1432" spans="3:7" x14ac:dyDescent="0.35">
      <c r="C1432" t="s">
        <v>195</v>
      </c>
      <c r="D1432" t="s">
        <v>200</v>
      </c>
      <c r="E1432" t="s">
        <v>60</v>
      </c>
      <c r="F1432" s="36">
        <v>1918</v>
      </c>
      <c r="G1432" s="16" t="str">
        <f>HYPERLINK("#'Data'!A10334", "Households reporting barriers in accessing to aid in the past 12 months, by barrier broken down by income per capita (quartiles) on the admin of overa...")</f>
        <v>Households reporting barriers in accessing to aid in the past 12 months, by barrier broken down by income per capita (quartiles) on the admin of overa...</v>
      </c>
    </row>
    <row r="1433" spans="3:7" x14ac:dyDescent="0.35">
      <c r="C1433" t="s">
        <v>195</v>
      </c>
      <c r="D1433" t="s">
        <v>200</v>
      </c>
      <c r="E1433" t="s">
        <v>61</v>
      </c>
      <c r="F1433" s="36">
        <v>1919</v>
      </c>
      <c r="G1433" s="16" t="str">
        <f>HYPERLINK("#'Data'!A10342", "Households reporting barriers in accessing to aid in the past 12 months, by barrier broken down by gender of head of household on the admin of overall...")</f>
        <v>Households reporting barriers in accessing to aid in the past 12 months, by barrier broken down by gender of head of household on the admin of overall...</v>
      </c>
    </row>
    <row r="1434" spans="3:7" x14ac:dyDescent="0.35">
      <c r="C1434" t="s">
        <v>195</v>
      </c>
      <c r="D1434" t="s">
        <v>200</v>
      </c>
      <c r="E1434" t="s">
        <v>62</v>
      </c>
      <c r="F1434" s="36">
        <v>1920</v>
      </c>
      <c r="G1434" s="16" t="str">
        <f>HYPERLINK("#'Data'!A10350", "Households reporting barriers in accessing to aid in the past 12 months, by barrier broken down by age of adults in the households on the admin of ove...")</f>
        <v>Households reporting barriers in accessing to aid in the past 12 months, by barrier broken down by age of adults in the households on the admin of ove...</v>
      </c>
    </row>
    <row r="1435" spans="3:7" x14ac:dyDescent="0.35">
      <c r="C1435" t="s">
        <v>195</v>
      </c>
      <c r="D1435" t="s">
        <v>200</v>
      </c>
      <c r="E1435" t="s">
        <v>76</v>
      </c>
      <c r="F1435" s="36">
        <v>1921</v>
      </c>
      <c r="G1435" s="16" t="str">
        <f>HYPERLINK("#'Data'!A10357", "Households reporting barriers in accessing to aid in the past 12 months, by barrier broken down by households with at least one child (&lt;18 y.o.) on th...")</f>
        <v>Households reporting barriers in accessing to aid in the past 12 months, by barrier broken down by households with at least one child (&lt;18 y.o.) on th...</v>
      </c>
    </row>
    <row r="1436" spans="3:7" x14ac:dyDescent="0.35">
      <c r="C1436" t="s">
        <v>195</v>
      </c>
      <c r="D1436" t="s">
        <v>200</v>
      </c>
      <c r="E1436" t="s">
        <v>63</v>
      </c>
      <c r="F1436" s="36">
        <v>1922</v>
      </c>
      <c r="G1436" s="16" t="str">
        <f>HYPERLINK("#'Data'!A10363", "Households reporting barriers in accessing to aid in the past 12 months, by barrier broken down by displacement status of head of household on the adm...")</f>
        <v>Households reporting barriers in accessing to aid in the past 12 months, by barrier broken down by displacement status of head of household on the adm...</v>
      </c>
    </row>
    <row r="1437" spans="3:7" x14ac:dyDescent="0.35">
      <c r="C1437" t="s">
        <v>195</v>
      </c>
      <c r="D1437" t="s">
        <v>200</v>
      </c>
      <c r="E1437" t="s">
        <v>64</v>
      </c>
      <c r="F1437" s="36">
        <v>1923</v>
      </c>
      <c r="G1437" s="16" t="str">
        <f>HYPERLINK("#'Data'!A10372", "Households reporting barriers in accessing to aid in the past 12 months, by barrier broken down by IDP household on the admin of overall perc")</f>
        <v>Households reporting barriers in accessing to aid in the past 12 months, by barrier broken down by IDP household on the admin of overall perc</v>
      </c>
    </row>
    <row r="1438" spans="3:7" x14ac:dyDescent="0.35">
      <c r="C1438" t="s">
        <v>195</v>
      </c>
      <c r="D1438" t="s">
        <v>200</v>
      </c>
      <c r="E1438" t="s">
        <v>65</v>
      </c>
      <c r="F1438" s="36">
        <v>1924</v>
      </c>
      <c r="G1438" s="16" t="str">
        <f>HYPERLINK("#'Data'!A10378", "Households reporting barriers in accessing to aid in the past 12 months, by barrier broken down by proximity to frontline/border with Russian Federati...")</f>
        <v>Households reporting barriers in accessing to aid in the past 12 months, by barrier broken down by proximity to frontline/border with Russian Federati...</v>
      </c>
    </row>
    <row r="1439" spans="3:7" x14ac:dyDescent="0.35">
      <c r="C1439" t="s">
        <v>195</v>
      </c>
      <c r="D1439" t="s">
        <v>200</v>
      </c>
      <c r="E1439" t="s">
        <v>77</v>
      </c>
      <c r="F1439" s="36">
        <v>1925</v>
      </c>
      <c r="G1439" s="16" t="str">
        <f>HYPERLINK("#'Data'!A10385", "Households reporting barriers in accessing to aid in the past 12 months, by barrier broken down by caregiving status  on the admin of overall perc")</f>
        <v>Households reporting barriers in accessing to aid in the past 12 months, by barrier broken down by caregiving status  on the admin of overall perc</v>
      </c>
    </row>
    <row r="1440" spans="3:7" x14ac:dyDescent="0.35">
      <c r="C1440" t="s">
        <v>195</v>
      </c>
      <c r="D1440" t="s">
        <v>200</v>
      </c>
      <c r="E1440" t="s">
        <v>131</v>
      </c>
      <c r="F1440" s="36">
        <v>1926</v>
      </c>
      <c r="G1440" s="16" t="str">
        <f>HYPERLINK("#'Data'!A10393", "Households reporting barriers in accessing to aid in the past 12 months, by barrier broken down by gender of respondent on the admin of overall perc")</f>
        <v>Households reporting barriers in accessing to aid in the past 12 months, by barrier broken down by gender of respondent on the admin of overall perc</v>
      </c>
    </row>
    <row r="1441" spans="3:7" x14ac:dyDescent="0.35">
      <c r="C1441" t="s">
        <v>195</v>
      </c>
      <c r="D1441" t="s">
        <v>200</v>
      </c>
      <c r="E1441" t="s">
        <v>132</v>
      </c>
      <c r="F1441" s="36">
        <v>1927</v>
      </c>
      <c r="G1441" s="16" t="str">
        <f>HYPERLINK("#'Data'!A10400", "Households reporting barriers in accessing to aid in the past 12 months, by barrier broken down by age of respondents on the admin of overall perc")</f>
        <v>Households reporting barriers in accessing to aid in the past 12 months, by barrier broken down by age of respondents on the admin of overall perc</v>
      </c>
    </row>
    <row r="1442" spans="3:7" x14ac:dyDescent="0.35">
      <c r="C1442" t="s">
        <v>195</v>
      </c>
      <c r="D1442" t="s">
        <v>200</v>
      </c>
      <c r="E1442" t="s">
        <v>133</v>
      </c>
      <c r="F1442" s="36">
        <v>1928</v>
      </c>
      <c r="G1442" s="16" t="str">
        <f>HYPERLINK("#'Data'!A10408", "Households reporting barriers in accessing to aid in the past 12 months, by barrier broken down by gender and age of respondents on the admin of overa...")</f>
        <v>Households reporting barriers in accessing to aid in the past 12 months, by barrier broken down by gender and age of respondents on the admin of overa...</v>
      </c>
    </row>
    <row r="1443" spans="3:7" x14ac:dyDescent="0.35">
      <c r="C1443" t="s">
        <v>195</v>
      </c>
      <c r="D1443" t="s">
        <v>201</v>
      </c>
      <c r="E1443" t="s">
        <v>36</v>
      </c>
      <c r="F1443" s="36">
        <v>1929</v>
      </c>
      <c r="G1443" s="16" t="str">
        <f>HYPERLINK("#'Data'!A10421", "Households who received aid, by aid satisfaction in the past 12 months on the admin of overall perc")</f>
        <v>Households who received aid, by aid satisfaction in the past 12 months on the admin of overall perc</v>
      </c>
    </row>
    <row r="1444" spans="3:7" x14ac:dyDescent="0.35">
      <c r="C1444" t="s">
        <v>195</v>
      </c>
      <c r="D1444" t="s">
        <v>201</v>
      </c>
      <c r="E1444" t="s">
        <v>57</v>
      </c>
      <c r="F1444" s="36">
        <v>1930</v>
      </c>
      <c r="G1444" s="16" t="str">
        <f>HYPERLINK("#'Data'!A10426", "Households who received aid, by aid satisfaction in the past 12 months broken down by households with at least one member with a reported and/or regis...")</f>
        <v>Households who received aid, by aid satisfaction in the past 12 months broken down by households with at least one member with a reported and/or regis...</v>
      </c>
    </row>
    <row r="1445" spans="3:7" x14ac:dyDescent="0.35">
      <c r="C1445" t="s">
        <v>195</v>
      </c>
      <c r="D1445" t="s">
        <v>201</v>
      </c>
      <c r="E1445" t="s">
        <v>58</v>
      </c>
      <c r="F1445" s="36">
        <v>1931</v>
      </c>
      <c r="G1445" s="16" t="str">
        <f>HYPERLINK("#'Data'!A10432", "Households who received aid, by aid satisfaction in the past 12 months broken down by urbanity on the admin of overall perc")</f>
        <v>Households who received aid, by aid satisfaction in the past 12 months broken down by urbanity on the admin of overall perc</v>
      </c>
    </row>
    <row r="1446" spans="3:7" x14ac:dyDescent="0.35">
      <c r="C1446" t="s">
        <v>195</v>
      </c>
      <c r="D1446" t="s">
        <v>201</v>
      </c>
      <c r="E1446" t="s">
        <v>59</v>
      </c>
      <c r="F1446" s="36">
        <v>1932</v>
      </c>
      <c r="G1446" s="16" t="str">
        <f>HYPERLINK("#'Data'!A10438", "Households who received aid, by aid satisfaction in the past 12 months broken down by household size on the admin of overall perc")</f>
        <v>Households who received aid, by aid satisfaction in the past 12 months broken down by household size on the admin of overall perc</v>
      </c>
    </row>
    <row r="1447" spans="3:7" x14ac:dyDescent="0.35">
      <c r="C1447" t="s">
        <v>195</v>
      </c>
      <c r="D1447" t="s">
        <v>201</v>
      </c>
      <c r="E1447" t="s">
        <v>60</v>
      </c>
      <c r="F1447" s="36">
        <v>1933</v>
      </c>
      <c r="G1447" s="16" t="str">
        <f>HYPERLINK("#'Data'!A10445", "Households who received aid, by aid satisfaction in the past 12 months broken down by income per capita (quartiles) on the admin of overall perc")</f>
        <v>Households who received aid, by aid satisfaction in the past 12 months broken down by income per capita (quartiles) on the admin of overall perc</v>
      </c>
    </row>
    <row r="1448" spans="3:7" x14ac:dyDescent="0.35">
      <c r="C1448" t="s">
        <v>195</v>
      </c>
      <c r="D1448" t="s">
        <v>201</v>
      </c>
      <c r="E1448" t="s">
        <v>61</v>
      </c>
      <c r="F1448" s="36">
        <v>1934</v>
      </c>
      <c r="G1448" s="16" t="str">
        <f>HYPERLINK("#'Data'!A10453", "Households who received aid, by aid satisfaction in the past 12 months broken down by gender of head of household on the admin of overall perc")</f>
        <v>Households who received aid, by aid satisfaction in the past 12 months broken down by gender of head of household on the admin of overall perc</v>
      </c>
    </row>
    <row r="1449" spans="3:7" x14ac:dyDescent="0.35">
      <c r="C1449" t="s">
        <v>195</v>
      </c>
      <c r="D1449" t="s">
        <v>201</v>
      </c>
      <c r="E1449" t="s">
        <v>62</v>
      </c>
      <c r="F1449" s="36">
        <v>1935</v>
      </c>
      <c r="G1449" s="16" t="str">
        <f>HYPERLINK("#'Data'!A10461", "Households who received aid, by aid satisfaction in the past 12 months broken down by age of adults in the households on the admin of overall perc")</f>
        <v>Households who received aid, by aid satisfaction in the past 12 months broken down by age of adults in the households on the admin of overall perc</v>
      </c>
    </row>
    <row r="1450" spans="3:7" x14ac:dyDescent="0.35">
      <c r="C1450" t="s">
        <v>195</v>
      </c>
      <c r="D1450" t="s">
        <v>201</v>
      </c>
      <c r="E1450" t="s">
        <v>76</v>
      </c>
      <c r="F1450" s="36">
        <v>1936</v>
      </c>
      <c r="G1450" s="16" t="str">
        <f>HYPERLINK("#'Data'!A10468", "Households who received aid, by aid satisfaction in the past 12 months broken down by households with at least one child (&lt;18 y.o.) on the admin of ov...")</f>
        <v>Households who received aid, by aid satisfaction in the past 12 months broken down by households with at least one child (&lt;18 y.o.) on the admin of ov...</v>
      </c>
    </row>
    <row r="1451" spans="3:7" x14ac:dyDescent="0.35">
      <c r="C1451" t="s">
        <v>195</v>
      </c>
      <c r="D1451" t="s">
        <v>201</v>
      </c>
      <c r="E1451" t="s">
        <v>63</v>
      </c>
      <c r="F1451" s="36">
        <v>1937</v>
      </c>
      <c r="G1451" s="16" t="str">
        <f>HYPERLINK("#'Data'!A10474", "Households who received aid, by aid satisfaction in the past 12 months broken down by displacement status of head of household on the admin of overall...")</f>
        <v>Households who received aid, by aid satisfaction in the past 12 months broken down by displacement status of head of household on the admin of overall...</v>
      </c>
    </row>
    <row r="1452" spans="3:7" x14ac:dyDescent="0.35">
      <c r="C1452" t="s">
        <v>195</v>
      </c>
      <c r="D1452" t="s">
        <v>201</v>
      </c>
      <c r="E1452" t="s">
        <v>64</v>
      </c>
      <c r="F1452" s="36">
        <v>1938</v>
      </c>
      <c r="G1452" s="16" t="str">
        <f>HYPERLINK("#'Data'!A10483", "Households who received aid, by aid satisfaction in the past 12 months broken down by IDP household on the admin of overall perc")</f>
        <v>Households who received aid, by aid satisfaction in the past 12 months broken down by IDP household on the admin of overall perc</v>
      </c>
    </row>
    <row r="1453" spans="3:7" x14ac:dyDescent="0.35">
      <c r="C1453" t="s">
        <v>195</v>
      </c>
      <c r="D1453" t="s">
        <v>201</v>
      </c>
      <c r="E1453" t="s">
        <v>65</v>
      </c>
      <c r="F1453" s="36">
        <v>1939</v>
      </c>
      <c r="G1453" s="16" t="str">
        <f>HYPERLINK("#'Data'!A10489", "Households who received aid, by aid satisfaction in the past 12 months broken down by proximity to frontline/border with Russian Federation on the adm...")</f>
        <v>Households who received aid, by aid satisfaction in the past 12 months broken down by proximity to frontline/border with Russian Federation on the adm...</v>
      </c>
    </row>
    <row r="1454" spans="3:7" x14ac:dyDescent="0.35">
      <c r="C1454" t="s">
        <v>195</v>
      </c>
      <c r="D1454" t="s">
        <v>201</v>
      </c>
      <c r="E1454" t="s">
        <v>77</v>
      </c>
      <c r="F1454" s="36">
        <v>1940</v>
      </c>
      <c r="G1454" s="16" t="str">
        <f>HYPERLINK("#'Data'!A10496", "Households who received aid, by aid satisfaction in the past 12 months broken down by caregiving status  on the admin of overall perc")</f>
        <v>Households who received aid, by aid satisfaction in the past 12 months broken down by caregiving status  on the admin of overall perc</v>
      </c>
    </row>
    <row r="1455" spans="3:7" x14ac:dyDescent="0.35">
      <c r="C1455" t="s">
        <v>195</v>
      </c>
      <c r="D1455" t="s">
        <v>201</v>
      </c>
      <c r="E1455" t="s">
        <v>131</v>
      </c>
      <c r="F1455" s="36">
        <v>1941</v>
      </c>
      <c r="G1455" s="16" t="str">
        <f>HYPERLINK("#'Data'!A10504", "Households who received aid, by aid satisfaction in the past 12 months broken down by gender of respondent on the admin of overall perc")</f>
        <v>Households who received aid, by aid satisfaction in the past 12 months broken down by gender of respondent on the admin of overall perc</v>
      </c>
    </row>
    <row r="1456" spans="3:7" x14ac:dyDescent="0.35">
      <c r="C1456" t="s">
        <v>195</v>
      </c>
      <c r="D1456" t="s">
        <v>201</v>
      </c>
      <c r="E1456" t="s">
        <v>132</v>
      </c>
      <c r="F1456" s="36">
        <v>1942</v>
      </c>
      <c r="G1456" s="16" t="str">
        <f>HYPERLINK("#'Data'!A10511", "Households who received aid, by aid satisfaction in the past 12 months broken down by age of respondents on the admin of overall perc")</f>
        <v>Households who received aid, by aid satisfaction in the past 12 months broken down by age of respondents on the admin of overall perc</v>
      </c>
    </row>
    <row r="1457" spans="3:7" x14ac:dyDescent="0.35">
      <c r="C1457" t="s">
        <v>195</v>
      </c>
      <c r="D1457" t="s">
        <v>201</v>
      </c>
      <c r="E1457" t="s">
        <v>133</v>
      </c>
      <c r="F1457" s="36">
        <v>1943</v>
      </c>
      <c r="G1457" s="16" t="str">
        <f>HYPERLINK("#'Data'!A10519", "Households who received aid, by aid satisfaction in the past 12 months broken down by gender and age of respondents on the admin of overall perc")</f>
        <v>Households who received aid, by aid satisfaction in the past 12 months broken down by gender and age of respondents on the admin of overall perc</v>
      </c>
    </row>
    <row r="1458" spans="3:7" x14ac:dyDescent="0.35">
      <c r="C1458" t="s">
        <v>195</v>
      </c>
      <c r="D1458" t="s">
        <v>202</v>
      </c>
      <c r="E1458" t="s">
        <v>36</v>
      </c>
      <c r="F1458" s="36">
        <v>1944</v>
      </c>
      <c r="G1458" s="16" t="str">
        <f>HYPERLINK("#'Data'!A10532", "Households dissatisfied with aid received, by reason on the admin of overall perc")</f>
        <v>Households dissatisfied with aid received, by reason on the admin of overall perc</v>
      </c>
    </row>
    <row r="1459" spans="3:7" x14ac:dyDescent="0.35">
      <c r="C1459" t="s">
        <v>195</v>
      </c>
      <c r="D1459" t="s">
        <v>202</v>
      </c>
      <c r="E1459" t="s">
        <v>57</v>
      </c>
      <c r="F1459" s="36">
        <v>1945</v>
      </c>
      <c r="G1459" s="16" t="str">
        <f>HYPERLINK("#'Data'!A10537", "Households dissatisfied with aid received, by reason broken down by households with at least one member with a reported and/or registered disability o...")</f>
        <v>Households dissatisfied with aid received, by reason broken down by households with at least one member with a reported and/or registered disability o...</v>
      </c>
    </row>
    <row r="1460" spans="3:7" x14ac:dyDescent="0.35">
      <c r="C1460" t="s">
        <v>195</v>
      </c>
      <c r="D1460" t="s">
        <v>202</v>
      </c>
      <c r="E1460" t="s">
        <v>58</v>
      </c>
      <c r="F1460" s="36">
        <v>1946</v>
      </c>
      <c r="G1460" s="16" t="str">
        <f>HYPERLINK("#'Data'!A10543", "Households dissatisfied with aid received, by reason broken down by urbanity on the admin of overall perc")</f>
        <v>Households dissatisfied with aid received, by reason broken down by urbanity on the admin of overall perc</v>
      </c>
    </row>
    <row r="1461" spans="3:7" x14ac:dyDescent="0.35">
      <c r="C1461" t="s">
        <v>195</v>
      </c>
      <c r="D1461" t="s">
        <v>202</v>
      </c>
      <c r="E1461" t="s">
        <v>59</v>
      </c>
      <c r="F1461" s="36">
        <v>1947</v>
      </c>
      <c r="G1461" s="16" t="str">
        <f>HYPERLINK("#'Data'!A10549", "Households dissatisfied with aid received, by reason broken down by household size on the admin of overall perc")</f>
        <v>Households dissatisfied with aid received, by reason broken down by household size on the admin of overall perc</v>
      </c>
    </row>
    <row r="1462" spans="3:7" x14ac:dyDescent="0.35">
      <c r="C1462" t="s">
        <v>195</v>
      </c>
      <c r="D1462" t="s">
        <v>202</v>
      </c>
      <c r="E1462" t="s">
        <v>60</v>
      </c>
      <c r="F1462" s="36">
        <v>1948</v>
      </c>
      <c r="G1462" s="16" t="str">
        <f>HYPERLINK("#'Data'!A10556", "Households dissatisfied with aid received, by reason broken down by income per capita (quartiles) on the admin of overall perc")</f>
        <v>Households dissatisfied with aid received, by reason broken down by income per capita (quartiles) on the admin of overall perc</v>
      </c>
    </row>
    <row r="1463" spans="3:7" x14ac:dyDescent="0.35">
      <c r="C1463" t="s">
        <v>195</v>
      </c>
      <c r="D1463" t="s">
        <v>202</v>
      </c>
      <c r="E1463" t="s">
        <v>61</v>
      </c>
      <c r="F1463" s="36">
        <v>1949</v>
      </c>
      <c r="G1463" s="16" t="str">
        <f>HYPERLINK("#'Data'!A10564", "Households dissatisfied with aid received, by reason broken down by gender of head of household on the admin of overall perc")</f>
        <v>Households dissatisfied with aid received, by reason broken down by gender of head of household on the admin of overall perc</v>
      </c>
    </row>
    <row r="1464" spans="3:7" x14ac:dyDescent="0.35">
      <c r="C1464" t="s">
        <v>195</v>
      </c>
      <c r="D1464" t="s">
        <v>202</v>
      </c>
      <c r="E1464" t="s">
        <v>62</v>
      </c>
      <c r="F1464" s="36">
        <v>1950</v>
      </c>
      <c r="G1464" s="16" t="str">
        <f>HYPERLINK("#'Data'!A10571", "Households dissatisfied with aid received, by reason broken down by age of adults in the households on the admin of overall perc")</f>
        <v>Households dissatisfied with aid received, by reason broken down by age of adults in the households on the admin of overall perc</v>
      </c>
    </row>
    <row r="1465" spans="3:7" x14ac:dyDescent="0.35">
      <c r="C1465" t="s">
        <v>195</v>
      </c>
      <c r="D1465" t="s">
        <v>202</v>
      </c>
      <c r="E1465" t="s">
        <v>76</v>
      </c>
      <c r="F1465" s="36">
        <v>1951</v>
      </c>
      <c r="G1465" s="16" t="str">
        <f>HYPERLINK("#'Data'!A10578", "Households dissatisfied with aid received, by reason broken down by households with at least one child (&lt;18 y.o.) on the admin of overall perc")</f>
        <v>Households dissatisfied with aid received, by reason broken down by households with at least one child (&lt;18 y.o.) on the admin of overall perc</v>
      </c>
    </row>
    <row r="1466" spans="3:7" x14ac:dyDescent="0.35">
      <c r="C1466" t="s">
        <v>195</v>
      </c>
      <c r="D1466" t="s">
        <v>202</v>
      </c>
      <c r="E1466" t="s">
        <v>63</v>
      </c>
      <c r="F1466" s="36">
        <v>1952</v>
      </c>
      <c r="G1466" s="16" t="str">
        <f>HYPERLINK("#'Data'!A10584", "Households dissatisfied with aid received, by reason broken down by displacement status of head of household on the admin of overall perc")</f>
        <v>Households dissatisfied with aid received, by reason broken down by displacement status of head of household on the admin of overall perc</v>
      </c>
    </row>
    <row r="1467" spans="3:7" x14ac:dyDescent="0.35">
      <c r="C1467" t="s">
        <v>195</v>
      </c>
      <c r="D1467" t="s">
        <v>202</v>
      </c>
      <c r="E1467" t="s">
        <v>64</v>
      </c>
      <c r="F1467" s="36">
        <v>1953</v>
      </c>
      <c r="G1467" s="16" t="str">
        <f>HYPERLINK("#'Data'!A10591", "Households dissatisfied with aid received, by reason broken down by IDP household on the admin of overall perc")</f>
        <v>Households dissatisfied with aid received, by reason broken down by IDP household on the admin of overall perc</v>
      </c>
    </row>
    <row r="1468" spans="3:7" x14ac:dyDescent="0.35">
      <c r="C1468" t="s">
        <v>195</v>
      </c>
      <c r="D1468" t="s">
        <v>202</v>
      </c>
      <c r="E1468" t="s">
        <v>65</v>
      </c>
      <c r="F1468" s="36">
        <v>1954</v>
      </c>
      <c r="G1468" s="16" t="str">
        <f>HYPERLINK("#'Data'!A10597", "Households dissatisfied with aid received, by reason broken down by proximity to frontline/border with Russian Federation on the admin of overall perc")</f>
        <v>Households dissatisfied with aid received, by reason broken down by proximity to frontline/border with Russian Federation on the admin of overall perc</v>
      </c>
    </row>
    <row r="1469" spans="3:7" x14ac:dyDescent="0.35">
      <c r="C1469" t="s">
        <v>195</v>
      </c>
      <c r="D1469" t="s">
        <v>202</v>
      </c>
      <c r="E1469" t="s">
        <v>77</v>
      </c>
      <c r="F1469" s="36">
        <v>1955</v>
      </c>
      <c r="G1469" s="16" t="str">
        <f>HYPERLINK("#'Data'!A10604", "Households dissatisfied with aid received, by reason broken down by caregiving status  on the admin of overall perc")</f>
        <v>Households dissatisfied with aid received, by reason broken down by caregiving status  on the admin of overall perc</v>
      </c>
    </row>
    <row r="1470" spans="3:7" x14ac:dyDescent="0.35">
      <c r="C1470" t="s">
        <v>195</v>
      </c>
      <c r="D1470" t="s">
        <v>202</v>
      </c>
      <c r="E1470" t="s">
        <v>131</v>
      </c>
      <c r="F1470" s="36">
        <v>1956</v>
      </c>
      <c r="G1470" s="16" t="str">
        <f>HYPERLINK("#'Data'!A10611", "Households dissatisfied with aid received, by reason broken down by gender of respondent on the admin of overall perc")</f>
        <v>Households dissatisfied with aid received, by reason broken down by gender of respondent on the admin of overall perc</v>
      </c>
    </row>
    <row r="1471" spans="3:7" x14ac:dyDescent="0.35">
      <c r="C1471" t="s">
        <v>195</v>
      </c>
      <c r="D1471" t="s">
        <v>202</v>
      </c>
      <c r="E1471" t="s">
        <v>132</v>
      </c>
      <c r="F1471" s="36">
        <v>1957</v>
      </c>
      <c r="G1471" s="16" t="str">
        <f>HYPERLINK("#'Data'!A10617", "Households dissatisfied with aid received, by reason broken down by age of respondents on the admin of overall perc")</f>
        <v>Households dissatisfied with aid received, by reason broken down by age of respondents on the admin of overall perc</v>
      </c>
    </row>
    <row r="1472" spans="3:7" x14ac:dyDescent="0.35">
      <c r="C1472" t="s">
        <v>195</v>
      </c>
      <c r="D1472" t="s">
        <v>202</v>
      </c>
      <c r="E1472" t="s">
        <v>133</v>
      </c>
      <c r="F1472" s="36">
        <v>1958</v>
      </c>
      <c r="G1472" s="16" t="str">
        <f>HYPERLINK("#'Data'!A10624", "Households dissatisfied with aid received, by reason broken down by gender and age of respondents on the admin of overall perc")</f>
        <v>Households dissatisfied with aid received, by reason broken down by gender and age of respondents on the admin of overall perc</v>
      </c>
    </row>
    <row r="1473" spans="3:7" x14ac:dyDescent="0.35">
      <c r="C1473" t="s">
        <v>195</v>
      </c>
      <c r="D1473" t="s">
        <v>203</v>
      </c>
      <c r="E1473" t="s">
        <v>36</v>
      </c>
      <c r="F1473" s="36">
        <v>1959</v>
      </c>
      <c r="G1473" s="16" t="str">
        <f>HYPERLINK("#'Data'!A10634", "Percentage of households reporting reliable information channels to get information about aid, by channel on the admin of overall perc")</f>
        <v>Percentage of households reporting reliable information channels to get information about aid, by channel on the admin of overall perc</v>
      </c>
    </row>
    <row r="1474" spans="3:7" x14ac:dyDescent="0.35">
      <c r="C1474" t="s">
        <v>195</v>
      </c>
      <c r="D1474" t="s">
        <v>203</v>
      </c>
      <c r="E1474" t="s">
        <v>57</v>
      </c>
      <c r="F1474" s="36">
        <v>1960</v>
      </c>
      <c r="G1474" s="16" t="str">
        <f>HYPERLINK("#'Data'!A10639", "Percentage of households reporting reliable information channels to get information about aid, by channel broken down by households with at least one ...")</f>
        <v>Percentage of households reporting reliable information channels to get information about aid, by channel broken down by households with at least one ...</v>
      </c>
    </row>
    <row r="1475" spans="3:7" x14ac:dyDescent="0.35">
      <c r="C1475" t="s">
        <v>195</v>
      </c>
      <c r="D1475" t="s">
        <v>203</v>
      </c>
      <c r="E1475" t="s">
        <v>58</v>
      </c>
      <c r="F1475" s="36">
        <v>1961</v>
      </c>
      <c r="G1475" s="16" t="str">
        <f>HYPERLINK("#'Data'!A10645", "Percentage of households reporting reliable information channels to get information about aid, by channel broken down by urbanity on the admin of over...")</f>
        <v>Percentage of households reporting reliable information channels to get information about aid, by channel broken down by urbanity on the admin of over...</v>
      </c>
    </row>
    <row r="1476" spans="3:7" x14ac:dyDescent="0.35">
      <c r="C1476" t="s">
        <v>195</v>
      </c>
      <c r="D1476" t="s">
        <v>203</v>
      </c>
      <c r="E1476" t="s">
        <v>59</v>
      </c>
      <c r="F1476" s="36">
        <v>1962</v>
      </c>
      <c r="G1476" s="16" t="str">
        <f>HYPERLINK("#'Data'!A10651", "Percentage of households reporting reliable information channels to get information about aid, by channel broken down by household size on the admin o...")</f>
        <v>Percentage of households reporting reliable information channels to get information about aid, by channel broken down by household size on the admin o...</v>
      </c>
    </row>
    <row r="1477" spans="3:7" x14ac:dyDescent="0.35">
      <c r="C1477" t="s">
        <v>195</v>
      </c>
      <c r="D1477" t="s">
        <v>203</v>
      </c>
      <c r="E1477" t="s">
        <v>60</v>
      </c>
      <c r="F1477" s="36">
        <v>1963</v>
      </c>
      <c r="G1477" s="16" t="str">
        <f>HYPERLINK("#'Data'!A10658", "Percentage of households reporting reliable information channels to get information about aid, by channel broken down by income per capita (quartiles)...")</f>
        <v>Percentage of households reporting reliable information channels to get information about aid, by channel broken down by income per capita (quartiles)...</v>
      </c>
    </row>
    <row r="1478" spans="3:7" x14ac:dyDescent="0.35">
      <c r="C1478" t="s">
        <v>195</v>
      </c>
      <c r="D1478" t="s">
        <v>203</v>
      </c>
      <c r="E1478" t="s">
        <v>61</v>
      </c>
      <c r="F1478" s="36">
        <v>1964</v>
      </c>
      <c r="G1478" s="16" t="str">
        <f>HYPERLINK("#'Data'!A10666", "Percentage of households reporting reliable information channels to get information about aid, by channel broken down by gender of head of household o...")</f>
        <v>Percentage of households reporting reliable information channels to get information about aid, by channel broken down by gender of head of household o...</v>
      </c>
    </row>
    <row r="1479" spans="3:7" x14ac:dyDescent="0.35">
      <c r="C1479" t="s">
        <v>195</v>
      </c>
      <c r="D1479" t="s">
        <v>203</v>
      </c>
      <c r="E1479" t="s">
        <v>62</v>
      </c>
      <c r="F1479" s="36">
        <v>1965</v>
      </c>
      <c r="G1479" s="16" t="str">
        <f>HYPERLINK("#'Data'!A10674", "Percentage of households reporting reliable information channels to get information about aid, by channel broken down by age of adults in the househol...")</f>
        <v>Percentage of households reporting reliable information channels to get information about aid, by channel broken down by age of adults in the househol...</v>
      </c>
    </row>
    <row r="1480" spans="3:7" x14ac:dyDescent="0.35">
      <c r="C1480" t="s">
        <v>195</v>
      </c>
      <c r="D1480" t="s">
        <v>203</v>
      </c>
      <c r="E1480" t="s">
        <v>76</v>
      </c>
      <c r="F1480" s="36">
        <v>1966</v>
      </c>
      <c r="G1480" s="16" t="str">
        <f>HYPERLINK("#'Data'!A10681", "Percentage of households reporting reliable information channels to get information about aid, by channel broken down by households with at least one ...")</f>
        <v>Percentage of households reporting reliable information channels to get information about aid, by channel broken down by households with at least one ...</v>
      </c>
    </row>
    <row r="1481" spans="3:7" x14ac:dyDescent="0.35">
      <c r="C1481" t="s">
        <v>195</v>
      </c>
      <c r="D1481" t="s">
        <v>203</v>
      </c>
      <c r="E1481" t="s">
        <v>63</v>
      </c>
      <c r="F1481" s="36">
        <v>1967</v>
      </c>
      <c r="G1481" s="16" t="str">
        <f>HYPERLINK("#'Data'!A10687", "Percentage of households reporting reliable information channels to get information about aid, by channel broken down by displacement status of head o...")</f>
        <v>Percentage of households reporting reliable information channels to get information about aid, by channel broken down by displacement status of head o...</v>
      </c>
    </row>
    <row r="1482" spans="3:7" x14ac:dyDescent="0.35">
      <c r="C1482" t="s">
        <v>195</v>
      </c>
      <c r="D1482" t="s">
        <v>203</v>
      </c>
      <c r="E1482" t="s">
        <v>64</v>
      </c>
      <c r="F1482" s="36">
        <v>1968</v>
      </c>
      <c r="G1482" s="16" t="str">
        <f>HYPERLINK("#'Data'!A10696", "Percentage of households reporting reliable information channels to get information about aid, by channel broken down by IDP household on the admin of...")</f>
        <v>Percentage of households reporting reliable information channels to get information about aid, by channel broken down by IDP household on the admin of...</v>
      </c>
    </row>
    <row r="1483" spans="3:7" x14ac:dyDescent="0.35">
      <c r="C1483" t="s">
        <v>195</v>
      </c>
      <c r="D1483" t="s">
        <v>203</v>
      </c>
      <c r="E1483" t="s">
        <v>65</v>
      </c>
      <c r="F1483" s="36">
        <v>1969</v>
      </c>
      <c r="G1483" s="16" t="str">
        <f>HYPERLINK("#'Data'!A10702", "Percentage of households reporting reliable information channels to get information about aid, by channel broken down by proximity to frontline/border...")</f>
        <v>Percentage of households reporting reliable information channels to get information about aid, by channel broken down by proximity to frontline/border...</v>
      </c>
    </row>
    <row r="1484" spans="3:7" x14ac:dyDescent="0.35">
      <c r="C1484" t="s">
        <v>195</v>
      </c>
      <c r="D1484" t="s">
        <v>203</v>
      </c>
      <c r="E1484" t="s">
        <v>77</v>
      </c>
      <c r="F1484" s="36">
        <v>1970</v>
      </c>
      <c r="G1484" s="16" t="str">
        <f>HYPERLINK("#'Data'!A10709", "Percentage of households reporting reliable information channels to get information about aid, by channel broken down by caregiving status  on the adm...")</f>
        <v>Percentage of households reporting reliable information channels to get information about aid, by channel broken down by caregiving status  on the adm...</v>
      </c>
    </row>
    <row r="1485" spans="3:7" x14ac:dyDescent="0.35">
      <c r="C1485" t="s">
        <v>195</v>
      </c>
      <c r="D1485" t="s">
        <v>203</v>
      </c>
      <c r="E1485" t="s">
        <v>131</v>
      </c>
      <c r="F1485" s="36">
        <v>1971</v>
      </c>
      <c r="G1485" s="16" t="str">
        <f>HYPERLINK("#'Data'!A10717", "Percentage of households reporting reliable information channels to get information about aid, by channel broken down by gender of respondent on the a...")</f>
        <v>Percentage of households reporting reliable information channels to get information about aid, by channel broken down by gender of respondent on the a...</v>
      </c>
    </row>
    <row r="1486" spans="3:7" x14ac:dyDescent="0.35">
      <c r="C1486" t="s">
        <v>195</v>
      </c>
      <c r="D1486" t="s">
        <v>203</v>
      </c>
      <c r="E1486" t="s">
        <v>132</v>
      </c>
      <c r="F1486" s="36">
        <v>1972</v>
      </c>
      <c r="G1486" s="16" t="str">
        <f>HYPERLINK("#'Data'!A10724", "Percentage of households reporting reliable information channels to get information about aid, by channel broken down by age of respondents on the adm...")</f>
        <v>Percentage of households reporting reliable information channels to get information about aid, by channel broken down by age of respondents on the adm...</v>
      </c>
    </row>
    <row r="1487" spans="3:7" x14ac:dyDescent="0.35">
      <c r="C1487" t="s">
        <v>195</v>
      </c>
      <c r="D1487" t="s">
        <v>203</v>
      </c>
      <c r="E1487" t="s">
        <v>133</v>
      </c>
      <c r="F1487" s="36">
        <v>1973</v>
      </c>
      <c r="G1487" s="16" t="str">
        <f>HYPERLINK("#'Data'!A10732", "Percentage of households reporting reliable information channels to get information about aid, by channel broken down by gender and age of respondents...")</f>
        <v>Percentage of households reporting reliable information channels to get information about aid, by channel broken down by gender and age of respondents...</v>
      </c>
    </row>
    <row r="1488" spans="3:7" x14ac:dyDescent="0.35">
      <c r="C1488" t="s">
        <v>195</v>
      </c>
      <c r="D1488" t="s">
        <v>204</v>
      </c>
      <c r="E1488" t="s">
        <v>36</v>
      </c>
      <c r="F1488" s="36">
        <v>1974</v>
      </c>
      <c r="G1488" s="16" t="str">
        <f>HYPERLINK("#'Data'!A10745", "Percentage of households utilizing complaint and feedback channels, by type on the admin of overall perc")</f>
        <v>Percentage of households utilizing complaint and feedback channels, by type on the admin of overall perc</v>
      </c>
    </row>
    <row r="1489" spans="3:7" x14ac:dyDescent="0.35">
      <c r="C1489" t="s">
        <v>195</v>
      </c>
      <c r="D1489" t="s">
        <v>204</v>
      </c>
      <c r="E1489" t="s">
        <v>57</v>
      </c>
      <c r="F1489" s="36">
        <v>1975</v>
      </c>
      <c r="G1489" s="16" t="str">
        <f>HYPERLINK("#'Data'!A10750", "Percentage of households utilizing complaint and feedback channels, by type broken down by households with at least one member with a reported and/or ...")</f>
        <v>Percentage of households utilizing complaint and feedback channels, by type broken down by households with at least one member with a reported and/or ...</v>
      </c>
    </row>
    <row r="1490" spans="3:7" x14ac:dyDescent="0.35">
      <c r="C1490" t="s">
        <v>195</v>
      </c>
      <c r="D1490" t="s">
        <v>204</v>
      </c>
      <c r="E1490" t="s">
        <v>58</v>
      </c>
      <c r="F1490" s="36">
        <v>1976</v>
      </c>
      <c r="G1490" s="16" t="str">
        <f>HYPERLINK("#'Data'!A10756", "Percentage of households utilizing complaint and feedback channels, by type broken down by urbanity on the admin of overall perc")</f>
        <v>Percentage of households utilizing complaint and feedback channels, by type broken down by urbanity on the admin of overall perc</v>
      </c>
    </row>
    <row r="1491" spans="3:7" x14ac:dyDescent="0.35">
      <c r="C1491" t="s">
        <v>195</v>
      </c>
      <c r="D1491" t="s">
        <v>204</v>
      </c>
      <c r="E1491" t="s">
        <v>59</v>
      </c>
      <c r="F1491" s="36">
        <v>1977</v>
      </c>
      <c r="G1491" s="16" t="str">
        <f>HYPERLINK("#'Data'!A10762", "Percentage of households utilizing complaint and feedback channels, by type broken down by household size on the admin of overall perc")</f>
        <v>Percentage of households utilizing complaint and feedback channels, by type broken down by household size on the admin of overall perc</v>
      </c>
    </row>
    <row r="1492" spans="3:7" x14ac:dyDescent="0.35">
      <c r="C1492" t="s">
        <v>195</v>
      </c>
      <c r="D1492" t="s">
        <v>204</v>
      </c>
      <c r="E1492" t="s">
        <v>60</v>
      </c>
      <c r="F1492" s="36">
        <v>1978</v>
      </c>
      <c r="G1492" s="16" t="str">
        <f>HYPERLINK("#'Data'!A10769", "Percentage of households utilizing complaint and feedback channels, by type broken down by income per capita (quartiles) on the admin of overall perc")</f>
        <v>Percentage of households utilizing complaint and feedback channels, by type broken down by income per capita (quartiles) on the admin of overall perc</v>
      </c>
    </row>
    <row r="1493" spans="3:7" x14ac:dyDescent="0.35">
      <c r="C1493" t="s">
        <v>195</v>
      </c>
      <c r="D1493" t="s">
        <v>204</v>
      </c>
      <c r="E1493" t="s">
        <v>61</v>
      </c>
      <c r="F1493" s="36">
        <v>1979</v>
      </c>
      <c r="G1493" s="16" t="str">
        <f>HYPERLINK("#'Data'!A10777", "Percentage of households utilizing complaint and feedback channels, by type broken down by gender of head of household on the admin of overall perc")</f>
        <v>Percentage of households utilizing complaint and feedback channels, by type broken down by gender of head of household on the admin of overall perc</v>
      </c>
    </row>
    <row r="1494" spans="3:7" x14ac:dyDescent="0.35">
      <c r="C1494" t="s">
        <v>195</v>
      </c>
      <c r="D1494" t="s">
        <v>204</v>
      </c>
      <c r="E1494" t="s">
        <v>62</v>
      </c>
      <c r="F1494" s="36">
        <v>1980</v>
      </c>
      <c r="G1494" s="16" t="str">
        <f>HYPERLINK("#'Data'!A10785", "Percentage of households utilizing complaint and feedback channels, by type broken down by age of adults in the households on the admin of overall per...")</f>
        <v>Percentage of households utilizing complaint and feedback channels, by type broken down by age of adults in the households on the admin of overall per...</v>
      </c>
    </row>
    <row r="1495" spans="3:7" x14ac:dyDescent="0.35">
      <c r="C1495" t="s">
        <v>195</v>
      </c>
      <c r="D1495" t="s">
        <v>204</v>
      </c>
      <c r="E1495" t="s">
        <v>76</v>
      </c>
      <c r="F1495" s="36">
        <v>1981</v>
      </c>
      <c r="G1495" s="16" t="str">
        <f>HYPERLINK("#'Data'!A10792", "Percentage of households utilizing complaint and feedback channels, by type broken down by households with at least one child (&lt;18 y.o.) on the admin ...")</f>
        <v>Percentage of households utilizing complaint and feedback channels, by type broken down by households with at least one child (&lt;18 y.o.) on the admin ...</v>
      </c>
    </row>
    <row r="1496" spans="3:7" x14ac:dyDescent="0.35">
      <c r="C1496" t="s">
        <v>195</v>
      </c>
      <c r="D1496" t="s">
        <v>204</v>
      </c>
      <c r="E1496" t="s">
        <v>63</v>
      </c>
      <c r="F1496" s="36">
        <v>1982</v>
      </c>
      <c r="G1496" s="16" t="str">
        <f>HYPERLINK("#'Data'!A10798", "Percentage of households utilizing complaint and feedback channels, by type broken down by displacement status of head of household on the admin of ov...")</f>
        <v>Percentage of households utilizing complaint and feedback channels, by type broken down by displacement status of head of household on the admin of ov...</v>
      </c>
    </row>
    <row r="1497" spans="3:7" x14ac:dyDescent="0.35">
      <c r="C1497" t="s">
        <v>195</v>
      </c>
      <c r="D1497" t="s">
        <v>204</v>
      </c>
      <c r="E1497" t="s">
        <v>64</v>
      </c>
      <c r="F1497" s="36">
        <v>1983</v>
      </c>
      <c r="G1497" s="16" t="str">
        <f>HYPERLINK("#'Data'!A10807", "Percentage of households utilizing complaint and feedback channels, by type broken down by IDP household on the admin of overall perc")</f>
        <v>Percentage of households utilizing complaint and feedback channels, by type broken down by IDP household on the admin of overall perc</v>
      </c>
    </row>
    <row r="1498" spans="3:7" x14ac:dyDescent="0.35">
      <c r="C1498" t="s">
        <v>195</v>
      </c>
      <c r="D1498" t="s">
        <v>204</v>
      </c>
      <c r="E1498" t="s">
        <v>65</v>
      </c>
      <c r="F1498" s="36">
        <v>1984</v>
      </c>
      <c r="G1498" s="16" t="str">
        <f>HYPERLINK("#'Data'!A10813", "Percentage of households utilizing complaint and feedback channels, by type broken down by proximity to frontline/border with Russian Federation on th...")</f>
        <v>Percentage of households utilizing complaint and feedback channels, by type broken down by proximity to frontline/border with Russian Federation on th...</v>
      </c>
    </row>
    <row r="1499" spans="3:7" x14ac:dyDescent="0.35">
      <c r="C1499" t="s">
        <v>195</v>
      </c>
      <c r="D1499" t="s">
        <v>204</v>
      </c>
      <c r="E1499" t="s">
        <v>77</v>
      </c>
      <c r="F1499" s="36">
        <v>1985</v>
      </c>
      <c r="G1499" s="16" t="str">
        <f>HYPERLINK("#'Data'!A10820", "Percentage of households utilizing complaint and feedback channels, by type broken down by caregiving status  on the admin of overall perc")</f>
        <v>Percentage of households utilizing complaint and feedback channels, by type broken down by caregiving status  on the admin of overall perc</v>
      </c>
    </row>
    <row r="1500" spans="3:7" x14ac:dyDescent="0.35">
      <c r="C1500" t="s">
        <v>195</v>
      </c>
      <c r="D1500" t="s">
        <v>204</v>
      </c>
      <c r="E1500" t="s">
        <v>131</v>
      </c>
      <c r="F1500" s="36">
        <v>1986</v>
      </c>
      <c r="G1500" s="16" t="str">
        <f>HYPERLINK("#'Data'!A10828", "Percentage of households utilizing complaint and feedback channels, by type broken down by gender of respondent on the admin of overall perc")</f>
        <v>Percentage of households utilizing complaint and feedback channels, by type broken down by gender of respondent on the admin of overall perc</v>
      </c>
    </row>
    <row r="1501" spans="3:7" x14ac:dyDescent="0.35">
      <c r="C1501" t="s">
        <v>195</v>
      </c>
      <c r="D1501" t="s">
        <v>204</v>
      </c>
      <c r="E1501" t="s">
        <v>132</v>
      </c>
      <c r="F1501" s="36">
        <v>1987</v>
      </c>
      <c r="G1501" s="16" t="str">
        <f>HYPERLINK("#'Data'!A10835", "Percentage of households utilizing complaint and feedback channels, by type broken down by age of respondents on the admin of overall perc")</f>
        <v>Percentage of households utilizing complaint and feedback channels, by type broken down by age of respondents on the admin of overall perc</v>
      </c>
    </row>
    <row r="1502" spans="3:7" x14ac:dyDescent="0.35">
      <c r="C1502" t="s">
        <v>195</v>
      </c>
      <c r="D1502" t="s">
        <v>204</v>
      </c>
      <c r="E1502" t="s">
        <v>133</v>
      </c>
      <c r="F1502" s="36">
        <v>1988</v>
      </c>
      <c r="G1502" s="16" t="str">
        <f>HYPERLINK("#'Data'!A10843", "Percentage of households utilizing complaint and feedback channels, by type broken down by gender and age of respondents on the admin of overall perc")</f>
        <v>Percentage of households utilizing complaint and feedback channels, by type broken down by gender and age of respondents on the admin of overall perc</v>
      </c>
    </row>
    <row r="1503" spans="3:7" x14ac:dyDescent="0.35">
      <c r="C1503" t="s">
        <v>195</v>
      </c>
      <c r="D1503" t="s">
        <v>205</v>
      </c>
      <c r="E1503" t="s">
        <v>36</v>
      </c>
      <c r="F1503" s="36">
        <v>1989</v>
      </c>
      <c r="G1503" s="16" t="str">
        <f>HYPERLINK("#'Data'!A10856", "Percentage of households receiving a response through complaint and feedback channels on the admin of overall perc")</f>
        <v>Percentage of households receiving a response through complaint and feedback channels on the admin of overall perc</v>
      </c>
    </row>
    <row r="1504" spans="3:7" x14ac:dyDescent="0.35">
      <c r="C1504" t="s">
        <v>195</v>
      </c>
      <c r="D1504" t="s">
        <v>205</v>
      </c>
      <c r="E1504" t="s">
        <v>57</v>
      </c>
      <c r="F1504" s="36">
        <v>1990</v>
      </c>
      <c r="G1504" s="16" t="str">
        <f>HYPERLINK("#'Data'!A10861", "Percentage of households receiving a response through complaint and feedback channels broken down by households with at least one member with a report...")</f>
        <v>Percentage of households receiving a response through complaint and feedback channels broken down by households with at least one member with a report...</v>
      </c>
    </row>
    <row r="1505" spans="3:7" x14ac:dyDescent="0.35">
      <c r="C1505" t="s">
        <v>195</v>
      </c>
      <c r="D1505" t="s">
        <v>205</v>
      </c>
      <c r="E1505" t="s">
        <v>58</v>
      </c>
      <c r="F1505" s="36">
        <v>1991</v>
      </c>
      <c r="G1505" s="16" t="str">
        <f>HYPERLINK("#'Data'!A10867", "Percentage of households receiving a response through complaint and feedback channels broken down by urbanity on the admin of overall perc")</f>
        <v>Percentage of households receiving a response through complaint and feedback channels broken down by urbanity on the admin of overall perc</v>
      </c>
    </row>
    <row r="1506" spans="3:7" x14ac:dyDescent="0.35">
      <c r="C1506" t="s">
        <v>195</v>
      </c>
      <c r="D1506" t="s">
        <v>205</v>
      </c>
      <c r="E1506" t="s">
        <v>59</v>
      </c>
      <c r="F1506" s="36">
        <v>1992</v>
      </c>
      <c r="G1506" s="16" t="str">
        <f>HYPERLINK("#'Data'!A10873", "Percentage of households receiving a response through complaint and feedback channels broken down by household size on the admin of overall perc")</f>
        <v>Percentage of households receiving a response through complaint and feedback channels broken down by household size on the admin of overall perc</v>
      </c>
    </row>
    <row r="1507" spans="3:7" x14ac:dyDescent="0.35">
      <c r="C1507" t="s">
        <v>195</v>
      </c>
      <c r="D1507" t="s">
        <v>205</v>
      </c>
      <c r="E1507" t="s">
        <v>60</v>
      </c>
      <c r="F1507" s="36">
        <v>1993</v>
      </c>
      <c r="G1507" s="16" t="str">
        <f>HYPERLINK("#'Data'!A10880", "Percentage of households receiving a response through complaint and feedback channels broken down by income per capita (quartiles) on the admin of ove...")</f>
        <v>Percentage of households receiving a response through complaint and feedback channels broken down by income per capita (quartiles) on the admin of ove...</v>
      </c>
    </row>
    <row r="1508" spans="3:7" x14ac:dyDescent="0.35">
      <c r="C1508" t="s">
        <v>195</v>
      </c>
      <c r="D1508" t="s">
        <v>205</v>
      </c>
      <c r="E1508" t="s">
        <v>61</v>
      </c>
      <c r="F1508" s="36">
        <v>1994</v>
      </c>
      <c r="G1508" s="16" t="str">
        <f>HYPERLINK("#'Data'!A10888", "Percentage of households receiving a response through complaint and feedback channels broken down by gender of head of household on the admin of overa...")</f>
        <v>Percentage of households receiving a response through complaint and feedback channels broken down by gender of head of household on the admin of overa...</v>
      </c>
    </row>
    <row r="1509" spans="3:7" x14ac:dyDescent="0.35">
      <c r="C1509" t="s">
        <v>195</v>
      </c>
      <c r="D1509" t="s">
        <v>205</v>
      </c>
      <c r="E1509" t="s">
        <v>62</v>
      </c>
      <c r="F1509" s="36">
        <v>1995</v>
      </c>
      <c r="G1509" s="16" t="str">
        <f>HYPERLINK("#'Data'!A10896", "Percentage of households receiving a response through complaint and feedback channels broken down by age of adults in the households on the admin of o...")</f>
        <v>Percentage of households receiving a response through complaint and feedback channels broken down by age of adults in the households on the admin of o...</v>
      </c>
    </row>
    <row r="1510" spans="3:7" x14ac:dyDescent="0.35">
      <c r="C1510" t="s">
        <v>195</v>
      </c>
      <c r="D1510" t="s">
        <v>205</v>
      </c>
      <c r="E1510" t="s">
        <v>76</v>
      </c>
      <c r="F1510" s="36">
        <v>1996</v>
      </c>
      <c r="G1510" s="16" t="str">
        <f>HYPERLINK("#'Data'!A10903", "Percentage of households receiving a response through complaint and feedback channels broken down by households with at least one child (&lt;18 y.o.) on ...")</f>
        <v>Percentage of households receiving a response through complaint and feedback channels broken down by households with at least one child (&lt;18 y.o.) on ...</v>
      </c>
    </row>
    <row r="1511" spans="3:7" x14ac:dyDescent="0.35">
      <c r="C1511" t="s">
        <v>195</v>
      </c>
      <c r="D1511" t="s">
        <v>205</v>
      </c>
      <c r="E1511" t="s">
        <v>63</v>
      </c>
      <c r="F1511" s="36">
        <v>1997</v>
      </c>
      <c r="G1511" s="16" t="str">
        <f>HYPERLINK("#'Data'!A10909", "Percentage of households receiving a response through complaint and feedback channels broken down by displacement status of head of household on the a...")</f>
        <v>Percentage of households receiving a response through complaint and feedback channels broken down by displacement status of head of household on the a...</v>
      </c>
    </row>
    <row r="1512" spans="3:7" x14ac:dyDescent="0.35">
      <c r="C1512" t="s">
        <v>195</v>
      </c>
      <c r="D1512" t="s">
        <v>205</v>
      </c>
      <c r="E1512" t="s">
        <v>64</v>
      </c>
      <c r="F1512" s="36">
        <v>1998</v>
      </c>
      <c r="G1512" s="16" t="str">
        <f>HYPERLINK("#'Data'!A10918", "Percentage of households receiving a response through complaint and feedback channels broken down by IDP household on the admin of overall perc")</f>
        <v>Percentage of households receiving a response through complaint and feedback channels broken down by IDP household on the admin of overall perc</v>
      </c>
    </row>
    <row r="1513" spans="3:7" x14ac:dyDescent="0.35">
      <c r="C1513" t="s">
        <v>195</v>
      </c>
      <c r="D1513" t="s">
        <v>205</v>
      </c>
      <c r="E1513" t="s">
        <v>65</v>
      </c>
      <c r="F1513" s="36">
        <v>1999</v>
      </c>
      <c r="G1513" s="16" t="str">
        <f>HYPERLINK("#'Data'!A10924", "Percentage of households receiving a response through complaint and feedback channels broken down by proximity to frontline/border with Russian Federa...")</f>
        <v>Percentage of households receiving a response through complaint and feedback channels broken down by proximity to frontline/border with Russian Federa...</v>
      </c>
    </row>
    <row r="1514" spans="3:7" x14ac:dyDescent="0.35">
      <c r="C1514" t="s">
        <v>195</v>
      </c>
      <c r="D1514" t="s">
        <v>205</v>
      </c>
      <c r="E1514" t="s">
        <v>77</v>
      </c>
      <c r="F1514" s="36">
        <v>2000</v>
      </c>
      <c r="G1514" s="16" t="str">
        <f>HYPERLINK("#'Data'!A10931", "Percentage of households receiving a response through complaint and feedback channels broken down by caregiving status  on the admin of overall perc")</f>
        <v>Percentage of households receiving a response through complaint and feedback channels broken down by caregiving status  on the admin of overall perc</v>
      </c>
    </row>
    <row r="1515" spans="3:7" x14ac:dyDescent="0.35">
      <c r="C1515" t="s">
        <v>195</v>
      </c>
      <c r="D1515" t="s">
        <v>205</v>
      </c>
      <c r="E1515" t="s">
        <v>131</v>
      </c>
      <c r="F1515" s="36">
        <v>2001</v>
      </c>
      <c r="G1515" s="16" t="str">
        <f>HYPERLINK("#'Data'!A10939", "Percentage of households receiving a response through complaint and feedback channels broken down by gender of respondent on the admin of overall perc")</f>
        <v>Percentage of households receiving a response through complaint and feedback channels broken down by gender of respondent on the admin of overall perc</v>
      </c>
    </row>
    <row r="1516" spans="3:7" x14ac:dyDescent="0.35">
      <c r="C1516" t="s">
        <v>195</v>
      </c>
      <c r="D1516" t="s">
        <v>205</v>
      </c>
      <c r="E1516" t="s">
        <v>132</v>
      </c>
      <c r="F1516" s="36">
        <v>2002</v>
      </c>
      <c r="G1516" s="16" t="str">
        <f>HYPERLINK("#'Data'!A10946", "Percentage of households receiving a response through complaint and feedback channels broken down by age of respondents on the admin of overall perc")</f>
        <v>Percentage of households receiving a response through complaint and feedback channels broken down by age of respondents on the admin of overall perc</v>
      </c>
    </row>
    <row r="1517" spans="3:7" x14ac:dyDescent="0.35">
      <c r="C1517" t="s">
        <v>195</v>
      </c>
      <c r="D1517" t="s">
        <v>205</v>
      </c>
      <c r="E1517" t="s">
        <v>133</v>
      </c>
      <c r="F1517" s="36">
        <v>2003</v>
      </c>
      <c r="G1517" s="16" t="str">
        <f>HYPERLINK("#'Data'!A10954", "Percentage of households receiving a response through complaint and feedback channels broken down by gender and age of respondents on the admin of ove...")</f>
        <v>Percentage of households receiving a response through complaint and feedback channels broken down by gender and age of respondents on the admin of ove...</v>
      </c>
    </row>
    <row r="1518" spans="3:7" x14ac:dyDescent="0.35">
      <c r="C1518" t="s">
        <v>129</v>
      </c>
      <c r="D1518" t="s">
        <v>206</v>
      </c>
      <c r="E1518" t="s">
        <v>36</v>
      </c>
      <c r="F1518" s="36">
        <v>2004</v>
      </c>
      <c r="G1518" s="16" t="str">
        <f>HYPERLINK("#'Data'!A10967", "Percentage of household who have experienced cuts in  government assistance in the past 6 months on the admin of overall perc")</f>
        <v>Percentage of household who have experienced cuts in  government assistance in the past 6 months on the admin of overall perc</v>
      </c>
    </row>
    <row r="1519" spans="3:7" x14ac:dyDescent="0.35">
      <c r="C1519" t="s">
        <v>129</v>
      </c>
      <c r="D1519" t="s">
        <v>206</v>
      </c>
      <c r="E1519" t="s">
        <v>57</v>
      </c>
      <c r="F1519" s="36">
        <v>2005</v>
      </c>
      <c r="G1519" s="16" t="str">
        <f>HYPERLINK("#'Data'!A10972", "Percentage of household who have experienced cuts in  government assistance in the past 6 months broken down by households with at least one member wi...")</f>
        <v>Percentage of household who have experienced cuts in  government assistance in the past 6 months broken down by households with at least one member wi...</v>
      </c>
    </row>
    <row r="1520" spans="3:7" x14ac:dyDescent="0.35">
      <c r="C1520" t="s">
        <v>129</v>
      </c>
      <c r="D1520" t="s">
        <v>206</v>
      </c>
      <c r="E1520" t="s">
        <v>58</v>
      </c>
      <c r="F1520" s="36">
        <v>2006</v>
      </c>
      <c r="G1520" s="16" t="str">
        <f>HYPERLINK("#'Data'!A10978", "Percentage of household who have experienced cuts in  government assistance in the past 6 months broken down by urbanity on the admin of overall perc")</f>
        <v>Percentage of household who have experienced cuts in  government assistance in the past 6 months broken down by urbanity on the admin of overall perc</v>
      </c>
    </row>
    <row r="1521" spans="3:7" x14ac:dyDescent="0.35">
      <c r="C1521" t="s">
        <v>129</v>
      </c>
      <c r="D1521" t="s">
        <v>206</v>
      </c>
      <c r="E1521" t="s">
        <v>59</v>
      </c>
      <c r="F1521" s="36">
        <v>2007</v>
      </c>
      <c r="G1521" s="16" t="str">
        <f>HYPERLINK("#'Data'!A10984", "Percentage of household who have experienced cuts in  government assistance in the past 6 months broken down by household size on the admin of overall...")</f>
        <v>Percentage of household who have experienced cuts in  government assistance in the past 6 months broken down by household size on the admin of overall...</v>
      </c>
    </row>
    <row r="1522" spans="3:7" x14ac:dyDescent="0.35">
      <c r="C1522" t="s">
        <v>129</v>
      </c>
      <c r="D1522" t="s">
        <v>206</v>
      </c>
      <c r="E1522" t="s">
        <v>60</v>
      </c>
      <c r="F1522" s="36">
        <v>2008</v>
      </c>
      <c r="G1522" s="16" t="str">
        <f>HYPERLINK("#'Data'!A10991", "Percentage of household who have experienced cuts in  government assistance in the past 6 months broken down by income per capita (quartiles) on the a...")</f>
        <v>Percentage of household who have experienced cuts in  government assistance in the past 6 months broken down by income per capita (quartiles) on the a...</v>
      </c>
    </row>
    <row r="1523" spans="3:7" x14ac:dyDescent="0.35">
      <c r="C1523" t="s">
        <v>129</v>
      </c>
      <c r="D1523" t="s">
        <v>206</v>
      </c>
      <c r="E1523" t="s">
        <v>61</v>
      </c>
      <c r="F1523" s="36">
        <v>2009</v>
      </c>
      <c r="G1523" s="16" t="str">
        <f>HYPERLINK("#'Data'!A10999", "Percentage of household who have experienced cuts in  government assistance in the past 6 months broken down by gender of head of household on the adm...")</f>
        <v>Percentage of household who have experienced cuts in  government assistance in the past 6 months broken down by gender of head of household on the adm...</v>
      </c>
    </row>
    <row r="1524" spans="3:7" x14ac:dyDescent="0.35">
      <c r="C1524" t="s">
        <v>129</v>
      </c>
      <c r="D1524" t="s">
        <v>206</v>
      </c>
      <c r="E1524" t="s">
        <v>62</v>
      </c>
      <c r="F1524" s="36">
        <v>2010</v>
      </c>
      <c r="G1524" s="16" t="str">
        <f>HYPERLINK("#'Data'!A11007", "Percentage of household who have experienced cuts in  government assistance in the past 6 months broken down by age of adults in the households on the...")</f>
        <v>Percentage of household who have experienced cuts in  government assistance in the past 6 months broken down by age of adults in the households on the...</v>
      </c>
    </row>
    <row r="1525" spans="3:7" x14ac:dyDescent="0.35">
      <c r="C1525" t="s">
        <v>129</v>
      </c>
      <c r="D1525" t="s">
        <v>206</v>
      </c>
      <c r="E1525" t="s">
        <v>76</v>
      </c>
      <c r="F1525" s="36">
        <v>2011</v>
      </c>
      <c r="G1525" s="16" t="str">
        <f>HYPERLINK("#'Data'!A11014", "Percentage of household who have experienced cuts in  government assistance in the past 6 months broken down by households with at least one child (&lt;1...")</f>
        <v>Percentage of household who have experienced cuts in  government assistance in the past 6 months broken down by households with at least one child (&lt;1...</v>
      </c>
    </row>
    <row r="1526" spans="3:7" x14ac:dyDescent="0.35">
      <c r="C1526" t="s">
        <v>129</v>
      </c>
      <c r="D1526" t="s">
        <v>206</v>
      </c>
      <c r="E1526" t="s">
        <v>63</v>
      </c>
      <c r="F1526" s="36">
        <v>2012</v>
      </c>
      <c r="G1526" s="16" t="str">
        <f>HYPERLINK("#'Data'!A11020", "Percentage of household who have experienced cuts in  government assistance in the past 6 months broken down by displacement status of head of househo...")</f>
        <v>Percentage of household who have experienced cuts in  government assistance in the past 6 months broken down by displacement status of head of househo...</v>
      </c>
    </row>
    <row r="1527" spans="3:7" x14ac:dyDescent="0.35">
      <c r="C1527" t="s">
        <v>129</v>
      </c>
      <c r="D1527" t="s">
        <v>206</v>
      </c>
      <c r="E1527" t="s">
        <v>64</v>
      </c>
      <c r="F1527" s="36">
        <v>2013</v>
      </c>
      <c r="G1527" s="16" t="str">
        <f>HYPERLINK("#'Data'!A11029", "Percentage of household who have experienced cuts in  government assistance in the past 6 months broken down by IDP household on the admin of overall ...")</f>
        <v>Percentage of household who have experienced cuts in  government assistance in the past 6 months broken down by IDP household on the admin of overall ...</v>
      </c>
    </row>
    <row r="1528" spans="3:7" x14ac:dyDescent="0.35">
      <c r="C1528" t="s">
        <v>129</v>
      </c>
      <c r="D1528" t="s">
        <v>206</v>
      </c>
      <c r="E1528" t="s">
        <v>65</v>
      </c>
      <c r="F1528" s="36">
        <v>2014</v>
      </c>
      <c r="G1528" s="16" t="str">
        <f>HYPERLINK("#'Data'!A11035", "Percentage of household who have experienced cuts in  government assistance in the past 6 months broken down by proximity to frontline/border with Rus...")</f>
        <v>Percentage of household who have experienced cuts in  government assistance in the past 6 months broken down by proximity to frontline/border with Rus...</v>
      </c>
    </row>
    <row r="1529" spans="3:7" x14ac:dyDescent="0.35">
      <c r="C1529" t="s">
        <v>129</v>
      </c>
      <c r="D1529" t="s">
        <v>206</v>
      </c>
      <c r="E1529" t="s">
        <v>77</v>
      </c>
      <c r="F1529" s="36">
        <v>2015</v>
      </c>
      <c r="G1529" s="16" t="str">
        <f>HYPERLINK("#'Data'!A11042", "Percentage of household who have experienced cuts in  government assistance in the past 6 months broken down by caregiving status  on the admin of ove...")</f>
        <v>Percentage of household who have experienced cuts in  government assistance in the past 6 months broken down by caregiving status  on the admin of ove...</v>
      </c>
    </row>
    <row r="1530" spans="3:7" x14ac:dyDescent="0.35">
      <c r="C1530" t="s">
        <v>129</v>
      </c>
      <c r="D1530" t="s">
        <v>206</v>
      </c>
      <c r="E1530" t="s">
        <v>131</v>
      </c>
      <c r="F1530" s="36">
        <v>2016</v>
      </c>
      <c r="G1530" s="16" t="str">
        <f>HYPERLINK("#'Data'!A11050", "Percentage of household who have experienced cuts in  government assistance in the past 6 months broken down by gender of respondent on the admin of o...")</f>
        <v>Percentage of household who have experienced cuts in  government assistance in the past 6 months broken down by gender of respondent on the admin of o...</v>
      </c>
    </row>
    <row r="1531" spans="3:7" x14ac:dyDescent="0.35">
      <c r="C1531" t="s">
        <v>129</v>
      </c>
      <c r="D1531" t="s">
        <v>206</v>
      </c>
      <c r="E1531" t="s">
        <v>132</v>
      </c>
      <c r="F1531" s="36">
        <v>2017</v>
      </c>
      <c r="G1531" s="16" t="str">
        <f>HYPERLINK("#'Data'!A11057", "Percentage of household who have experienced cuts in  government assistance in the past 6 months broken down by age of respondents on the admin of ove...")</f>
        <v>Percentage of household who have experienced cuts in  government assistance in the past 6 months broken down by age of respondents on the admin of ove...</v>
      </c>
    </row>
    <row r="1532" spans="3:7" x14ac:dyDescent="0.35">
      <c r="C1532" t="s">
        <v>129</v>
      </c>
      <c r="D1532" t="s">
        <v>206</v>
      </c>
      <c r="E1532" t="s">
        <v>133</v>
      </c>
      <c r="F1532" s="36">
        <v>2018</v>
      </c>
      <c r="G1532" s="16" t="str">
        <f>HYPERLINK("#'Data'!A11065", "Percentage of household who have experienced cuts in  government assistance in the past 6 months broken down by gender and age of respondents on the a...")</f>
        <v>Percentage of household who have experienced cuts in  government assistance in the past 6 months broken down by gender and age of respondents on the a...</v>
      </c>
    </row>
    <row r="1533" spans="3:7" x14ac:dyDescent="0.35">
      <c r="C1533" t="s">
        <v>129</v>
      </c>
      <c r="D1533" t="s">
        <v>207</v>
      </c>
      <c r="E1533" t="s">
        <v>36</v>
      </c>
      <c r="F1533" s="36">
        <v>2019</v>
      </c>
      <c r="G1533" s="16" t="str">
        <f>HYPERLINK("#'Data'!A11078", "Percentage of households unable to obtain needed legal assistance, by type of assistance on the admin of overall perc")</f>
        <v>Percentage of households unable to obtain needed legal assistance, by type of assistance on the admin of overall perc</v>
      </c>
    </row>
    <row r="1534" spans="3:7" x14ac:dyDescent="0.35">
      <c r="C1534" t="s">
        <v>129</v>
      </c>
      <c r="D1534" t="s">
        <v>207</v>
      </c>
      <c r="E1534" t="s">
        <v>57</v>
      </c>
      <c r="F1534" s="36">
        <v>2020</v>
      </c>
      <c r="G1534" s="16" t="str">
        <f>HYPERLINK("#'Data'!A11083", "Percentage of households unable to obtain needed legal assistance, by type of assistance broken down by households with at least one member with a rep...")</f>
        <v>Percentage of households unable to obtain needed legal assistance, by type of assistance broken down by households with at least one member with a rep...</v>
      </c>
    </row>
    <row r="1535" spans="3:7" x14ac:dyDescent="0.35">
      <c r="C1535" t="s">
        <v>129</v>
      </c>
      <c r="D1535" t="s">
        <v>207</v>
      </c>
      <c r="E1535" t="s">
        <v>58</v>
      </c>
      <c r="F1535" s="36">
        <v>2021</v>
      </c>
      <c r="G1535" s="16" t="str">
        <f>HYPERLINK("#'Data'!A11089", "Percentage of households unable to obtain needed legal assistance, by type of assistance broken down by urbanity on the admin of overall perc")</f>
        <v>Percentage of households unable to obtain needed legal assistance, by type of assistance broken down by urbanity on the admin of overall perc</v>
      </c>
    </row>
    <row r="1536" spans="3:7" x14ac:dyDescent="0.35">
      <c r="C1536" t="s">
        <v>129</v>
      </c>
      <c r="D1536" t="s">
        <v>207</v>
      </c>
      <c r="E1536" t="s">
        <v>59</v>
      </c>
      <c r="F1536" s="36">
        <v>2022</v>
      </c>
      <c r="G1536" s="16" t="str">
        <f>HYPERLINK("#'Data'!A11095", "Percentage of households unable to obtain needed legal assistance, by type of assistance broken down by household size on the admin of overall perc")</f>
        <v>Percentage of households unable to obtain needed legal assistance, by type of assistance broken down by household size on the admin of overall perc</v>
      </c>
    </row>
    <row r="1537" spans="3:7" x14ac:dyDescent="0.35">
      <c r="C1537" t="s">
        <v>129</v>
      </c>
      <c r="D1537" t="s">
        <v>207</v>
      </c>
      <c r="E1537" t="s">
        <v>60</v>
      </c>
      <c r="F1537" s="36">
        <v>2023</v>
      </c>
      <c r="G1537" s="16" t="str">
        <f>HYPERLINK("#'Data'!A11102", "Percentage of households unable to obtain needed legal assistance, by type of assistance broken down by income per capita (quartiles) on the admin of ...")</f>
        <v>Percentage of households unable to obtain needed legal assistance, by type of assistance broken down by income per capita (quartiles) on the admin of ...</v>
      </c>
    </row>
    <row r="1538" spans="3:7" x14ac:dyDescent="0.35">
      <c r="C1538" t="s">
        <v>129</v>
      </c>
      <c r="D1538" t="s">
        <v>207</v>
      </c>
      <c r="E1538" t="s">
        <v>61</v>
      </c>
      <c r="F1538" s="36">
        <v>2024</v>
      </c>
      <c r="G1538" s="16" t="str">
        <f>HYPERLINK("#'Data'!A11110", "Percentage of households unable to obtain needed legal assistance, by type of assistance broken down by gender of head of household on the admin of ov...")</f>
        <v>Percentage of households unable to obtain needed legal assistance, by type of assistance broken down by gender of head of household on the admin of ov...</v>
      </c>
    </row>
    <row r="1539" spans="3:7" x14ac:dyDescent="0.35">
      <c r="C1539" t="s">
        <v>129</v>
      </c>
      <c r="D1539" t="s">
        <v>207</v>
      </c>
      <c r="E1539" t="s">
        <v>62</v>
      </c>
      <c r="F1539" s="36">
        <v>2025</v>
      </c>
      <c r="G1539" s="16" t="str">
        <f>HYPERLINK("#'Data'!A11118", "Percentage of households unable to obtain needed legal assistance, by type of assistance broken down by age of adults in the households on the admin o...")</f>
        <v>Percentage of households unable to obtain needed legal assistance, by type of assistance broken down by age of adults in the households on the admin o...</v>
      </c>
    </row>
    <row r="1540" spans="3:7" x14ac:dyDescent="0.35">
      <c r="C1540" t="s">
        <v>129</v>
      </c>
      <c r="D1540" t="s">
        <v>207</v>
      </c>
      <c r="E1540" t="s">
        <v>76</v>
      </c>
      <c r="F1540" s="36">
        <v>2026</v>
      </c>
      <c r="G1540" s="16" t="str">
        <f>HYPERLINK("#'Data'!A11125", "Percentage of households unable to obtain needed legal assistance, by type of assistance broken down by households with at least one child (&lt;18 y.o.) ...")</f>
        <v>Percentage of households unable to obtain needed legal assistance, by type of assistance broken down by households with at least one child (&lt;18 y.o.) ...</v>
      </c>
    </row>
    <row r="1541" spans="3:7" x14ac:dyDescent="0.35">
      <c r="C1541" t="s">
        <v>129</v>
      </c>
      <c r="D1541" t="s">
        <v>207</v>
      </c>
      <c r="E1541" t="s">
        <v>63</v>
      </c>
      <c r="F1541" s="36">
        <v>2027</v>
      </c>
      <c r="G1541" s="16" t="str">
        <f>HYPERLINK("#'Data'!A11131", "Percentage of households unable to obtain needed legal assistance, by type of assistance broken down by displacement status of head of household on th...")</f>
        <v>Percentage of households unable to obtain needed legal assistance, by type of assistance broken down by displacement status of head of household on th...</v>
      </c>
    </row>
    <row r="1542" spans="3:7" x14ac:dyDescent="0.35">
      <c r="C1542" t="s">
        <v>129</v>
      </c>
      <c r="D1542" t="s">
        <v>207</v>
      </c>
      <c r="E1542" t="s">
        <v>64</v>
      </c>
      <c r="F1542" s="36">
        <v>2028</v>
      </c>
      <c r="G1542" s="16" t="str">
        <f>HYPERLINK("#'Data'!A11140", "Percentage of households unable to obtain needed legal assistance, by type of assistance broken down by IDP household on the admin of overall perc")</f>
        <v>Percentage of households unable to obtain needed legal assistance, by type of assistance broken down by IDP household on the admin of overall perc</v>
      </c>
    </row>
    <row r="1543" spans="3:7" x14ac:dyDescent="0.35">
      <c r="C1543" t="s">
        <v>129</v>
      </c>
      <c r="D1543" t="s">
        <v>207</v>
      </c>
      <c r="E1543" t="s">
        <v>65</v>
      </c>
      <c r="F1543" s="36">
        <v>2029</v>
      </c>
      <c r="G1543" s="16" t="str">
        <f>HYPERLINK("#'Data'!A11146", "Percentage of households unable to obtain needed legal assistance, by type of assistance broken down by proximity to frontline/border with Russian Fed...")</f>
        <v>Percentage of households unable to obtain needed legal assistance, by type of assistance broken down by proximity to frontline/border with Russian Fed...</v>
      </c>
    </row>
    <row r="1544" spans="3:7" x14ac:dyDescent="0.35">
      <c r="C1544" t="s">
        <v>129</v>
      </c>
      <c r="D1544" t="s">
        <v>207</v>
      </c>
      <c r="E1544" t="s">
        <v>77</v>
      </c>
      <c r="F1544" s="36">
        <v>2030</v>
      </c>
      <c r="G1544" s="16" t="str">
        <f>HYPERLINK("#'Data'!A11153", "Percentage of households unable to obtain needed legal assistance, by type of assistance broken down by caregiving status  on the admin of overall per...")</f>
        <v>Percentage of households unable to obtain needed legal assistance, by type of assistance broken down by caregiving status  on the admin of overall per...</v>
      </c>
    </row>
    <row r="1545" spans="3:7" x14ac:dyDescent="0.35">
      <c r="C1545" t="s">
        <v>129</v>
      </c>
      <c r="D1545" t="s">
        <v>207</v>
      </c>
      <c r="E1545" t="s">
        <v>131</v>
      </c>
      <c r="F1545" s="36">
        <v>2031</v>
      </c>
      <c r="G1545" s="16" t="str">
        <f>HYPERLINK("#'Data'!A11161", "Percentage of households unable to obtain needed legal assistance, by type of assistance broken down by gender of respondent on the admin of overall p...")</f>
        <v>Percentage of households unable to obtain needed legal assistance, by type of assistance broken down by gender of respondent on the admin of overall p...</v>
      </c>
    </row>
    <row r="1546" spans="3:7" x14ac:dyDescent="0.35">
      <c r="C1546" t="s">
        <v>129</v>
      </c>
      <c r="D1546" t="s">
        <v>207</v>
      </c>
      <c r="E1546" t="s">
        <v>132</v>
      </c>
      <c r="F1546" s="36">
        <v>2032</v>
      </c>
      <c r="G1546" s="16" t="str">
        <f>HYPERLINK("#'Data'!A11168", "Percentage of households unable to obtain needed legal assistance, by type of assistance broken down by age of respondents on the admin of overall per...")</f>
        <v>Percentage of households unable to obtain needed legal assistance, by type of assistance broken down by age of respondents on the admin of overall per...</v>
      </c>
    </row>
    <row r="1547" spans="3:7" x14ac:dyDescent="0.35">
      <c r="C1547" t="s">
        <v>129</v>
      </c>
      <c r="D1547" t="s">
        <v>207</v>
      </c>
      <c r="E1547" t="s">
        <v>133</v>
      </c>
      <c r="F1547" s="36">
        <v>2033</v>
      </c>
      <c r="G1547" s="16" t="str">
        <f>HYPERLINK("#'Data'!A11176", "Percentage of households unable to obtain needed legal assistance, by type of assistance broken down by gender and age of respondents on the admin of ...")</f>
        <v>Percentage of households unable to obtain needed legal assistance, by type of assistance broken down by gender and age of respondents on the admin of ...</v>
      </c>
    </row>
    <row r="1548" spans="3:7" x14ac:dyDescent="0.35">
      <c r="C1548" t="s">
        <v>129</v>
      </c>
      <c r="D1548" t="s">
        <v>208</v>
      </c>
      <c r="E1548" t="s">
        <v>36</v>
      </c>
      <c r="F1548" s="36">
        <v>2034</v>
      </c>
      <c r="G1548" s="16" t="str">
        <f>HYPERLINK("#'Data'!A11189", "Percentage of households unable to obtain needed social and administrative services, by type of services on the admin of overall perc")</f>
        <v>Percentage of households unable to obtain needed social and administrative services, by type of services on the admin of overall perc</v>
      </c>
    </row>
    <row r="1549" spans="3:7" x14ac:dyDescent="0.35">
      <c r="C1549" t="s">
        <v>129</v>
      </c>
      <c r="D1549" t="s">
        <v>208</v>
      </c>
      <c r="E1549" t="s">
        <v>57</v>
      </c>
      <c r="F1549" s="36">
        <v>2035</v>
      </c>
      <c r="G1549" s="16" t="str">
        <f>HYPERLINK("#'Data'!A11194", "Percentage of households unable to obtain needed social and administrative services, by type of services broken down by households with at least one m...")</f>
        <v>Percentage of households unable to obtain needed social and administrative services, by type of services broken down by households with at least one m...</v>
      </c>
    </row>
    <row r="1550" spans="3:7" x14ac:dyDescent="0.35">
      <c r="C1550" t="s">
        <v>129</v>
      </c>
      <c r="D1550" t="s">
        <v>208</v>
      </c>
      <c r="E1550" t="s">
        <v>58</v>
      </c>
      <c r="F1550" s="36">
        <v>2036</v>
      </c>
      <c r="G1550" s="16" t="str">
        <f>HYPERLINK("#'Data'!A11200", "Percentage of households unable to obtain needed social and administrative services, by type of services broken down by urbanity on the admin of overa...")</f>
        <v>Percentage of households unable to obtain needed social and administrative services, by type of services broken down by urbanity on the admin of overa...</v>
      </c>
    </row>
    <row r="1551" spans="3:7" x14ac:dyDescent="0.35">
      <c r="C1551" t="s">
        <v>129</v>
      </c>
      <c r="D1551" t="s">
        <v>208</v>
      </c>
      <c r="E1551" t="s">
        <v>59</v>
      </c>
      <c r="F1551" s="36">
        <v>2037</v>
      </c>
      <c r="G1551" s="16" t="str">
        <f>HYPERLINK("#'Data'!A11206", "Percentage of households unable to obtain needed social and administrative services, by type of services broken down by household size on the admin of...")</f>
        <v>Percentage of households unable to obtain needed social and administrative services, by type of services broken down by household size on the admin of...</v>
      </c>
    </row>
    <row r="1552" spans="3:7" x14ac:dyDescent="0.35">
      <c r="C1552" t="s">
        <v>129</v>
      </c>
      <c r="D1552" t="s">
        <v>208</v>
      </c>
      <c r="E1552" t="s">
        <v>60</v>
      </c>
      <c r="F1552" s="36">
        <v>2038</v>
      </c>
      <c r="G1552" s="16" t="str">
        <f>HYPERLINK("#'Data'!A11213", "Percentage of households unable to obtain needed social and administrative services, by type of services broken down by income per capita (quartiles) ...")</f>
        <v>Percentage of households unable to obtain needed social and administrative services, by type of services broken down by income per capita (quartiles) ...</v>
      </c>
    </row>
    <row r="1553" spans="3:7" x14ac:dyDescent="0.35">
      <c r="C1553" t="s">
        <v>129</v>
      </c>
      <c r="D1553" t="s">
        <v>208</v>
      </c>
      <c r="E1553" t="s">
        <v>61</v>
      </c>
      <c r="F1553" s="36">
        <v>2039</v>
      </c>
      <c r="G1553" s="16" t="str">
        <f>HYPERLINK("#'Data'!A11221", "Percentage of households unable to obtain needed social and administrative services, by type of services broken down by gender of head of household on...")</f>
        <v>Percentage of households unable to obtain needed social and administrative services, by type of services broken down by gender of head of household on...</v>
      </c>
    </row>
    <row r="1554" spans="3:7" x14ac:dyDescent="0.35">
      <c r="C1554" t="s">
        <v>129</v>
      </c>
      <c r="D1554" t="s">
        <v>208</v>
      </c>
      <c r="E1554" t="s">
        <v>62</v>
      </c>
      <c r="F1554" s="36">
        <v>2040</v>
      </c>
      <c r="G1554" s="16" t="str">
        <f>HYPERLINK("#'Data'!A11229", "Percentage of households unable to obtain needed social and administrative services, by type of services broken down by age of adults in the household...")</f>
        <v>Percentage of households unable to obtain needed social and administrative services, by type of services broken down by age of adults in the household...</v>
      </c>
    </row>
    <row r="1555" spans="3:7" x14ac:dyDescent="0.35">
      <c r="C1555" t="s">
        <v>129</v>
      </c>
      <c r="D1555" t="s">
        <v>208</v>
      </c>
      <c r="E1555" t="s">
        <v>76</v>
      </c>
      <c r="F1555" s="36">
        <v>2041</v>
      </c>
      <c r="G1555" s="16" t="str">
        <f>HYPERLINK("#'Data'!A11236", "Percentage of households unable to obtain needed social and administrative services, by type of services broken down by households with at least one c...")</f>
        <v>Percentage of households unable to obtain needed social and administrative services, by type of services broken down by households with at least one c...</v>
      </c>
    </row>
    <row r="1556" spans="3:7" x14ac:dyDescent="0.35">
      <c r="C1556" t="s">
        <v>129</v>
      </c>
      <c r="D1556" t="s">
        <v>208</v>
      </c>
      <c r="E1556" t="s">
        <v>63</v>
      </c>
      <c r="F1556" s="36">
        <v>2042</v>
      </c>
      <c r="G1556" s="16" t="str">
        <f>HYPERLINK("#'Data'!A11242", "Percentage of households unable to obtain needed social and administrative services, by type of services broken down by displacement status of head of...")</f>
        <v>Percentage of households unable to obtain needed social and administrative services, by type of services broken down by displacement status of head of...</v>
      </c>
    </row>
    <row r="1557" spans="3:7" x14ac:dyDescent="0.35">
      <c r="C1557" t="s">
        <v>129</v>
      </c>
      <c r="D1557" t="s">
        <v>208</v>
      </c>
      <c r="E1557" t="s">
        <v>64</v>
      </c>
      <c r="F1557" s="36">
        <v>2043</v>
      </c>
      <c r="G1557" s="16" t="str">
        <f>HYPERLINK("#'Data'!A11251", "Percentage of households unable to obtain needed social and administrative services, by type of services broken down by IDP household on the admin of ...")</f>
        <v>Percentage of households unable to obtain needed social and administrative services, by type of services broken down by IDP household on the admin of ...</v>
      </c>
    </row>
    <row r="1558" spans="3:7" x14ac:dyDescent="0.35">
      <c r="C1558" t="s">
        <v>129</v>
      </c>
      <c r="D1558" t="s">
        <v>208</v>
      </c>
      <c r="E1558" t="s">
        <v>65</v>
      </c>
      <c r="F1558" s="36">
        <v>2044</v>
      </c>
      <c r="G1558" s="16" t="str">
        <f>HYPERLINK("#'Data'!A11257", "Percentage of households unable to obtain needed social and administrative services, by type of services broken down by proximity to frontline/border ...")</f>
        <v>Percentage of households unable to obtain needed social and administrative services, by type of services broken down by proximity to frontline/border ...</v>
      </c>
    </row>
    <row r="1559" spans="3:7" x14ac:dyDescent="0.35">
      <c r="C1559" t="s">
        <v>129</v>
      </c>
      <c r="D1559" t="s">
        <v>208</v>
      </c>
      <c r="E1559" t="s">
        <v>77</v>
      </c>
      <c r="F1559" s="36">
        <v>2045</v>
      </c>
      <c r="G1559" s="16" t="str">
        <f>HYPERLINK("#'Data'!A11264", "Percentage of households unable to obtain needed social and administrative services, by type of services broken down by caregiving status  on the admi...")</f>
        <v>Percentage of households unable to obtain needed social and administrative services, by type of services broken down by caregiving status  on the admi...</v>
      </c>
    </row>
    <row r="1560" spans="3:7" x14ac:dyDescent="0.35">
      <c r="C1560" t="s">
        <v>129</v>
      </c>
      <c r="D1560" t="s">
        <v>208</v>
      </c>
      <c r="E1560" t="s">
        <v>131</v>
      </c>
      <c r="F1560" s="36">
        <v>2046</v>
      </c>
      <c r="G1560" s="16" t="str">
        <f>HYPERLINK("#'Data'!A11272", "Percentage of households unable to obtain needed social and administrative services, by type of services broken down by gender of respondent on the ad...")</f>
        <v>Percentage of households unable to obtain needed social and administrative services, by type of services broken down by gender of respondent on the ad...</v>
      </c>
    </row>
    <row r="1561" spans="3:7" x14ac:dyDescent="0.35">
      <c r="C1561" t="s">
        <v>129</v>
      </c>
      <c r="D1561" t="s">
        <v>208</v>
      </c>
      <c r="E1561" t="s">
        <v>132</v>
      </c>
      <c r="F1561" s="36">
        <v>2047</v>
      </c>
      <c r="G1561" s="16" t="str">
        <f>HYPERLINK("#'Data'!A11279", "Percentage of households unable to obtain needed social and administrative services, by type of services broken down by age of respondents on the admi...")</f>
        <v>Percentage of households unable to obtain needed social and administrative services, by type of services broken down by age of respondents on the admi...</v>
      </c>
    </row>
    <row r="1562" spans="3:7" x14ac:dyDescent="0.35">
      <c r="C1562" t="s">
        <v>129</v>
      </c>
      <c r="D1562" t="s">
        <v>208</v>
      </c>
      <c r="E1562" t="s">
        <v>133</v>
      </c>
      <c r="F1562" s="36">
        <v>2048</v>
      </c>
      <c r="G1562" s="16" t="str">
        <f>HYPERLINK("#'Data'!A11287", "Percentage of households unable to obtain needed social and administrative services, by type of services broken down by gender and age of respondents ...")</f>
        <v>Percentage of households unable to obtain needed social and administrative services, by type of services broken down by gender and age of respondents ...</v>
      </c>
    </row>
    <row r="1563" spans="3:7" x14ac:dyDescent="0.35">
      <c r="C1563" t="s">
        <v>129</v>
      </c>
      <c r="D1563" t="s">
        <v>209</v>
      </c>
      <c r="E1563" t="s">
        <v>36</v>
      </c>
      <c r="F1563" s="36">
        <v>2049</v>
      </c>
      <c r="G1563" s="16" t="str">
        <f>HYPERLINK("#'Data'!A11300", "Percentage of households reporting services for women/girls are needed but not available in the area, by type of services on the admin of overall perc")</f>
        <v>Percentage of households reporting services for women/girls are needed but not available in the area, by type of services on the admin of overall perc</v>
      </c>
    </row>
    <row r="1564" spans="3:7" x14ac:dyDescent="0.35">
      <c r="C1564" t="s">
        <v>129</v>
      </c>
      <c r="D1564" t="s">
        <v>209</v>
      </c>
      <c r="E1564" t="s">
        <v>57</v>
      </c>
      <c r="F1564" s="36">
        <v>2050</v>
      </c>
      <c r="G1564" s="16" t="str">
        <f>HYPERLINK("#'Data'!A11305", "Percentage of households reporting services for women/girls are needed but not available in the area, by type of services broken down by households wi...")</f>
        <v>Percentage of households reporting services for women/girls are needed but not available in the area, by type of services broken down by households wi...</v>
      </c>
    </row>
    <row r="1565" spans="3:7" x14ac:dyDescent="0.35">
      <c r="C1565" t="s">
        <v>129</v>
      </c>
      <c r="D1565" t="s">
        <v>209</v>
      </c>
      <c r="E1565" t="s">
        <v>58</v>
      </c>
      <c r="F1565" s="36">
        <v>2051</v>
      </c>
      <c r="G1565" s="16" t="str">
        <f>HYPERLINK("#'Data'!A11311", "Percentage of households reporting services for women/girls are needed but not available in the area, by type of services broken down by urbanity on t...")</f>
        <v>Percentage of households reporting services for women/girls are needed but not available in the area, by type of services broken down by urbanity on t...</v>
      </c>
    </row>
    <row r="1566" spans="3:7" x14ac:dyDescent="0.35">
      <c r="C1566" t="s">
        <v>129</v>
      </c>
      <c r="D1566" t="s">
        <v>209</v>
      </c>
      <c r="E1566" t="s">
        <v>59</v>
      </c>
      <c r="F1566" s="36">
        <v>2052</v>
      </c>
      <c r="G1566" s="16" t="str">
        <f>HYPERLINK("#'Data'!A11317", "Percentage of households reporting services for women/girls are needed but not available in the area, by type of services broken down by household siz...")</f>
        <v>Percentage of households reporting services for women/girls are needed but not available in the area, by type of services broken down by household siz...</v>
      </c>
    </row>
    <row r="1567" spans="3:7" x14ac:dyDescent="0.35">
      <c r="C1567" t="s">
        <v>129</v>
      </c>
      <c r="D1567" t="s">
        <v>209</v>
      </c>
      <c r="E1567" t="s">
        <v>60</v>
      </c>
      <c r="F1567" s="36">
        <v>2053</v>
      </c>
      <c r="G1567" s="16" t="str">
        <f>HYPERLINK("#'Data'!A11324", "Percentage of households reporting services for women/girls are needed but not available in the area, by type of services broken down by income per ca...")</f>
        <v>Percentage of households reporting services for women/girls are needed but not available in the area, by type of services broken down by income per ca...</v>
      </c>
    </row>
    <row r="1568" spans="3:7" x14ac:dyDescent="0.35">
      <c r="C1568" t="s">
        <v>129</v>
      </c>
      <c r="D1568" t="s">
        <v>209</v>
      </c>
      <c r="E1568" t="s">
        <v>61</v>
      </c>
      <c r="F1568" s="36">
        <v>2054</v>
      </c>
      <c r="G1568" s="16" t="str">
        <f>HYPERLINK("#'Data'!A11332", "Percentage of households reporting services for women/girls are needed but not available in the area, by type of services broken down by gender of hea...")</f>
        <v>Percentage of households reporting services for women/girls are needed but not available in the area, by type of services broken down by gender of hea...</v>
      </c>
    </row>
    <row r="1569" spans="3:7" x14ac:dyDescent="0.35">
      <c r="C1569" t="s">
        <v>129</v>
      </c>
      <c r="D1569" t="s">
        <v>209</v>
      </c>
      <c r="E1569" t="s">
        <v>62</v>
      </c>
      <c r="F1569" s="36">
        <v>2055</v>
      </c>
      <c r="G1569" s="16" t="str">
        <f>HYPERLINK("#'Data'!A11340", "Percentage of households reporting services for women/girls are needed but not available in the area, by type of services broken down by age of adults...")</f>
        <v>Percentage of households reporting services for women/girls are needed but not available in the area, by type of services broken down by age of adults...</v>
      </c>
    </row>
    <row r="1570" spans="3:7" x14ac:dyDescent="0.35">
      <c r="C1570" t="s">
        <v>129</v>
      </c>
      <c r="D1570" t="s">
        <v>209</v>
      </c>
      <c r="E1570" t="s">
        <v>76</v>
      </c>
      <c r="F1570" s="36">
        <v>2056</v>
      </c>
      <c r="G1570" s="16" t="str">
        <f>HYPERLINK("#'Data'!A11347", "Percentage of households reporting services for women/girls are needed but not available in the area, by type of services broken down by households wi...")</f>
        <v>Percentage of households reporting services for women/girls are needed but not available in the area, by type of services broken down by households wi...</v>
      </c>
    </row>
    <row r="1571" spans="3:7" x14ac:dyDescent="0.35">
      <c r="C1571" t="s">
        <v>129</v>
      </c>
      <c r="D1571" t="s">
        <v>209</v>
      </c>
      <c r="E1571" t="s">
        <v>63</v>
      </c>
      <c r="F1571" s="36">
        <v>2057</v>
      </c>
      <c r="G1571" s="16" t="str">
        <f>HYPERLINK("#'Data'!A11353", "Percentage of households reporting services for women/girls are needed but not available in the area, by type of services broken down by displacement ...")</f>
        <v>Percentage of households reporting services for women/girls are needed but not available in the area, by type of services broken down by displacement ...</v>
      </c>
    </row>
    <row r="1572" spans="3:7" x14ac:dyDescent="0.35">
      <c r="C1572" t="s">
        <v>129</v>
      </c>
      <c r="D1572" t="s">
        <v>209</v>
      </c>
      <c r="E1572" t="s">
        <v>64</v>
      </c>
      <c r="F1572" s="36">
        <v>2058</v>
      </c>
      <c r="G1572" s="16" t="str">
        <f>HYPERLINK("#'Data'!A11362", "Percentage of households reporting services for women/girls are needed but not available in the area, by type of services broken down by IDP household...")</f>
        <v>Percentage of households reporting services for women/girls are needed but not available in the area, by type of services broken down by IDP household...</v>
      </c>
    </row>
    <row r="1573" spans="3:7" x14ac:dyDescent="0.35">
      <c r="C1573" t="s">
        <v>129</v>
      </c>
      <c r="D1573" t="s">
        <v>209</v>
      </c>
      <c r="E1573" t="s">
        <v>65</v>
      </c>
      <c r="F1573" s="36">
        <v>2059</v>
      </c>
      <c r="G1573" s="16" t="str">
        <f>HYPERLINK("#'Data'!A11368", "Percentage of households reporting services for women/girls are needed but not available in the area, by type of services broken down by proximity to ...")</f>
        <v>Percentage of households reporting services for women/girls are needed but not available in the area, by type of services broken down by proximity to ...</v>
      </c>
    </row>
    <row r="1574" spans="3:7" x14ac:dyDescent="0.35">
      <c r="C1574" t="s">
        <v>129</v>
      </c>
      <c r="D1574" t="s">
        <v>209</v>
      </c>
      <c r="E1574" t="s">
        <v>77</v>
      </c>
      <c r="F1574" s="36">
        <v>2060</v>
      </c>
      <c r="G1574" s="16" t="str">
        <f>HYPERLINK("#'Data'!A11375", "Percentage of households reporting services for women/girls are needed but not available in the area, by type of services broken down by caregiving st...")</f>
        <v>Percentage of households reporting services for women/girls are needed but not available in the area, by type of services broken down by caregiving st...</v>
      </c>
    </row>
    <row r="1575" spans="3:7" x14ac:dyDescent="0.35">
      <c r="C1575" t="s">
        <v>129</v>
      </c>
      <c r="D1575" t="s">
        <v>209</v>
      </c>
      <c r="E1575" t="s">
        <v>131</v>
      </c>
      <c r="F1575" s="36">
        <v>2061</v>
      </c>
      <c r="G1575" s="16" t="str">
        <f>HYPERLINK("#'Data'!A11383", "Percentage of households reporting services for women/girls are needed but not available in the area, by type of services broken down by gender of res...")</f>
        <v>Percentage of households reporting services for women/girls are needed but not available in the area, by type of services broken down by gender of res...</v>
      </c>
    </row>
    <row r="1576" spans="3:7" x14ac:dyDescent="0.35">
      <c r="C1576" t="s">
        <v>129</v>
      </c>
      <c r="D1576" t="s">
        <v>209</v>
      </c>
      <c r="E1576" t="s">
        <v>132</v>
      </c>
      <c r="F1576" s="36">
        <v>2062</v>
      </c>
      <c r="G1576" s="16" t="str">
        <f>HYPERLINK("#'Data'!A11390", "Percentage of households reporting services for women/girls are needed but not available in the area, by type of services broken down by age of respon...")</f>
        <v>Percentage of households reporting services for women/girls are needed but not available in the area, by type of services broken down by age of respon...</v>
      </c>
    </row>
    <row r="1577" spans="3:7" x14ac:dyDescent="0.35">
      <c r="C1577" t="s">
        <v>129</v>
      </c>
      <c r="D1577" t="s">
        <v>209</v>
      </c>
      <c r="E1577" t="s">
        <v>133</v>
      </c>
      <c r="F1577" s="36">
        <v>2063</v>
      </c>
      <c r="G1577" s="16" t="str">
        <f>HYPERLINK("#'Data'!A11398", "Percentage of households reporting services for women/girls are needed but not available in the area, by type of services broken down by gender and ag...")</f>
        <v>Percentage of households reporting services for women/girls are needed but not available in the area, by type of services broken down by gender and ag...</v>
      </c>
    </row>
    <row r="1578" spans="3:7" x14ac:dyDescent="0.35">
      <c r="C1578" t="s">
        <v>129</v>
      </c>
      <c r="D1578" t="s">
        <v>210</v>
      </c>
      <c r="E1578" t="s">
        <v>36</v>
      </c>
      <c r="F1578" s="36">
        <v>2064</v>
      </c>
      <c r="G1578" s="16" t="str">
        <f>HYPERLINK("#'Data'!A11411", "Percentage of household reporting services for children are needed but not available in the area, by type of service on the admin of overall perc")</f>
        <v>Percentage of household reporting services for children are needed but not available in the area, by type of service on the admin of overall perc</v>
      </c>
    </row>
    <row r="1579" spans="3:7" x14ac:dyDescent="0.35">
      <c r="C1579" t="s">
        <v>129</v>
      </c>
      <c r="D1579" t="s">
        <v>210</v>
      </c>
      <c r="E1579" t="s">
        <v>57</v>
      </c>
      <c r="F1579" s="36">
        <v>2065</v>
      </c>
      <c r="G1579" s="16" t="str">
        <f>HYPERLINK("#'Data'!A11416", "Percentage of household reporting services for children are needed but not available in the area, by type of service broken down by households with at...")</f>
        <v>Percentage of household reporting services for children are needed but not available in the area, by type of service broken down by households with at...</v>
      </c>
    </row>
    <row r="1580" spans="3:7" x14ac:dyDescent="0.35">
      <c r="C1580" t="s">
        <v>129</v>
      </c>
      <c r="D1580" t="s">
        <v>210</v>
      </c>
      <c r="E1580" t="s">
        <v>58</v>
      </c>
      <c r="F1580" s="36">
        <v>2066</v>
      </c>
      <c r="G1580" s="16" t="str">
        <f>HYPERLINK("#'Data'!A11422", "Percentage of household reporting services for children are needed but not available in the area, by type of service broken down by urbanity on the ad...")</f>
        <v>Percentage of household reporting services for children are needed but not available in the area, by type of service broken down by urbanity on the ad...</v>
      </c>
    </row>
    <row r="1581" spans="3:7" x14ac:dyDescent="0.35">
      <c r="C1581" t="s">
        <v>129</v>
      </c>
      <c r="D1581" t="s">
        <v>210</v>
      </c>
      <c r="E1581" t="s">
        <v>59</v>
      </c>
      <c r="F1581" s="36">
        <v>2067</v>
      </c>
      <c r="G1581" s="16" t="str">
        <f>HYPERLINK("#'Data'!A11428", "Percentage of household reporting services for children are needed but not available in the area, by type of service broken down by household size on ...")</f>
        <v>Percentage of household reporting services for children are needed but not available in the area, by type of service broken down by household size on ...</v>
      </c>
    </row>
    <row r="1582" spans="3:7" x14ac:dyDescent="0.35">
      <c r="C1582" t="s">
        <v>129</v>
      </c>
      <c r="D1582" t="s">
        <v>210</v>
      </c>
      <c r="E1582" t="s">
        <v>60</v>
      </c>
      <c r="F1582" s="36">
        <v>2068</v>
      </c>
      <c r="G1582" s="16" t="str">
        <f>HYPERLINK("#'Data'!A11435", "Percentage of household reporting services for children are needed but not available in the area, by type of service broken down by income per capita ...")</f>
        <v>Percentage of household reporting services for children are needed but not available in the area, by type of service broken down by income per capita ...</v>
      </c>
    </row>
    <row r="1583" spans="3:7" x14ac:dyDescent="0.35">
      <c r="C1583" t="s">
        <v>129</v>
      </c>
      <c r="D1583" t="s">
        <v>210</v>
      </c>
      <c r="E1583" t="s">
        <v>61</v>
      </c>
      <c r="F1583" s="36">
        <v>2069</v>
      </c>
      <c r="G1583" s="16" t="str">
        <f>HYPERLINK("#'Data'!A11443", "Percentage of household reporting services for children are needed but not available in the area, by type of service broken down by gender of head of ...")</f>
        <v>Percentage of household reporting services for children are needed but not available in the area, by type of service broken down by gender of head of ...</v>
      </c>
    </row>
    <row r="1584" spans="3:7" x14ac:dyDescent="0.35">
      <c r="C1584" t="s">
        <v>129</v>
      </c>
      <c r="D1584" t="s">
        <v>210</v>
      </c>
      <c r="E1584" t="s">
        <v>62</v>
      </c>
      <c r="F1584" s="36">
        <v>2070</v>
      </c>
      <c r="G1584" s="16" t="str">
        <f>HYPERLINK("#'Data'!A11451", "Percentage of household reporting services for children are needed but not available in the area, by type of service broken down by age of adults in t...")</f>
        <v>Percentage of household reporting services for children are needed but not available in the area, by type of service broken down by age of adults in t...</v>
      </c>
    </row>
    <row r="1585" spans="3:7" x14ac:dyDescent="0.35">
      <c r="C1585" t="s">
        <v>129</v>
      </c>
      <c r="D1585" t="s">
        <v>210</v>
      </c>
      <c r="E1585" t="s">
        <v>76</v>
      </c>
      <c r="F1585" s="36">
        <v>2071</v>
      </c>
      <c r="G1585" s="16" t="str">
        <f>HYPERLINK("#'Data'!A11458", "Percentage of household reporting services for children are needed but not available in the area, by type of service broken down by households with at...")</f>
        <v>Percentage of household reporting services for children are needed but not available in the area, by type of service broken down by households with at...</v>
      </c>
    </row>
    <row r="1586" spans="3:7" x14ac:dyDescent="0.35">
      <c r="C1586" t="s">
        <v>129</v>
      </c>
      <c r="D1586" t="s">
        <v>210</v>
      </c>
      <c r="E1586" t="s">
        <v>63</v>
      </c>
      <c r="F1586" s="36">
        <v>2072</v>
      </c>
      <c r="G1586" s="16" t="str">
        <f>HYPERLINK("#'Data'!A11464", "Percentage of household reporting services for children are needed but not available in the area, by type of service broken down by displacement statu...")</f>
        <v>Percentage of household reporting services for children are needed but not available in the area, by type of service broken down by displacement statu...</v>
      </c>
    </row>
    <row r="1587" spans="3:7" x14ac:dyDescent="0.35">
      <c r="C1587" t="s">
        <v>129</v>
      </c>
      <c r="D1587" t="s">
        <v>210</v>
      </c>
      <c r="E1587" t="s">
        <v>64</v>
      </c>
      <c r="F1587" s="36">
        <v>2073</v>
      </c>
      <c r="G1587" s="16" t="str">
        <f>HYPERLINK("#'Data'!A11473", "Percentage of household reporting services for children are needed but not available in the area, by type of service broken down by IDP household on t...")</f>
        <v>Percentage of household reporting services for children are needed but not available in the area, by type of service broken down by IDP household on t...</v>
      </c>
    </row>
    <row r="1588" spans="3:7" x14ac:dyDescent="0.35">
      <c r="C1588" t="s">
        <v>129</v>
      </c>
      <c r="D1588" t="s">
        <v>210</v>
      </c>
      <c r="E1588" t="s">
        <v>65</v>
      </c>
      <c r="F1588" s="36">
        <v>2074</v>
      </c>
      <c r="G1588" s="16" t="str">
        <f>HYPERLINK("#'Data'!A11479", "Percentage of household reporting services for children are needed but not available in the area, by type of service broken down by proximity to front...")</f>
        <v>Percentage of household reporting services for children are needed but not available in the area, by type of service broken down by proximity to front...</v>
      </c>
    </row>
    <row r="1589" spans="3:7" x14ac:dyDescent="0.35">
      <c r="C1589" t="s">
        <v>129</v>
      </c>
      <c r="D1589" t="s">
        <v>210</v>
      </c>
      <c r="E1589" t="s">
        <v>77</v>
      </c>
      <c r="F1589" s="36">
        <v>2075</v>
      </c>
      <c r="G1589" s="16" t="str">
        <f>HYPERLINK("#'Data'!A11486", "Percentage of household reporting services for children are needed but not available in the area, by type of service broken down by caregiving status ...")</f>
        <v>Percentage of household reporting services for children are needed but not available in the area, by type of service broken down by caregiving status ...</v>
      </c>
    </row>
    <row r="1590" spans="3:7" x14ac:dyDescent="0.35">
      <c r="C1590" t="s">
        <v>129</v>
      </c>
      <c r="D1590" t="s">
        <v>210</v>
      </c>
      <c r="E1590" t="s">
        <v>131</v>
      </c>
      <c r="F1590" s="36">
        <v>2076</v>
      </c>
      <c r="G1590" s="16" t="str">
        <f>HYPERLINK("#'Data'!A11494", "Percentage of household reporting services for children are needed but not available in the area, by type of service broken down by gender of responde...")</f>
        <v>Percentage of household reporting services for children are needed but not available in the area, by type of service broken down by gender of responde...</v>
      </c>
    </row>
    <row r="1591" spans="3:7" x14ac:dyDescent="0.35">
      <c r="C1591" t="s">
        <v>129</v>
      </c>
      <c r="D1591" t="s">
        <v>210</v>
      </c>
      <c r="E1591" t="s">
        <v>132</v>
      </c>
      <c r="F1591" s="36">
        <v>2077</v>
      </c>
      <c r="G1591" s="16" t="str">
        <f>HYPERLINK("#'Data'!A11501", "Percentage of household reporting services for children are needed but not available in the area, by type of service broken down by age of respondents...")</f>
        <v>Percentage of household reporting services for children are needed but not available in the area, by type of service broken down by age of respondents...</v>
      </c>
    </row>
    <row r="1592" spans="3:7" x14ac:dyDescent="0.35">
      <c r="C1592" t="s">
        <v>129</v>
      </c>
      <c r="D1592" t="s">
        <v>210</v>
      </c>
      <c r="E1592" t="s">
        <v>133</v>
      </c>
      <c r="F1592" s="36">
        <v>2078</v>
      </c>
      <c r="G1592" s="16" t="str">
        <f>HYPERLINK("#'Data'!A11509", "Percentage of household reporting services for children are needed but not available in the area, by type of service broken down by gender and age of ...")</f>
        <v>Percentage of household reporting services for children are needed but not available in the area, by type of service broken down by gender and age of ...</v>
      </c>
    </row>
    <row r="1593" spans="3:7" x14ac:dyDescent="0.35">
      <c r="C1593" t="s">
        <v>129</v>
      </c>
      <c r="D1593" t="s">
        <v>211</v>
      </c>
      <c r="E1593" t="s">
        <v>36</v>
      </c>
      <c r="F1593" s="36">
        <v>2079</v>
      </c>
      <c r="G1593" s="16" t="str">
        <f>HYPERLINK("#'Data'!A11522", "Percentage of households whose ability to work/access resources was affected by threats in the past 3 months on the admin of overall perc")</f>
        <v>Percentage of households whose ability to work/access resources was affected by threats in the past 3 months on the admin of overall perc</v>
      </c>
    </row>
    <row r="1594" spans="3:7" x14ac:dyDescent="0.35">
      <c r="C1594" t="s">
        <v>129</v>
      </c>
      <c r="D1594" t="s">
        <v>211</v>
      </c>
      <c r="E1594" t="s">
        <v>57</v>
      </c>
      <c r="F1594" s="36">
        <v>2080</v>
      </c>
      <c r="G1594" s="16" t="str">
        <f>HYPERLINK("#'Data'!A11527", "Percentage of households whose ability to work/access resources was affected by threats in the past 3 months broken down by households with at least o...")</f>
        <v>Percentage of households whose ability to work/access resources was affected by threats in the past 3 months broken down by households with at least o...</v>
      </c>
    </row>
    <row r="1595" spans="3:7" x14ac:dyDescent="0.35">
      <c r="C1595" t="s">
        <v>129</v>
      </c>
      <c r="D1595" t="s">
        <v>211</v>
      </c>
      <c r="E1595" t="s">
        <v>58</v>
      </c>
      <c r="F1595" s="36">
        <v>2081</v>
      </c>
      <c r="G1595" s="16" t="str">
        <f>HYPERLINK("#'Data'!A11533", "Percentage of households whose ability to work/access resources was affected by threats in the past 3 months broken down by urbanity on the admin of o...")</f>
        <v>Percentage of households whose ability to work/access resources was affected by threats in the past 3 months broken down by urbanity on the admin of o...</v>
      </c>
    </row>
    <row r="1596" spans="3:7" x14ac:dyDescent="0.35">
      <c r="C1596" t="s">
        <v>129</v>
      </c>
      <c r="D1596" t="s">
        <v>211</v>
      </c>
      <c r="E1596" t="s">
        <v>59</v>
      </c>
      <c r="F1596" s="36">
        <v>2082</v>
      </c>
      <c r="G1596" s="16" t="str">
        <f>HYPERLINK("#'Data'!A11539", "Percentage of households whose ability to work/access resources was affected by threats in the past 3 months broken down by household size on the admi...")</f>
        <v>Percentage of households whose ability to work/access resources was affected by threats in the past 3 months broken down by household size on the admi...</v>
      </c>
    </row>
    <row r="1597" spans="3:7" x14ac:dyDescent="0.35">
      <c r="C1597" t="s">
        <v>129</v>
      </c>
      <c r="D1597" t="s">
        <v>211</v>
      </c>
      <c r="E1597" t="s">
        <v>60</v>
      </c>
      <c r="F1597" s="36">
        <v>2083</v>
      </c>
      <c r="G1597" s="16" t="str">
        <f>HYPERLINK("#'Data'!A11546", "Percentage of households whose ability to work/access resources was affected by threats in the past 3 months broken down by income per capita (quartil...")</f>
        <v>Percentage of households whose ability to work/access resources was affected by threats in the past 3 months broken down by income per capita (quartil...</v>
      </c>
    </row>
    <row r="1598" spans="3:7" x14ac:dyDescent="0.35">
      <c r="C1598" t="s">
        <v>129</v>
      </c>
      <c r="D1598" t="s">
        <v>211</v>
      </c>
      <c r="E1598" t="s">
        <v>61</v>
      </c>
      <c r="F1598" s="36">
        <v>2084</v>
      </c>
      <c r="G1598" s="16" t="str">
        <f>HYPERLINK("#'Data'!A11554", "Percentage of households whose ability to work/access resources was affected by threats in the past 3 months broken down by gender of head of househol...")</f>
        <v>Percentage of households whose ability to work/access resources was affected by threats in the past 3 months broken down by gender of head of househol...</v>
      </c>
    </row>
    <row r="1599" spans="3:7" x14ac:dyDescent="0.35">
      <c r="C1599" t="s">
        <v>129</v>
      </c>
      <c r="D1599" t="s">
        <v>211</v>
      </c>
      <c r="E1599" t="s">
        <v>62</v>
      </c>
      <c r="F1599" s="36">
        <v>2085</v>
      </c>
      <c r="G1599" s="16" t="str">
        <f>HYPERLINK("#'Data'!A11562", "Percentage of households whose ability to work/access resources was affected by threats in the past 3 months broken down by age of adults in the house...")</f>
        <v>Percentage of households whose ability to work/access resources was affected by threats in the past 3 months broken down by age of adults in the house...</v>
      </c>
    </row>
    <row r="1600" spans="3:7" x14ac:dyDescent="0.35">
      <c r="C1600" t="s">
        <v>129</v>
      </c>
      <c r="D1600" t="s">
        <v>211</v>
      </c>
      <c r="E1600" t="s">
        <v>76</v>
      </c>
      <c r="F1600" s="36">
        <v>2086</v>
      </c>
      <c r="G1600" s="16" t="str">
        <f>HYPERLINK("#'Data'!A11569", "Percentage of households whose ability to work/access resources was affected by threats in the past 3 months broken down by households with at least o...")</f>
        <v>Percentage of households whose ability to work/access resources was affected by threats in the past 3 months broken down by households with at least o...</v>
      </c>
    </row>
    <row r="1601" spans="3:7" x14ac:dyDescent="0.35">
      <c r="C1601" t="s">
        <v>129</v>
      </c>
      <c r="D1601" t="s">
        <v>211</v>
      </c>
      <c r="E1601" t="s">
        <v>63</v>
      </c>
      <c r="F1601" s="36">
        <v>2087</v>
      </c>
      <c r="G1601" s="16" t="str">
        <f>HYPERLINK("#'Data'!A11575", "Percentage of households whose ability to work/access resources was affected by threats in the past 3 months broken down by displacement status of hea...")</f>
        <v>Percentage of households whose ability to work/access resources was affected by threats in the past 3 months broken down by displacement status of hea...</v>
      </c>
    </row>
    <row r="1602" spans="3:7" x14ac:dyDescent="0.35">
      <c r="C1602" t="s">
        <v>129</v>
      </c>
      <c r="D1602" t="s">
        <v>211</v>
      </c>
      <c r="E1602" t="s">
        <v>64</v>
      </c>
      <c r="F1602" s="36">
        <v>2088</v>
      </c>
      <c r="G1602" s="16" t="str">
        <f>HYPERLINK("#'Data'!A11584", "Percentage of households whose ability to work/access resources was affected by threats in the past 3 months broken down by IDP household on the admin...")</f>
        <v>Percentage of households whose ability to work/access resources was affected by threats in the past 3 months broken down by IDP household on the admin...</v>
      </c>
    </row>
    <row r="1603" spans="3:7" x14ac:dyDescent="0.35">
      <c r="C1603" t="s">
        <v>129</v>
      </c>
      <c r="D1603" t="s">
        <v>211</v>
      </c>
      <c r="E1603" t="s">
        <v>65</v>
      </c>
      <c r="F1603" s="36">
        <v>2089</v>
      </c>
      <c r="G1603" s="16" t="str">
        <f>HYPERLINK("#'Data'!A11590", "Percentage of households whose ability to work/access resources was affected by threats in the past 3 months broken down by proximity to frontline/bor...")</f>
        <v>Percentage of households whose ability to work/access resources was affected by threats in the past 3 months broken down by proximity to frontline/bor...</v>
      </c>
    </row>
    <row r="1604" spans="3:7" x14ac:dyDescent="0.35">
      <c r="C1604" t="s">
        <v>129</v>
      </c>
      <c r="D1604" t="s">
        <v>211</v>
      </c>
      <c r="E1604" t="s">
        <v>77</v>
      </c>
      <c r="F1604" s="36">
        <v>2090</v>
      </c>
      <c r="G1604" s="16" t="str">
        <f>HYPERLINK("#'Data'!A11597", "Percentage of households whose ability to work/access resources was affected by threats in the past 3 months broken down by caregiving status  on the ...")</f>
        <v>Percentage of households whose ability to work/access resources was affected by threats in the past 3 months broken down by caregiving status  on the ...</v>
      </c>
    </row>
    <row r="1605" spans="3:7" x14ac:dyDescent="0.35">
      <c r="C1605" t="s">
        <v>129</v>
      </c>
      <c r="D1605" t="s">
        <v>211</v>
      </c>
      <c r="E1605" t="s">
        <v>131</v>
      </c>
      <c r="F1605" s="36">
        <v>2091</v>
      </c>
      <c r="G1605" s="16" t="str">
        <f>HYPERLINK("#'Data'!A11605", "Percentage of households whose ability to work/access resources was affected by threats in the past 3 months broken down by gender of respondent on th...")</f>
        <v>Percentage of households whose ability to work/access resources was affected by threats in the past 3 months broken down by gender of respondent on th...</v>
      </c>
    </row>
    <row r="1606" spans="3:7" x14ac:dyDescent="0.35">
      <c r="C1606" t="s">
        <v>129</v>
      </c>
      <c r="D1606" t="s">
        <v>211</v>
      </c>
      <c r="E1606" t="s">
        <v>132</v>
      </c>
      <c r="F1606" s="36">
        <v>2092</v>
      </c>
      <c r="G1606" s="16" t="str">
        <f>HYPERLINK("#'Data'!A11612", "Percentage of households whose ability to work/access resources was affected by threats in the past 3 months broken down by age of respondents on the ...")</f>
        <v>Percentage of households whose ability to work/access resources was affected by threats in the past 3 months broken down by age of respondents on the ...</v>
      </c>
    </row>
    <row r="1607" spans="3:7" x14ac:dyDescent="0.35">
      <c r="C1607" t="s">
        <v>129</v>
      </c>
      <c r="D1607" t="s">
        <v>211</v>
      </c>
      <c r="E1607" t="s">
        <v>133</v>
      </c>
      <c r="F1607" s="36">
        <v>2093</v>
      </c>
      <c r="G1607" s="16" t="str">
        <f>HYPERLINK("#'Data'!A11620", "Percentage of households whose ability to work/access resources was affected by threats in the past 3 months broken down by gender and age of responde...")</f>
        <v>Percentage of households whose ability to work/access resources was affected by threats in the past 3 months broken down by gender and age of responde...</v>
      </c>
    </row>
    <row r="1608" spans="3:7" x14ac:dyDescent="0.35">
      <c r="C1608" t="s">
        <v>129</v>
      </c>
      <c r="D1608" t="s">
        <v>212</v>
      </c>
      <c r="E1608" t="s">
        <v>36</v>
      </c>
      <c r="F1608" s="36">
        <v>2094</v>
      </c>
      <c r="G1608" s="16" t="str">
        <f>HYPERLINK("#'Data'!A11633", "Percentage of households whose social interactions/participation were limited by threats in the past 3 months on the admin of overall perc")</f>
        <v>Percentage of households whose social interactions/participation were limited by threats in the past 3 months on the admin of overall perc</v>
      </c>
    </row>
    <row r="1609" spans="3:7" x14ac:dyDescent="0.35">
      <c r="C1609" t="s">
        <v>129</v>
      </c>
      <c r="D1609" t="s">
        <v>212</v>
      </c>
      <c r="E1609" t="s">
        <v>57</v>
      </c>
      <c r="F1609" s="36">
        <v>2095</v>
      </c>
      <c r="G1609" s="16" t="str">
        <f>HYPERLINK("#'Data'!A11638", "Percentage of households whose social interactions/participation were limited by threats in the past 3 months broken down by households with at least ...")</f>
        <v>Percentage of households whose social interactions/participation were limited by threats in the past 3 months broken down by households with at least ...</v>
      </c>
    </row>
    <row r="1610" spans="3:7" x14ac:dyDescent="0.35">
      <c r="C1610" t="s">
        <v>129</v>
      </c>
      <c r="D1610" t="s">
        <v>212</v>
      </c>
      <c r="E1610" t="s">
        <v>58</v>
      </c>
      <c r="F1610" s="36">
        <v>2096</v>
      </c>
      <c r="G1610" s="16" t="str">
        <f>HYPERLINK("#'Data'!A11644", "Percentage of households whose social interactions/participation were limited by threats in the past 3 months broken down by urbanity on the admin of ...")</f>
        <v>Percentage of households whose social interactions/participation were limited by threats in the past 3 months broken down by urbanity on the admin of ...</v>
      </c>
    </row>
    <row r="1611" spans="3:7" x14ac:dyDescent="0.35">
      <c r="C1611" t="s">
        <v>129</v>
      </c>
      <c r="D1611" t="s">
        <v>212</v>
      </c>
      <c r="E1611" t="s">
        <v>59</v>
      </c>
      <c r="F1611" s="36">
        <v>2097</v>
      </c>
      <c r="G1611" s="16" t="str">
        <f>HYPERLINK("#'Data'!A11650", "Percentage of households whose social interactions/participation were limited by threats in the past 3 months broken down by household size on the adm...")</f>
        <v>Percentage of households whose social interactions/participation were limited by threats in the past 3 months broken down by household size on the adm...</v>
      </c>
    </row>
    <row r="1612" spans="3:7" x14ac:dyDescent="0.35">
      <c r="C1612" t="s">
        <v>129</v>
      </c>
      <c r="D1612" t="s">
        <v>212</v>
      </c>
      <c r="E1612" t="s">
        <v>60</v>
      </c>
      <c r="F1612" s="36">
        <v>2098</v>
      </c>
      <c r="G1612" s="16" t="str">
        <f>HYPERLINK("#'Data'!A11657", "Percentage of households whose social interactions/participation were limited by threats in the past 3 months broken down by income per capita (quarti...")</f>
        <v>Percentage of households whose social interactions/participation were limited by threats in the past 3 months broken down by income per capita (quarti...</v>
      </c>
    </row>
    <row r="1613" spans="3:7" x14ac:dyDescent="0.35">
      <c r="C1613" t="s">
        <v>129</v>
      </c>
      <c r="D1613" t="s">
        <v>212</v>
      </c>
      <c r="E1613" t="s">
        <v>61</v>
      </c>
      <c r="F1613" s="36">
        <v>2099</v>
      </c>
      <c r="G1613" s="16" t="str">
        <f>HYPERLINK("#'Data'!A11665", "Percentage of households whose social interactions/participation were limited by threats in the past 3 months broken down by gender of head of househo...")</f>
        <v>Percentage of households whose social interactions/participation were limited by threats in the past 3 months broken down by gender of head of househo...</v>
      </c>
    </row>
    <row r="1614" spans="3:7" x14ac:dyDescent="0.35">
      <c r="C1614" t="s">
        <v>129</v>
      </c>
      <c r="D1614" t="s">
        <v>212</v>
      </c>
      <c r="E1614" t="s">
        <v>62</v>
      </c>
      <c r="F1614" s="36">
        <v>2100</v>
      </c>
      <c r="G1614" s="16" t="str">
        <f>HYPERLINK("#'Data'!A11673", "Percentage of households whose social interactions/participation were limited by threats in the past 3 months broken down by age of adults in the hous...")</f>
        <v>Percentage of households whose social interactions/participation were limited by threats in the past 3 months broken down by age of adults in the hous...</v>
      </c>
    </row>
    <row r="1615" spans="3:7" x14ac:dyDescent="0.35">
      <c r="C1615" t="s">
        <v>129</v>
      </c>
      <c r="D1615" t="s">
        <v>212</v>
      </c>
      <c r="E1615" t="s">
        <v>76</v>
      </c>
      <c r="F1615" s="36">
        <v>2101</v>
      </c>
      <c r="G1615" s="16" t="str">
        <f>HYPERLINK("#'Data'!A11680", "Percentage of households whose social interactions/participation were limited by threats in the past 3 months broken down by households with at least ...")</f>
        <v>Percentage of households whose social interactions/participation were limited by threats in the past 3 months broken down by households with at least ...</v>
      </c>
    </row>
    <row r="1616" spans="3:7" x14ac:dyDescent="0.35">
      <c r="C1616" t="s">
        <v>129</v>
      </c>
      <c r="D1616" t="s">
        <v>212</v>
      </c>
      <c r="E1616" t="s">
        <v>63</v>
      </c>
      <c r="F1616" s="36">
        <v>2102</v>
      </c>
      <c r="G1616" s="16" t="str">
        <f>HYPERLINK("#'Data'!A11686", "Percentage of households whose social interactions/participation were limited by threats in the past 3 months broken down by displacement status of he...")</f>
        <v>Percentage of households whose social interactions/participation were limited by threats in the past 3 months broken down by displacement status of he...</v>
      </c>
    </row>
    <row r="1617" spans="3:7" x14ac:dyDescent="0.35">
      <c r="C1617" t="s">
        <v>129</v>
      </c>
      <c r="D1617" t="s">
        <v>212</v>
      </c>
      <c r="E1617" t="s">
        <v>64</v>
      </c>
      <c r="F1617" s="36">
        <v>2103</v>
      </c>
      <c r="G1617" s="16" t="str">
        <f>HYPERLINK("#'Data'!A11695", "Percentage of households whose social interactions/participation were limited by threats in the past 3 months broken down by IDP household on the admi...")</f>
        <v>Percentage of households whose social interactions/participation were limited by threats in the past 3 months broken down by IDP household on the admi...</v>
      </c>
    </row>
    <row r="1618" spans="3:7" x14ac:dyDescent="0.35">
      <c r="C1618" t="s">
        <v>129</v>
      </c>
      <c r="D1618" t="s">
        <v>212</v>
      </c>
      <c r="E1618" t="s">
        <v>65</v>
      </c>
      <c r="F1618" s="36">
        <v>2104</v>
      </c>
      <c r="G1618" s="16" t="str">
        <f>HYPERLINK("#'Data'!A11701", "Percentage of households whose social interactions/participation were limited by threats in the past 3 months broken down by proximity to frontline/bo...")</f>
        <v>Percentage of households whose social interactions/participation were limited by threats in the past 3 months broken down by proximity to frontline/bo...</v>
      </c>
    </row>
    <row r="1619" spans="3:7" x14ac:dyDescent="0.35">
      <c r="C1619" t="s">
        <v>129</v>
      </c>
      <c r="D1619" t="s">
        <v>212</v>
      </c>
      <c r="E1619" t="s">
        <v>77</v>
      </c>
      <c r="F1619" s="36">
        <v>2105</v>
      </c>
      <c r="G1619" s="16" t="str">
        <f>HYPERLINK("#'Data'!A11708", "Percentage of households whose social interactions/participation were limited by threats in the past 3 months broken down by caregiving status  on the...")</f>
        <v>Percentage of households whose social interactions/participation were limited by threats in the past 3 months broken down by caregiving status  on the...</v>
      </c>
    </row>
    <row r="1620" spans="3:7" x14ac:dyDescent="0.35">
      <c r="C1620" t="s">
        <v>129</v>
      </c>
      <c r="D1620" t="s">
        <v>212</v>
      </c>
      <c r="E1620" t="s">
        <v>131</v>
      </c>
      <c r="F1620" s="36">
        <v>2106</v>
      </c>
      <c r="G1620" s="16" t="str">
        <f>HYPERLINK("#'Data'!A11716", "Percentage of households whose social interactions/participation were limited by threats in the past 3 months broken down by gender of respondent on t...")</f>
        <v>Percentage of households whose social interactions/participation were limited by threats in the past 3 months broken down by gender of respondent on t...</v>
      </c>
    </row>
    <row r="1621" spans="3:7" x14ac:dyDescent="0.35">
      <c r="C1621" t="s">
        <v>129</v>
      </c>
      <c r="D1621" t="s">
        <v>212</v>
      </c>
      <c r="E1621" t="s">
        <v>132</v>
      </c>
      <c r="F1621" s="36">
        <v>2107</v>
      </c>
      <c r="G1621" s="16" t="str">
        <f>HYPERLINK("#'Data'!A11723", "Percentage of households whose social interactions/participation were limited by threats in the past 3 months broken down by age of respondents on the...")</f>
        <v>Percentage of households whose social interactions/participation were limited by threats in the past 3 months broken down by age of respondents on the...</v>
      </c>
    </row>
    <row r="1622" spans="3:7" x14ac:dyDescent="0.35">
      <c r="C1622" t="s">
        <v>129</v>
      </c>
      <c r="D1622" t="s">
        <v>212</v>
      </c>
      <c r="E1622" t="s">
        <v>133</v>
      </c>
      <c r="F1622" s="36">
        <v>2108</v>
      </c>
      <c r="G1622" s="16" t="str">
        <f>HYPERLINK("#'Data'!A11731", "Percentage of households whose social interactions/participation were limited by threats in the past 3 months broken down by gender and age of respond...")</f>
        <v>Percentage of households whose social interactions/participation were limited by threats in the past 3 months broken down by gender and age of respond...</v>
      </c>
    </row>
    <row r="1623" spans="3:7" x14ac:dyDescent="0.35">
      <c r="C1623" t="s">
        <v>129</v>
      </c>
      <c r="D1623" t="s">
        <v>213</v>
      </c>
      <c r="E1623" t="s">
        <v>36</v>
      </c>
      <c r="F1623" s="36">
        <v>2109</v>
      </c>
      <c r="G1623" s="16" t="str">
        <f>HYPERLINK("#'Data'!A11744", "Percentage of households whose movement/access to public spaces changed due to threats in the past 3 months on the admin of overall perc")</f>
        <v>Percentage of households whose movement/access to public spaces changed due to threats in the past 3 months on the admin of overall perc</v>
      </c>
    </row>
    <row r="1624" spans="3:7" x14ac:dyDescent="0.35">
      <c r="C1624" t="s">
        <v>129</v>
      </c>
      <c r="D1624" t="s">
        <v>213</v>
      </c>
      <c r="E1624" t="s">
        <v>57</v>
      </c>
      <c r="F1624" s="36">
        <v>2110</v>
      </c>
      <c r="G1624" s="16" t="str">
        <f>HYPERLINK("#'Data'!A11749", "Percentage of households whose movement/access to public spaces changed due to threats in the past 3 months broken down by households with at least on...")</f>
        <v>Percentage of households whose movement/access to public spaces changed due to threats in the past 3 months broken down by households with at least on...</v>
      </c>
    </row>
    <row r="1625" spans="3:7" x14ac:dyDescent="0.35">
      <c r="C1625" t="s">
        <v>129</v>
      </c>
      <c r="D1625" t="s">
        <v>213</v>
      </c>
      <c r="E1625" t="s">
        <v>58</v>
      </c>
      <c r="F1625" s="36">
        <v>2111</v>
      </c>
      <c r="G1625" s="16" t="str">
        <f>HYPERLINK("#'Data'!A11755", "Percentage of households whose movement/access to public spaces changed due to threats in the past 3 months broken down by urbanity on the admin of ov...")</f>
        <v>Percentage of households whose movement/access to public spaces changed due to threats in the past 3 months broken down by urbanity on the admin of ov...</v>
      </c>
    </row>
    <row r="1626" spans="3:7" x14ac:dyDescent="0.35">
      <c r="C1626" t="s">
        <v>129</v>
      </c>
      <c r="D1626" t="s">
        <v>213</v>
      </c>
      <c r="E1626" t="s">
        <v>59</v>
      </c>
      <c r="F1626" s="36">
        <v>2112</v>
      </c>
      <c r="G1626" s="16" t="str">
        <f>HYPERLINK("#'Data'!A11761", "Percentage of households whose movement/access to public spaces changed due to threats in the past 3 months broken down by household size on the admin...")</f>
        <v>Percentage of households whose movement/access to public spaces changed due to threats in the past 3 months broken down by household size on the admin...</v>
      </c>
    </row>
    <row r="1627" spans="3:7" x14ac:dyDescent="0.35">
      <c r="C1627" t="s">
        <v>129</v>
      </c>
      <c r="D1627" t="s">
        <v>213</v>
      </c>
      <c r="E1627" t="s">
        <v>60</v>
      </c>
      <c r="F1627" s="36">
        <v>2113</v>
      </c>
      <c r="G1627" s="16" t="str">
        <f>HYPERLINK("#'Data'!A11768", "Percentage of households whose movement/access to public spaces changed due to threats in the past 3 months broken down by income per capita (quartile...")</f>
        <v>Percentage of households whose movement/access to public spaces changed due to threats in the past 3 months broken down by income per capita (quartile...</v>
      </c>
    </row>
    <row r="1628" spans="3:7" x14ac:dyDescent="0.35">
      <c r="C1628" t="s">
        <v>129</v>
      </c>
      <c r="D1628" t="s">
        <v>213</v>
      </c>
      <c r="E1628" t="s">
        <v>61</v>
      </c>
      <c r="F1628" s="36">
        <v>2114</v>
      </c>
      <c r="G1628" s="16" t="str">
        <f>HYPERLINK("#'Data'!A11776", "Percentage of households whose movement/access to public spaces changed due to threats in the past 3 months broken down by gender of head of household...")</f>
        <v>Percentage of households whose movement/access to public spaces changed due to threats in the past 3 months broken down by gender of head of household...</v>
      </c>
    </row>
    <row r="1629" spans="3:7" x14ac:dyDescent="0.35">
      <c r="C1629" t="s">
        <v>129</v>
      </c>
      <c r="D1629" t="s">
        <v>213</v>
      </c>
      <c r="E1629" t="s">
        <v>62</v>
      </c>
      <c r="F1629" s="36">
        <v>2115</v>
      </c>
      <c r="G1629" s="16" t="str">
        <f>HYPERLINK("#'Data'!A11784", "Percentage of households whose movement/access to public spaces changed due to threats in the past 3 months broken down by age of adults in the househ...")</f>
        <v>Percentage of households whose movement/access to public spaces changed due to threats in the past 3 months broken down by age of adults in the househ...</v>
      </c>
    </row>
    <row r="1630" spans="3:7" x14ac:dyDescent="0.35">
      <c r="C1630" t="s">
        <v>129</v>
      </c>
      <c r="D1630" t="s">
        <v>213</v>
      </c>
      <c r="E1630" t="s">
        <v>76</v>
      </c>
      <c r="F1630" s="36">
        <v>2116</v>
      </c>
      <c r="G1630" s="16" t="str">
        <f>HYPERLINK("#'Data'!A11791", "Percentage of households whose movement/access to public spaces changed due to threats in the past 3 months broken down by households with at least on...")</f>
        <v>Percentage of households whose movement/access to public spaces changed due to threats in the past 3 months broken down by households with at least on...</v>
      </c>
    </row>
    <row r="1631" spans="3:7" x14ac:dyDescent="0.35">
      <c r="C1631" t="s">
        <v>129</v>
      </c>
      <c r="D1631" t="s">
        <v>213</v>
      </c>
      <c r="E1631" t="s">
        <v>63</v>
      </c>
      <c r="F1631" s="36">
        <v>2117</v>
      </c>
      <c r="G1631" s="16" t="str">
        <f>HYPERLINK("#'Data'!A11797", "Percentage of households whose movement/access to public spaces changed due to threats in the past 3 months broken down by displacement status of head...")</f>
        <v>Percentage of households whose movement/access to public spaces changed due to threats in the past 3 months broken down by displacement status of head...</v>
      </c>
    </row>
    <row r="1632" spans="3:7" x14ac:dyDescent="0.35">
      <c r="C1632" t="s">
        <v>129</v>
      </c>
      <c r="D1632" t="s">
        <v>213</v>
      </c>
      <c r="E1632" t="s">
        <v>64</v>
      </c>
      <c r="F1632" s="36">
        <v>2118</v>
      </c>
      <c r="G1632" s="16" t="str">
        <f>HYPERLINK("#'Data'!A11806", "Percentage of households whose movement/access to public spaces changed due to threats in the past 3 months broken down by IDP household on the admin ...")</f>
        <v>Percentage of households whose movement/access to public spaces changed due to threats in the past 3 months broken down by IDP household on the admin ...</v>
      </c>
    </row>
    <row r="1633" spans="3:7" x14ac:dyDescent="0.35">
      <c r="C1633" t="s">
        <v>129</v>
      </c>
      <c r="D1633" t="s">
        <v>213</v>
      </c>
      <c r="E1633" t="s">
        <v>65</v>
      </c>
      <c r="F1633" s="36">
        <v>2119</v>
      </c>
      <c r="G1633" s="16" t="str">
        <f>HYPERLINK("#'Data'!A11812", "Percentage of households whose movement/access to public spaces changed due to threats in the past 3 months broken down by proximity to frontline/bord...")</f>
        <v>Percentage of households whose movement/access to public spaces changed due to threats in the past 3 months broken down by proximity to frontline/bord...</v>
      </c>
    </row>
    <row r="1634" spans="3:7" x14ac:dyDescent="0.35">
      <c r="C1634" t="s">
        <v>129</v>
      </c>
      <c r="D1634" t="s">
        <v>213</v>
      </c>
      <c r="E1634" t="s">
        <v>77</v>
      </c>
      <c r="F1634" s="36">
        <v>2120</v>
      </c>
      <c r="G1634" s="16" t="str">
        <f>HYPERLINK("#'Data'!A11819", "Percentage of households whose movement/access to public spaces changed due to threats in the past 3 months broken down by caregiving status  on the a...")</f>
        <v>Percentage of households whose movement/access to public spaces changed due to threats in the past 3 months broken down by caregiving status  on the a...</v>
      </c>
    </row>
    <row r="1635" spans="3:7" x14ac:dyDescent="0.35">
      <c r="C1635" t="s">
        <v>129</v>
      </c>
      <c r="D1635" t="s">
        <v>213</v>
      </c>
      <c r="E1635" t="s">
        <v>131</v>
      </c>
      <c r="F1635" s="36">
        <v>2121</v>
      </c>
      <c r="G1635" s="16" t="str">
        <f>HYPERLINK("#'Data'!A11827", "Percentage of households whose movement/access to public spaces changed due to threats in the past 3 months broken down by gender of respondent on the...")</f>
        <v>Percentage of households whose movement/access to public spaces changed due to threats in the past 3 months broken down by gender of respondent on the...</v>
      </c>
    </row>
    <row r="1636" spans="3:7" x14ac:dyDescent="0.35">
      <c r="C1636" t="s">
        <v>129</v>
      </c>
      <c r="D1636" t="s">
        <v>213</v>
      </c>
      <c r="E1636" t="s">
        <v>132</v>
      </c>
      <c r="F1636" s="36">
        <v>2122</v>
      </c>
      <c r="G1636" s="16" t="str">
        <f>HYPERLINK("#'Data'!A11834", "Percentage of households whose movement/access to public spaces changed due to threats in the past 3 months broken down by age of respondents on the a...")</f>
        <v>Percentage of households whose movement/access to public spaces changed due to threats in the past 3 months broken down by age of respondents on the a...</v>
      </c>
    </row>
    <row r="1637" spans="3:7" x14ac:dyDescent="0.35">
      <c r="C1637" t="s">
        <v>129</v>
      </c>
      <c r="D1637" t="s">
        <v>213</v>
      </c>
      <c r="E1637" t="s">
        <v>133</v>
      </c>
      <c r="F1637" s="36">
        <v>2123</v>
      </c>
      <c r="G1637" s="16" t="str">
        <f>HYPERLINK("#'Data'!A11842", "Percentage of households whose movement/access to public spaces changed due to threats in the past 3 months broken down by gender and age of responden...")</f>
        <v>Percentage of households whose movement/access to public spaces changed due to threats in the past 3 months broken down by gender and age of responden...</v>
      </c>
    </row>
    <row r="1638" spans="3:7" x14ac:dyDescent="0.35">
      <c r="C1638" t="s">
        <v>129</v>
      </c>
      <c r="D1638" t="s">
        <v>214</v>
      </c>
      <c r="E1638" t="s">
        <v>36</v>
      </c>
      <c r="F1638" s="36">
        <v>2124</v>
      </c>
      <c r="G1638" s="16" t="str">
        <f>HYPERLINK("#'Data'!A11855", "Percentage of households with children (&lt;18 y.o.) currently not living in the household on the admin of overall perc")</f>
        <v>Percentage of households with children (&lt;18 y.o.) currently not living in the household on the admin of overall perc</v>
      </c>
    </row>
    <row r="1639" spans="3:7" x14ac:dyDescent="0.35">
      <c r="C1639" t="s">
        <v>129</v>
      </c>
      <c r="D1639" t="s">
        <v>214</v>
      </c>
      <c r="E1639" t="s">
        <v>64</v>
      </c>
      <c r="F1639" s="36">
        <v>2125</v>
      </c>
      <c r="G1639" s="16" t="str">
        <f>HYPERLINK("#'Data'!A11860", "Percentage of households with children (&lt;18 y.o.) currently not living in the household broken down by IDP household on the admin of overall perc")</f>
        <v>Percentage of households with children (&lt;18 y.o.) currently not living in the household broken down by IDP household on the admin of overall perc</v>
      </c>
    </row>
    <row r="1640" spans="3:7" x14ac:dyDescent="0.35">
      <c r="C1640" t="s">
        <v>129</v>
      </c>
      <c r="D1640" t="s">
        <v>214</v>
      </c>
      <c r="E1640" t="s">
        <v>65</v>
      </c>
      <c r="F1640" s="36">
        <v>2126</v>
      </c>
      <c r="G1640" s="16" t="str">
        <f>HYPERLINK("#'Data'!A11866", "Percentage of households with children (&lt;18 y.o.) currently not living in the household broken down by proximity to frontline/border with Russian Fede...")</f>
        <v>Percentage of households with children (&lt;18 y.o.) currently not living in the household broken down by proximity to frontline/border with Russian Fede...</v>
      </c>
    </row>
    <row r="1641" spans="3:7" x14ac:dyDescent="0.35">
      <c r="C1641" t="s">
        <v>129</v>
      </c>
      <c r="D1641" t="s">
        <v>215</v>
      </c>
      <c r="E1641" t="s">
        <v>36</v>
      </c>
      <c r="F1641" s="36">
        <v>2127</v>
      </c>
      <c r="G1641" s="16" t="str">
        <f>HYPERLINK("#'Data'!A11873", "Percentage of households with children (&lt;18 y.o.) currently not living in the household, by reasons on the admin of overall perc")</f>
        <v>Percentage of households with children (&lt;18 y.o.) currently not living in the household, by reasons on the admin of overall perc</v>
      </c>
    </row>
    <row r="1642" spans="3:7" x14ac:dyDescent="0.35">
      <c r="C1642" t="s">
        <v>129</v>
      </c>
      <c r="D1642" t="s">
        <v>215</v>
      </c>
      <c r="E1642" t="s">
        <v>64</v>
      </c>
      <c r="F1642" s="36">
        <v>2128</v>
      </c>
      <c r="G1642" s="16" t="str">
        <f>HYPERLINK("#'Data'!A11878", "Percentage of households with children (&lt;18 y.o.) currently not living in the household, by reasons broken down by IDP household on the admin of overa...")</f>
        <v>Percentage of households with children (&lt;18 y.o.) currently not living in the household, by reasons broken down by IDP household on the admin of overa...</v>
      </c>
    </row>
    <row r="1643" spans="3:7" x14ac:dyDescent="0.35">
      <c r="C1643" t="s">
        <v>129</v>
      </c>
      <c r="D1643" t="s">
        <v>215</v>
      </c>
      <c r="E1643" t="s">
        <v>65</v>
      </c>
      <c r="F1643" s="36">
        <v>2129</v>
      </c>
      <c r="G1643" s="16" t="str">
        <f>HYPERLINK("#'Data'!A11884", "Percentage of households with children (&lt;18 y.o.) currently not living in the household, by reasons broken down by proximity to frontline/border with ...")</f>
        <v>Percentage of households with children (&lt;18 y.o.) currently not living in the household, by reasons broken down by proximity to frontline/border with ...</v>
      </c>
    </row>
    <row r="1644" spans="3:7" x14ac:dyDescent="0.35">
      <c r="C1644" t="s">
        <v>74</v>
      </c>
      <c r="D1644" t="s">
        <v>82</v>
      </c>
      <c r="E1644" t="s">
        <v>216</v>
      </c>
      <c r="F1644" s="36">
        <v>2154</v>
      </c>
      <c r="G1644" s="16" t="str">
        <f>HYPERLINK("#'Data'!A11891", "Average travel time to nearest functioning health facility (minutes) broken down by gender composition of household on the admin of overall mean")</f>
        <v>Average travel time to nearest functioning health facility (minutes) broken down by gender composition of household on the admin of overall mean</v>
      </c>
    </row>
    <row r="1645" spans="3:7" x14ac:dyDescent="0.35">
      <c r="C1645" t="s">
        <v>74</v>
      </c>
      <c r="D1645" t="s">
        <v>83</v>
      </c>
      <c r="E1645" t="s">
        <v>216</v>
      </c>
      <c r="F1645" s="36">
        <v>2155</v>
      </c>
      <c r="G1645" s="16" t="str">
        <f>HYPERLINK("#'Data'!A11898", "Households with members with chronic conditions requiring regular medication broken down by gender composition of household on the admin of overall pe...")</f>
        <v>Households with members with chronic conditions requiring regular medication broken down by gender composition of household on the admin of overall pe...</v>
      </c>
    </row>
    <row r="1646" spans="3:7" x14ac:dyDescent="0.35">
      <c r="C1646" t="s">
        <v>74</v>
      </c>
      <c r="D1646" t="s">
        <v>84</v>
      </c>
      <c r="E1646" t="s">
        <v>216</v>
      </c>
      <c r="F1646" s="36">
        <v>2156</v>
      </c>
      <c r="G1646" s="16" t="str">
        <f>HYPERLINK("#'Data'!A11905", "Households with members with chronic conditions requiring regular medication, by frequency of disrupted access to healthcare for chronic conditions in...")</f>
        <v>Households with members with chronic conditions requiring regular medication, by frequency of disrupted access to healthcare for chronic conditions in...</v>
      </c>
    </row>
    <row r="1647" spans="3:7" x14ac:dyDescent="0.35">
      <c r="C1647" t="s">
        <v>74</v>
      </c>
      <c r="D1647" t="s">
        <v>85</v>
      </c>
      <c r="E1647" t="s">
        <v>216</v>
      </c>
      <c r="F1647" s="36">
        <v>2157</v>
      </c>
      <c r="G1647" s="16" t="str">
        <f>HYPERLINK("#'Data'!A11912", "Percentage of households by barriers preventing access to health care in the past 3 months broken down by gender composition of household on the admin...")</f>
        <v>Percentage of households by barriers preventing access to health care in the past 3 months broken down by gender composition of household on the admin...</v>
      </c>
    </row>
    <row r="1648" spans="3:7" x14ac:dyDescent="0.35">
      <c r="C1648" t="s">
        <v>86</v>
      </c>
      <c r="D1648" t="s">
        <v>87</v>
      </c>
      <c r="E1648" t="s">
        <v>216</v>
      </c>
      <c r="F1648" s="36">
        <v>2158</v>
      </c>
      <c r="G1648" s="16" t="str">
        <f>HYPERLINK("#'Data'!A11919", "Percentage of households feeling emotionally unwell (2+ weeks in the past 6 months) broken down by gender composition of household on the admin of ove...")</f>
        <v>Percentage of households feeling emotionally unwell (2+ weeks in the past 6 months) broken down by gender composition of household on the admin of ove...</v>
      </c>
    </row>
    <row r="1649" spans="3:7" x14ac:dyDescent="0.35">
      <c r="C1649" t="s">
        <v>86</v>
      </c>
      <c r="D1649" t="s">
        <v>88</v>
      </c>
      <c r="E1649" t="s">
        <v>216</v>
      </c>
      <c r="F1649" s="36">
        <v>2159</v>
      </c>
      <c r="G1649" s="16" t="str">
        <f>HYPERLINK("#'Data'!A11926", "Percentage of households feeling emotionally unwell (2+ weeks in the past 6 months), by experienced difficulty in completing day-to-day activities bro...")</f>
        <v>Percentage of households feeling emotionally unwell (2+ weeks in the past 6 months), by experienced difficulty in completing day-to-day activities bro...</v>
      </c>
    </row>
    <row r="1650" spans="3:7" x14ac:dyDescent="0.35">
      <c r="C1650" t="s">
        <v>86</v>
      </c>
      <c r="D1650" t="s">
        <v>89</v>
      </c>
      <c r="E1650" t="s">
        <v>216</v>
      </c>
      <c r="F1650" s="36">
        <v>2160</v>
      </c>
      <c r="G1650" s="16" t="str">
        <f>HYPERLINK("#'Data'!A11933", "Percentage of households feeling emotionally unwell that received mental health or psychosocial support/services, by type broken down by gender compos...")</f>
        <v>Percentage of households feeling emotionally unwell that received mental health or psychosocial support/services, by type broken down by gender compos...</v>
      </c>
    </row>
    <row r="1651" spans="3:7" x14ac:dyDescent="0.35">
      <c r="C1651" t="s">
        <v>74</v>
      </c>
      <c r="D1651" t="s">
        <v>90</v>
      </c>
      <c r="E1651" t="s">
        <v>216</v>
      </c>
      <c r="F1651" s="36">
        <v>2161</v>
      </c>
      <c r="G1651" s="16" t="str">
        <f>HYPERLINK("#'Data'!A11940", "Percentage of households with at least one member with registered disability, by type broken down by gender composition of household on the admin of o...")</f>
        <v>Percentage of households with at least one member with registered disability, by type broken down by gender composition of household on the admin of o...</v>
      </c>
    </row>
    <row r="1652" spans="3:7" x14ac:dyDescent="0.35">
      <c r="C1652" t="s">
        <v>74</v>
      </c>
      <c r="D1652" t="s">
        <v>91</v>
      </c>
      <c r="E1652" t="s">
        <v>216</v>
      </c>
      <c r="F1652" s="36">
        <v>2162</v>
      </c>
      <c r="G1652" s="16" t="str">
        <f>HYPERLINK("#'Data'!A11947", "Percentage of households with at least one member that has difficulties seeing broken down by gender composition of household on the admin of overall ...")</f>
        <v>Percentage of households with at least one member that has difficulties seeing broken down by gender composition of household on the admin of overall ...</v>
      </c>
    </row>
    <row r="1653" spans="3:7" x14ac:dyDescent="0.35">
      <c r="C1653" t="s">
        <v>74</v>
      </c>
      <c r="D1653" t="s">
        <v>92</v>
      </c>
      <c r="E1653" t="s">
        <v>216</v>
      </c>
      <c r="F1653" s="36">
        <v>2163</v>
      </c>
      <c r="G1653" s="16" t="str">
        <f>HYPERLINK("#'Data'!A11954", "Percentage of households with at least one member that has difficulties hearing broken down by gender composition of household on the admin of overall...")</f>
        <v>Percentage of households with at least one member that has difficulties hearing broken down by gender composition of household on the admin of overall...</v>
      </c>
    </row>
    <row r="1654" spans="3:7" x14ac:dyDescent="0.35">
      <c r="C1654" t="s">
        <v>74</v>
      </c>
      <c r="D1654" t="s">
        <v>93</v>
      </c>
      <c r="E1654" t="s">
        <v>216</v>
      </c>
      <c r="F1654" s="36">
        <v>2164</v>
      </c>
      <c r="G1654" s="16" t="str">
        <f>HYPERLINK("#'Data'!A11961", "Percentage of households with at least one member that has difficulties walking broken down by gender composition of household on the admin of overall...")</f>
        <v>Percentage of households with at least one member that has difficulties walking broken down by gender composition of household on the admin of overall...</v>
      </c>
    </row>
    <row r="1655" spans="3:7" x14ac:dyDescent="0.35">
      <c r="C1655" t="s">
        <v>74</v>
      </c>
      <c r="D1655" t="s">
        <v>94</v>
      </c>
      <c r="E1655" t="s">
        <v>216</v>
      </c>
      <c r="F1655" s="36">
        <v>2165</v>
      </c>
      <c r="G1655" s="16" t="str">
        <f>HYPERLINK("#'Data'!A11968", "Percentage of households with at least one member that has difficulties concentrating broken down by gender composition of household on the admin of o...")</f>
        <v>Percentage of households with at least one member that has difficulties concentrating broken down by gender composition of household on the admin of o...</v>
      </c>
    </row>
    <row r="1656" spans="3:7" x14ac:dyDescent="0.35">
      <c r="C1656" t="s">
        <v>74</v>
      </c>
      <c r="D1656" t="s">
        <v>95</v>
      </c>
      <c r="E1656" t="s">
        <v>216</v>
      </c>
      <c r="F1656" s="36">
        <v>2166</v>
      </c>
      <c r="G1656" s="16" t="str">
        <f>HYPERLINK("#'Data'!A11975", "Percentage of households with at least one member that has difficulties performing self-care broken down by gender composition of household on the adm...")</f>
        <v>Percentage of households with at least one member that has difficulties performing self-care broken down by gender composition of household on the adm...</v>
      </c>
    </row>
    <row r="1657" spans="3:7" x14ac:dyDescent="0.35">
      <c r="C1657" t="s">
        <v>74</v>
      </c>
      <c r="D1657" t="s">
        <v>96</v>
      </c>
      <c r="E1657" t="s">
        <v>216</v>
      </c>
      <c r="F1657" s="36">
        <v>2167</v>
      </c>
      <c r="G1657" s="16" t="str">
        <f>HYPERLINK("#'Data'!A11982", "Percentage of households with at least one member that has difficulties communicating broken down by gender composition of household on the admin of o...")</f>
        <v>Percentage of households with at least one member that has difficulties communicating broken down by gender composition of household on the admin of o...</v>
      </c>
    </row>
    <row r="1658" spans="3:7" x14ac:dyDescent="0.35">
      <c r="C1658" t="s">
        <v>55</v>
      </c>
      <c r="D1658" t="s">
        <v>97</v>
      </c>
      <c r="E1658" t="s">
        <v>216</v>
      </c>
      <c r="F1658" s="36">
        <v>2168</v>
      </c>
      <c r="G1658" s="16" t="str">
        <f>HYPERLINK("#'Data'!A11989", "Percentage of households with school-aged children (3-17 y.o.) whose education was disrupted monthly by prolonged or repetitive air alerts during the ...")</f>
        <v>Percentage of households with school-aged children (3-17 y.o.) whose education was disrupted monthly by prolonged or repetitive air alerts during the ...</v>
      </c>
    </row>
    <row r="1659" spans="3:7" x14ac:dyDescent="0.35">
      <c r="C1659" t="s">
        <v>55</v>
      </c>
      <c r="D1659" t="s">
        <v>98</v>
      </c>
      <c r="E1659" t="s">
        <v>216</v>
      </c>
      <c r="F1659" s="36">
        <v>2169</v>
      </c>
      <c r="G1659" s="16" t="str">
        <f>HYPERLINK("#'Data'!A11996", "Percentage of households by time adults spend on supporting children's education broken down by gender composition of household on the admin of overal...")</f>
        <v>Percentage of households by time adults spend on supporting children's education broken down by gender composition of household on the admin of overal...</v>
      </c>
    </row>
    <row r="1660" spans="3:7" x14ac:dyDescent="0.35">
      <c r="C1660" t="s">
        <v>110</v>
      </c>
      <c r="D1660" t="s">
        <v>111</v>
      </c>
      <c r="E1660" t="s">
        <v>216</v>
      </c>
      <c r="F1660" s="36">
        <v>2179</v>
      </c>
      <c r="G1660" s="16" t="str">
        <f>HYPERLINK("#'Data'!A12003", "Households reporting expenditures in the last 30 days, by type broken down by gender composition of household on the admin of overall perc")</f>
        <v>Households reporting expenditures in the last 30 days, by type broken down by gender composition of household on the admin of overall perc</v>
      </c>
    </row>
    <row r="1661" spans="3:7" x14ac:dyDescent="0.35">
      <c r="C1661" t="s">
        <v>110</v>
      </c>
      <c r="D1661" t="s">
        <v>112</v>
      </c>
      <c r="E1661" t="s">
        <v>216</v>
      </c>
      <c r="F1661" s="36">
        <v>2180</v>
      </c>
      <c r="G1661" s="16" t="str">
        <f>HYPERLINK("#'Data'!A12010", "Household Domestic Expenditure over the last 30 days, by type and amount by gender composition of household ")</f>
        <v xml:space="preserve">Household Domestic Expenditure over the last 30 days, by type and amount by gender composition of household </v>
      </c>
    </row>
    <row r="1662" spans="3:7" x14ac:dyDescent="0.35">
      <c r="C1662" t="s">
        <v>110</v>
      </c>
      <c r="D1662" t="s">
        <v>113</v>
      </c>
      <c r="E1662" t="s">
        <v>216</v>
      </c>
      <c r="F1662" s="36">
        <v>2195</v>
      </c>
      <c r="G1662" s="16" t="str">
        <f>HYPERLINK("#'Data'!A12017", "Monthly household expenditures on heating last winter broken down by gender composition of household on the admin of overall mean")</f>
        <v>Monthly household expenditures on heating last winter broken down by gender composition of household on the admin of overall mean</v>
      </c>
    </row>
    <row r="1663" spans="3:7" x14ac:dyDescent="0.35">
      <c r="C1663" t="s">
        <v>110</v>
      </c>
      <c r="D1663" t="s">
        <v>114</v>
      </c>
      <c r="E1663" t="s">
        <v>216</v>
      </c>
      <c r="F1663" s="36">
        <v>2196</v>
      </c>
      <c r="G1663" s="16" t="str">
        <f>HYPERLINK("#'Data'!A12024", "Households reporting  long term expenditures in the past 6 months, by type broken down by gender composition of household on the admin of overall perc")</f>
        <v>Households reporting  long term expenditures in the past 6 months, by type broken down by gender composition of household on the admin of overall perc</v>
      </c>
    </row>
    <row r="1664" spans="3:7" x14ac:dyDescent="0.35">
      <c r="C1664" t="s">
        <v>110</v>
      </c>
      <c r="D1664" t="s">
        <v>115</v>
      </c>
      <c r="E1664" t="s">
        <v>216</v>
      </c>
      <c r="F1664" s="36">
        <v>2197</v>
      </c>
      <c r="G1664" s="16" t="str">
        <f>HYPERLINK("#'Data'!A12031", "Household Domestic Expenditure over the last 6 months, by type and amount by gender composition of household ")</f>
        <v xml:space="preserve">Household Domestic Expenditure over the last 6 months, by type and amount by gender composition of household </v>
      </c>
    </row>
    <row r="1665" spans="3:7" x14ac:dyDescent="0.35">
      <c r="C1665" t="s">
        <v>110</v>
      </c>
      <c r="D1665" t="s">
        <v>116</v>
      </c>
      <c r="E1665" t="s">
        <v>216</v>
      </c>
      <c r="F1665" s="36">
        <v>2203</v>
      </c>
      <c r="G1665" s="16" t="str">
        <f>HYPERLINK("#'Data'!A12038", "Total monthly expenditures per capita broken down by gender composition of household on the admin of overall mean")</f>
        <v>Total monthly expenditures per capita broken down by gender composition of household on the admin of overall mean</v>
      </c>
    </row>
    <row r="1666" spans="3:7" x14ac:dyDescent="0.35">
      <c r="C1666" t="s">
        <v>117</v>
      </c>
      <c r="D1666" t="s">
        <v>118</v>
      </c>
      <c r="E1666" t="s">
        <v>216</v>
      </c>
      <c r="F1666" s="36">
        <v>2204</v>
      </c>
      <c r="G1666" s="16" t="str">
        <f>HYPERLINK("#'Data'!A12045", "Percentage of households reporting completely lacking essential non-food items in the last 3 months, by type broken down by gender composition of hous...")</f>
        <v>Percentage of households reporting completely lacking essential non-food items in the last 3 months, by type broken down by gender composition of hous...</v>
      </c>
    </row>
    <row r="1667" spans="3:7" x14ac:dyDescent="0.35">
      <c r="C1667" t="s">
        <v>110</v>
      </c>
      <c r="D1667" t="s">
        <v>119</v>
      </c>
      <c r="E1667" t="s">
        <v>216</v>
      </c>
      <c r="F1667" s="36">
        <v>2205</v>
      </c>
      <c r="G1667" s="16" t="str">
        <f>HYPERLINK("#'Data'!A12052", "Households reporting primary income sources over the last 30 days, by type of income source broken down by gender composition of household on the admi...")</f>
        <v>Households reporting primary income sources over the last 30 days, by type of income source broken down by gender composition of household on the admi...</v>
      </c>
    </row>
    <row r="1668" spans="3:7" x14ac:dyDescent="0.35">
      <c r="C1668" t="s">
        <v>110</v>
      </c>
      <c r="D1668" t="s">
        <v>120</v>
      </c>
      <c r="E1668" t="s">
        <v>216</v>
      </c>
      <c r="F1668" s="36">
        <v>2206</v>
      </c>
      <c r="G1668" s="16" t="str">
        <f>HYPERLINK("#'Data'!A12059", "Household income per capita over the 30 days prior to data collection, by types of income source by gender composition of household ")</f>
        <v xml:space="preserve">Household income per capita over the 30 days prior to data collection, by types of income source by gender composition of household </v>
      </c>
    </row>
    <row r="1669" spans="3:7" x14ac:dyDescent="0.35">
      <c r="C1669" t="s">
        <v>110</v>
      </c>
      <c r="D1669" t="s">
        <v>121</v>
      </c>
      <c r="E1669" t="s">
        <v>216</v>
      </c>
      <c r="F1669" s="36">
        <v>2220</v>
      </c>
      <c r="G1669" s="16" t="str">
        <f>HYPERLINK("#'Data'!A12066", "Total monthly income per capita broken down by gender composition of household on the admin of overall mean")</f>
        <v>Total monthly income per capita broken down by gender composition of household on the admin of overall mean</v>
      </c>
    </row>
    <row r="1670" spans="3:7" x14ac:dyDescent="0.35">
      <c r="C1670" t="s">
        <v>110</v>
      </c>
      <c r="D1670" t="s">
        <v>122</v>
      </c>
      <c r="E1670" t="s">
        <v>216</v>
      </c>
      <c r="F1670" s="36">
        <v>2221</v>
      </c>
      <c r="G1670" s="16" t="str">
        <f>HYPERLINK("#'Data'!A12073", "Households receiving income from remittances/family and friends in Ukraine/community members, by regularity broken down by gender composition of house...")</f>
        <v>Households receiving income from remittances/family and friends in Ukraine/community members, by regularity broken down by gender composition of house...</v>
      </c>
    </row>
    <row r="1671" spans="3:7" x14ac:dyDescent="0.35">
      <c r="C1671" t="s">
        <v>110</v>
      </c>
      <c r="D1671" t="s">
        <v>123</v>
      </c>
      <c r="E1671" t="s">
        <v>216</v>
      </c>
      <c r="F1671" s="36">
        <v>2222</v>
      </c>
      <c r="G1671" s="16" t="str">
        <f>HYPERLINK("#'Data'!A12080", "Percentage of households who have become indebted since 2024 broken down by gender composition of household on the admin of overall perc")</f>
        <v>Percentage of households who have become indebted since 2024 broken down by gender composition of household on the admin of overall perc</v>
      </c>
    </row>
    <row r="1672" spans="3:7" x14ac:dyDescent="0.35">
      <c r="C1672" t="s">
        <v>110</v>
      </c>
      <c r="D1672" t="s">
        <v>124</v>
      </c>
      <c r="E1672" t="s">
        <v>216</v>
      </c>
      <c r="F1672" s="36">
        <v>2223</v>
      </c>
      <c r="G1672" s="16" t="str">
        <f>HYPERLINK("#'Data'!A12087", "Percentage of households who are currently indebted, by reason broken down by gender composition of household on the admin of overall perc")</f>
        <v>Percentage of households who are currently indebted, by reason broken down by gender composition of household on the admin of overall perc</v>
      </c>
    </row>
    <row r="1673" spans="3:7" x14ac:dyDescent="0.35">
      <c r="C1673" t="s">
        <v>48</v>
      </c>
      <c r="D1673" t="s">
        <v>125</v>
      </c>
      <c r="E1673" t="s">
        <v>216</v>
      </c>
      <c r="F1673" s="36">
        <v>2224</v>
      </c>
      <c r="G1673" s="16" t="str">
        <f>HYPERLINK("#'Data'!A12094", "Percentage of households earning an income from own production, by challenges experienced broken down by gender composition of household on the admin ...")</f>
        <v>Percentage of households earning an income from own production, by challenges experienced broken down by gender composition of household on the admin ...</v>
      </c>
    </row>
    <row r="1674" spans="3:7" x14ac:dyDescent="0.35">
      <c r="C1674" t="s">
        <v>48</v>
      </c>
      <c r="D1674" t="s">
        <v>126</v>
      </c>
      <c r="E1674" t="s">
        <v>216</v>
      </c>
      <c r="F1674" s="36">
        <v>2225</v>
      </c>
      <c r="G1674" s="16" t="str">
        <f>HYPERLINK("#'Data'!A12101", "Households adopting Livelihood Coping Strategies, by strategy by gender composition of household ")</f>
        <v xml:space="preserve">Households adopting Livelihood Coping Strategies, by strategy by gender composition of household </v>
      </c>
    </row>
    <row r="1675" spans="3:7" x14ac:dyDescent="0.35">
      <c r="C1675" t="s">
        <v>48</v>
      </c>
      <c r="D1675" t="s">
        <v>127</v>
      </c>
      <c r="E1675" t="s">
        <v>216</v>
      </c>
      <c r="F1675" s="36">
        <v>2235</v>
      </c>
      <c r="G1675" s="16" t="str">
        <f>HYPERLINK("#'Data'!A12120", "Households using Livelihood Coping Strategies, by main reason broken down by gender composition of household on the admin of overall perc")</f>
        <v>Households using Livelihood Coping Strategies, by main reason broken down by gender composition of household on the admin of overall perc</v>
      </c>
    </row>
    <row r="1676" spans="3:7" x14ac:dyDescent="0.35">
      <c r="C1676" t="s">
        <v>48</v>
      </c>
      <c r="D1676" t="s">
        <v>128</v>
      </c>
      <c r="E1676" t="s">
        <v>216</v>
      </c>
      <c r="F1676" s="36">
        <v>2236</v>
      </c>
      <c r="G1676" s="16" t="str">
        <f>HYPERLINK("#'Data'!A12127", "Livelihood Coping Strategy - Essential Needs (LCS-EN) broken down by gender composition of household on the admin of overall perc")</f>
        <v>Livelihood Coping Strategy - Essential Needs (LCS-EN) broken down by gender composition of household on the admin of overall perc</v>
      </c>
    </row>
    <row r="1677" spans="3:7" x14ac:dyDescent="0.35">
      <c r="C1677" t="s">
        <v>129</v>
      </c>
      <c r="D1677" t="s">
        <v>130</v>
      </c>
      <c r="E1677" t="s">
        <v>216</v>
      </c>
      <c r="F1677" s="36">
        <v>2237</v>
      </c>
      <c r="G1677" s="16" t="str">
        <f>HYPERLINK("#'Data'!A12134", "Households exposed to armed violence/artillery shelling in the last 3 months broken down by gender composition of household on the admin of overall pe...")</f>
        <v>Households exposed to armed violence/artillery shelling in the last 3 months broken down by gender composition of household on the admin of overall pe...</v>
      </c>
    </row>
    <row r="1678" spans="3:7" x14ac:dyDescent="0.35">
      <c r="C1678" t="s">
        <v>129</v>
      </c>
      <c r="D1678" t="s">
        <v>134</v>
      </c>
      <c r="E1678" t="s">
        <v>216</v>
      </c>
      <c r="F1678" s="36">
        <v>2238</v>
      </c>
      <c r="G1678" s="16" t="str">
        <f>HYPERLINK("#'Data'!A12141", "Households exposed to armed violence/artillery shelling in the last 3 months, by frequency  broken down by gender composition of household on the admi...")</f>
        <v>Households exposed to armed violence/artillery shelling in the last 3 months, by frequency  broken down by gender composition of household on the admi...</v>
      </c>
    </row>
    <row r="1679" spans="3:7" x14ac:dyDescent="0.35">
      <c r="C1679" t="s">
        <v>129</v>
      </c>
      <c r="D1679" t="s">
        <v>135</v>
      </c>
      <c r="E1679" t="s">
        <v>216</v>
      </c>
      <c r="F1679" s="36">
        <v>2239</v>
      </c>
      <c r="G1679" s="16" t="str">
        <f>HYPERLINK("#'Data'!A12148", "Households exposed to drone/missile attacks in last 3 months broken down by gender composition of household on the admin of overall perc")</f>
        <v>Households exposed to drone/missile attacks in last 3 months broken down by gender composition of household on the admin of overall perc</v>
      </c>
    </row>
    <row r="1680" spans="3:7" x14ac:dyDescent="0.35">
      <c r="C1680" t="s">
        <v>129</v>
      </c>
      <c r="D1680" t="s">
        <v>136</v>
      </c>
      <c r="E1680" t="s">
        <v>216</v>
      </c>
      <c r="F1680" s="36">
        <v>2240</v>
      </c>
      <c r="G1680" s="16" t="str">
        <f>HYPERLINK("#'Data'!A12155", "Households exposed to drone/missile attacks in past 3 months, by frequency broken down by gender composition of household on the admin of overall perc")</f>
        <v>Households exposed to drone/missile attacks in past 3 months, by frequency broken down by gender composition of household on the admin of overall perc</v>
      </c>
    </row>
    <row r="1681" spans="3:7" x14ac:dyDescent="0.35">
      <c r="C1681" t="s">
        <v>129</v>
      </c>
      <c r="D1681" t="s">
        <v>137</v>
      </c>
      <c r="E1681" t="s">
        <v>216</v>
      </c>
      <c r="F1681" s="36">
        <v>2241</v>
      </c>
      <c r="G1681" s="16" t="str">
        <f>HYPERLINK("#'Data'!A12162", "Households exposed to other safety and security incidents in the last 3 months, by type broken down by gender composition of household on the admin of...")</f>
        <v>Households exposed to other safety and security incidents in the last 3 months, by type broken down by gender composition of household on the admin of...</v>
      </c>
    </row>
    <row r="1682" spans="3:7" x14ac:dyDescent="0.35">
      <c r="C1682" t="s">
        <v>129</v>
      </c>
      <c r="D1682" t="s">
        <v>138</v>
      </c>
      <c r="E1682" t="s">
        <v>216</v>
      </c>
      <c r="F1682" s="36">
        <v>2242</v>
      </c>
      <c r="G1682" s="16" t="str">
        <f>HYPERLINK("#'Data'!A12169", "Households reporting being concerned about having any HH member engaging in risky activities due to economic needs, by frequency broken down by gender...")</f>
        <v>Households reporting being concerned about having any HH member engaging in risky activities due to economic needs, by frequency broken down by gender...</v>
      </c>
    </row>
    <row r="1683" spans="3:7" x14ac:dyDescent="0.35">
      <c r="C1683" t="s">
        <v>129</v>
      </c>
      <c r="D1683" t="s">
        <v>139</v>
      </c>
      <c r="E1683" t="s">
        <v>216</v>
      </c>
      <c r="F1683" s="36">
        <v>2243</v>
      </c>
      <c r="G1683" s="16" t="str">
        <f>HYPERLINK("#'Data'!A12176", "Households reporting being concerned about being forced to flee, by frequency broken down by gender composition of household on the admin of overall p...")</f>
        <v>Households reporting being concerned about being forced to flee, by frequency broken down by gender composition of household on the admin of overall p...</v>
      </c>
    </row>
    <row r="1684" spans="3:7" x14ac:dyDescent="0.35">
      <c r="C1684" t="s">
        <v>129</v>
      </c>
      <c r="D1684" t="s">
        <v>140</v>
      </c>
      <c r="E1684" t="s">
        <v>216</v>
      </c>
      <c r="F1684" s="36">
        <v>2244</v>
      </c>
      <c r="G1684" s="16" t="str">
        <f>HYPERLINK("#'Data'!A12183", "Households reporting being concerned about violence in the community, not related to the conflict, by frequency broken down by gender composition of h...")</f>
        <v>Households reporting being concerned about violence in the community, not related to the conflict, by frequency broken down by gender composition of h...</v>
      </c>
    </row>
    <row r="1685" spans="3:7" x14ac:dyDescent="0.35">
      <c r="C1685" t="s">
        <v>129</v>
      </c>
      <c r="D1685" t="s">
        <v>141</v>
      </c>
      <c r="E1685" t="s">
        <v>216</v>
      </c>
      <c r="F1685" s="36">
        <v>2245</v>
      </c>
      <c r="G1685" s="16" t="str">
        <f>HYPERLINK("#'Data'!A12190", "Households reporting being concerned about persecution/discrimination, by frequency broken down by gender composition of household on the admin of ove...")</f>
        <v>Households reporting being concerned about persecution/discrimination, by frequency broken down by gender composition of household on the admin of ove...</v>
      </c>
    </row>
    <row r="1686" spans="3:7" x14ac:dyDescent="0.35">
      <c r="C1686" t="s">
        <v>129</v>
      </c>
      <c r="D1686" t="s">
        <v>142</v>
      </c>
      <c r="E1686" t="s">
        <v>216</v>
      </c>
      <c r="F1686" s="36">
        <v>2246</v>
      </c>
      <c r="G1686" s="16" t="str">
        <f>HYPERLINK("#'Data'!A12197", "Households reporting being concerned about kidnapping/detention/abduction, by frequency broken down by gender composition of household on the admin of...")</f>
        <v>Households reporting being concerned about kidnapping/detention/abduction, by frequency broken down by gender composition of household on the admin of...</v>
      </c>
    </row>
    <row r="1687" spans="3:7" x14ac:dyDescent="0.35">
      <c r="C1687" t="s">
        <v>129</v>
      </c>
      <c r="D1687" t="s">
        <v>143</v>
      </c>
      <c r="E1687" t="s">
        <v>216</v>
      </c>
      <c r="F1687" s="36">
        <v>2247</v>
      </c>
      <c r="G1687" s="16" t="str">
        <f>HYPERLINK("#'Data'!A12204", "Households by reported safety and security concerns for WOMEN in the area, by concern broken down by gender composition of household on the admin of o...")</f>
        <v>Households by reported safety and security concerns for WOMEN in the area, by concern broken down by gender composition of household on the admin of o...</v>
      </c>
    </row>
    <row r="1688" spans="3:7" x14ac:dyDescent="0.35">
      <c r="C1688" t="s">
        <v>129</v>
      </c>
      <c r="D1688" t="s">
        <v>144</v>
      </c>
      <c r="E1688" t="s">
        <v>216</v>
      </c>
      <c r="F1688" s="36">
        <v>2248</v>
      </c>
      <c r="G1688" s="16" t="str">
        <f>HYPERLINK("#'Data'!A12211", "Percentage of female respondents reporting that at least one female member of their household felt unsafe walking in their community, by frequency bro...")</f>
        <v>Percentage of female respondents reporting that at least one female member of their household felt unsafe walking in their community, by frequency bro...</v>
      </c>
    </row>
    <row r="1689" spans="3:7" x14ac:dyDescent="0.35">
      <c r="C1689" t="s">
        <v>129</v>
      </c>
      <c r="D1689" t="s">
        <v>145</v>
      </c>
      <c r="E1689" t="s">
        <v>216</v>
      </c>
      <c r="F1689" s="36">
        <v>2249</v>
      </c>
      <c r="G1689" s="16" t="str">
        <f>HYPERLINK("#'Data'!A12217", "Percentage of households reporting areas/places that women and girls usually avoid, by type broken down by gender composition of household on the admi...")</f>
        <v>Percentage of households reporting areas/places that women and girls usually avoid, by type broken down by gender composition of household on the admi...</v>
      </c>
    </row>
    <row r="1690" spans="3:7" x14ac:dyDescent="0.35">
      <c r="C1690" t="s">
        <v>129</v>
      </c>
      <c r="D1690" t="s">
        <v>146</v>
      </c>
      <c r="E1690" t="s">
        <v>216</v>
      </c>
      <c r="F1690" s="36">
        <v>2250</v>
      </c>
      <c r="G1690" s="16" t="str">
        <f>HYPERLINK("#'Data'!A12224", "Households by reported safety and security concerns for MEN in the area, by concern broken down by gender composition of household on the admin of ove...")</f>
        <v>Households by reported safety and security concerns for MEN in the area, by concern broken down by gender composition of household on the admin of ove...</v>
      </c>
    </row>
    <row r="1691" spans="3:7" x14ac:dyDescent="0.35">
      <c r="C1691" t="s">
        <v>129</v>
      </c>
      <c r="D1691" t="s">
        <v>147</v>
      </c>
      <c r="E1691" t="s">
        <v>216</v>
      </c>
      <c r="F1691" s="36">
        <v>2251</v>
      </c>
      <c r="G1691" s="16" t="str">
        <f>HYPERLINK("#'Data'!A12231", "Households by reported safety and security concerns for CHILDREN in the area, by concern broken down by gender composition of household on the admin o...")</f>
        <v>Households by reported safety and security concerns for CHILDREN in the area, by concern broken down by gender composition of household on the admin o...</v>
      </c>
    </row>
    <row r="1692" spans="3:7" x14ac:dyDescent="0.35">
      <c r="C1692" t="s">
        <v>129</v>
      </c>
      <c r="D1692" t="s">
        <v>148</v>
      </c>
      <c r="E1692" t="s">
        <v>216</v>
      </c>
      <c r="F1692" s="36">
        <v>2252</v>
      </c>
      <c r="G1692" s="16" t="str">
        <f>HYPERLINK("#'Data'!A12238", "Housing/land/property (HLP) concerns of households, by concern broken down by gender composition of household on the admin of overall perc")</f>
        <v>Housing/land/property (HLP) concerns of households, by concern broken down by gender composition of household on the admin of overall perc</v>
      </c>
    </row>
    <row r="1693" spans="3:7" x14ac:dyDescent="0.35">
      <c r="C1693" t="s">
        <v>129</v>
      </c>
      <c r="D1693" t="s">
        <v>149</v>
      </c>
      <c r="E1693" t="s">
        <v>216</v>
      </c>
      <c r="F1693" s="36">
        <v>2253</v>
      </c>
      <c r="G1693" s="16" t="str">
        <f>HYPERLINK("#'Data'!A12245", "Households by presence of explosive ordnance present in community broken down by gender composition of household on the admin of overall perc")</f>
        <v>Households by presence of explosive ordnance present in community broken down by gender composition of household on the admin of overall perc</v>
      </c>
    </row>
    <row r="1694" spans="3:7" x14ac:dyDescent="0.35">
      <c r="C1694" t="s">
        <v>129</v>
      </c>
      <c r="D1694" t="s">
        <v>150</v>
      </c>
      <c r="E1694" t="s">
        <v>216</v>
      </c>
      <c r="F1694" s="36">
        <v>2254</v>
      </c>
      <c r="G1694" s="16" t="str">
        <f>HYPERLINK("#'Data'!A12252", "Households reporting that explosive ordnances affect the livelihoods of people in the community broken down by gender composition of household on the ...")</f>
        <v>Households reporting that explosive ordnances affect the livelihoods of people in the community broken down by gender composition of household on the ...</v>
      </c>
    </row>
    <row r="1695" spans="3:7" x14ac:dyDescent="0.35">
      <c r="C1695" t="s">
        <v>129</v>
      </c>
      <c r="D1695" t="s">
        <v>151</v>
      </c>
      <c r="E1695" t="s">
        <v>216</v>
      </c>
      <c r="F1695" s="36">
        <v>2255</v>
      </c>
      <c r="G1695" s="16" t="str">
        <f>HYPERLINK("#'Data'!A12259", "Households by frequency of training/awareness on safe behaviours towards Explosive Ordnances broken down by gender composition of household on the adm...")</f>
        <v>Households by frequency of training/awareness on safe behaviours towards Explosive Ordnances broken down by gender composition of household on the adm...</v>
      </c>
    </row>
    <row r="1696" spans="3:7" x14ac:dyDescent="0.35">
      <c r="C1696" t="s">
        <v>117</v>
      </c>
      <c r="D1696" t="s">
        <v>152</v>
      </c>
      <c r="E1696" t="s">
        <v>216</v>
      </c>
      <c r="F1696" s="36">
        <v>2256</v>
      </c>
      <c r="G1696" s="16" t="str">
        <f>HYPERLINK("#'Data'!A12266", "Percentage of households by current shelter situation broken down by gender composition of household on the admin of overall perc")</f>
        <v>Percentage of households by current shelter situation broken down by gender composition of household on the admin of overall perc</v>
      </c>
    </row>
    <row r="1697" spans="3:7" x14ac:dyDescent="0.35">
      <c r="C1697" t="s">
        <v>117</v>
      </c>
      <c r="D1697" t="s">
        <v>153</v>
      </c>
      <c r="E1697" t="s">
        <v>216</v>
      </c>
      <c r="F1697" s="36">
        <v>2257</v>
      </c>
      <c r="G1697" s="16" t="str">
        <f>HYPERLINK("#'Data'!A12273", "Percentage of households by current shelter type  broken down by gender composition of household on the admin of overall perc")</f>
        <v>Percentage of households by current shelter type  broken down by gender composition of household on the admin of overall perc</v>
      </c>
    </row>
    <row r="1698" spans="3:7" x14ac:dyDescent="0.35">
      <c r="C1698" t="s">
        <v>117</v>
      </c>
      <c r="D1698" t="s">
        <v>154</v>
      </c>
      <c r="E1698" t="s">
        <v>216</v>
      </c>
      <c r="F1698" s="36">
        <v>2258</v>
      </c>
      <c r="G1698" s="16" t="str">
        <f>HYPERLINK("#'Data'!A12280", "Shelter size (squared meters) broken down by gender composition of household on the admin of overall mean")</f>
        <v>Shelter size (squared meters) broken down by gender composition of household on the admin of overall mean</v>
      </c>
    </row>
    <row r="1699" spans="3:7" x14ac:dyDescent="0.35">
      <c r="C1699" t="s">
        <v>117</v>
      </c>
      <c r="D1699" t="s">
        <v>155</v>
      </c>
      <c r="E1699" t="s">
        <v>216</v>
      </c>
      <c r="F1699" s="36">
        <v>2259</v>
      </c>
      <c r="G1699" s="16" t="str">
        <f>HYPERLINK("#'Data'!A12287", "Number of individuals sharing a shelter broken down by gender composition of household on the admin of overall mean")</f>
        <v>Number of individuals sharing a shelter broken down by gender composition of household on the admin of overall mean</v>
      </c>
    </row>
    <row r="1700" spans="3:7" x14ac:dyDescent="0.35">
      <c r="C1700" t="s">
        <v>117</v>
      </c>
      <c r="D1700" t="s">
        <v>156</v>
      </c>
      <c r="E1700" t="s">
        <v>216</v>
      </c>
      <c r="F1700" s="36">
        <v>2260</v>
      </c>
      <c r="G1700" s="16" t="str">
        <f>HYPERLINK("#'Data'!A12294", "Percentage of households by occupancy arrangement of current shelter broken down by gender composition of household on the admin of overall perc")</f>
        <v>Percentage of households by occupancy arrangement of current shelter broken down by gender composition of household on the admin of overall perc</v>
      </c>
    </row>
    <row r="1701" spans="3:7" x14ac:dyDescent="0.35">
      <c r="C1701" t="s">
        <v>117</v>
      </c>
      <c r="D1701" t="s">
        <v>157</v>
      </c>
      <c r="E1701" t="s">
        <v>216</v>
      </c>
      <c r="F1701" s="36">
        <v>2261</v>
      </c>
      <c r="G1701" s="16" t="str">
        <f>HYPERLINK("#'Data'!A12301", "Percentage of households feeling at risk of eviction within the next 6 months broken down by gender composition of household on the admin of overall p...")</f>
        <v>Percentage of households feeling at risk of eviction within the next 6 months broken down by gender composition of household on the admin of overall p...</v>
      </c>
    </row>
    <row r="1702" spans="3:7" x14ac:dyDescent="0.35">
      <c r="C1702" t="s">
        <v>117</v>
      </c>
      <c r="D1702" t="s">
        <v>158</v>
      </c>
      <c r="E1702" t="s">
        <v>216</v>
      </c>
      <c r="F1702" s="36">
        <v>2262</v>
      </c>
      <c r="G1702" s="16" t="str">
        <f>HYPERLINK("#'Data'!A12308", "Percentage of households currently threatened with eviction broken down by gender composition of household on the admin of overall perc")</f>
        <v>Percentage of households currently threatened with eviction broken down by gender composition of household on the admin of overall perc</v>
      </c>
    </row>
    <row r="1703" spans="3:7" x14ac:dyDescent="0.35">
      <c r="C1703" t="s">
        <v>117</v>
      </c>
      <c r="D1703" t="s">
        <v>159</v>
      </c>
      <c r="E1703" t="s">
        <v>216</v>
      </c>
      <c r="F1703" s="36">
        <v>2263</v>
      </c>
      <c r="G1703" s="16" t="str">
        <f>HYPERLINK("#'Data'!A12315", "Percentage of households by current shelter issues that were NOT caused by the war, by issue broken down by gender composition of household on the adm...")</f>
        <v>Percentage of households by current shelter issues that were NOT caused by the war, by issue broken down by gender composition of household on the adm...</v>
      </c>
    </row>
    <row r="1704" spans="3:7" x14ac:dyDescent="0.35">
      <c r="C1704" t="s">
        <v>117</v>
      </c>
      <c r="D1704" t="s">
        <v>160</v>
      </c>
      <c r="E1704" t="s">
        <v>216</v>
      </c>
      <c r="F1704" s="36">
        <v>2264</v>
      </c>
      <c r="G1704" s="16" t="str">
        <f>HYPERLINK("#'Data'!A12322", "Percentage of households reporting damage to current shelter caused by the war since February 2022 broken down by gender composition of household on t...")</f>
        <v>Percentage of households reporting damage to current shelter caused by the war since February 2022 broken down by gender composition of household on t...</v>
      </c>
    </row>
    <row r="1705" spans="3:7" x14ac:dyDescent="0.35">
      <c r="C1705" t="s">
        <v>117</v>
      </c>
      <c r="D1705" t="s">
        <v>161</v>
      </c>
      <c r="E1705" t="s">
        <v>216</v>
      </c>
      <c r="F1705" s="36">
        <v>2265</v>
      </c>
      <c r="G1705" s="16" t="str">
        <f>HYPERLINK("#'Data'!A12329", "Percentage of households reporting that the damage to the current shelter caused by the war was REPAIRED broken down by gender composition of househol...")</f>
        <v>Percentage of households reporting that the damage to the current shelter caused by the war was REPAIRED broken down by gender composition of househol...</v>
      </c>
    </row>
    <row r="1706" spans="3:7" x14ac:dyDescent="0.35">
      <c r="C1706" t="s">
        <v>117</v>
      </c>
      <c r="D1706" t="s">
        <v>162</v>
      </c>
      <c r="E1706" t="s">
        <v>216</v>
      </c>
      <c r="F1706" s="36">
        <v>2266</v>
      </c>
      <c r="G1706" s="16" t="str">
        <f>HYPERLINK("#'Data'!A12336", "Percentage of households reporting that the damage to current shelter was not repaired, by reason  broken down by gender composition of household on t...")</f>
        <v>Percentage of households reporting that the damage to current shelter was not repaired, by reason  broken down by gender composition of household on t...</v>
      </c>
    </row>
    <row r="1707" spans="3:7" x14ac:dyDescent="0.35">
      <c r="C1707" t="s">
        <v>117</v>
      </c>
      <c r="D1707" t="s">
        <v>163</v>
      </c>
      <c r="E1707" t="s">
        <v>216</v>
      </c>
      <c r="F1707" s="36">
        <v>2267</v>
      </c>
      <c r="G1707" s="16" t="str">
        <f>HYPERLINK("#'Data'!A12343", "Percentage of households reporting damage to current shelter caused by the war, by severity broken down by gender composition of household on the admi...")</f>
        <v>Percentage of households reporting damage to current shelter caused by the war, by severity broken down by gender composition of household on the admi...</v>
      </c>
    </row>
    <row r="1708" spans="3:7" x14ac:dyDescent="0.35">
      <c r="C1708" t="s">
        <v>117</v>
      </c>
      <c r="D1708" t="s">
        <v>164</v>
      </c>
      <c r="E1708" t="s">
        <v>216</v>
      </c>
      <c r="F1708" s="36">
        <v>2268</v>
      </c>
      <c r="G1708" s="16" t="str">
        <f>HYPERLINK("#'Data'!A12350", "Percentage of households reporting enough space/essential items so that the members of the households can cook broken down by gender composition of ho...")</f>
        <v>Percentage of households reporting enough space/essential items so that the members of the households can cook broken down by gender composition of ho...</v>
      </c>
    </row>
    <row r="1709" spans="3:7" x14ac:dyDescent="0.35">
      <c r="C1709" t="s">
        <v>117</v>
      </c>
      <c r="D1709" t="s">
        <v>165</v>
      </c>
      <c r="E1709" t="s">
        <v>216</v>
      </c>
      <c r="F1709" s="36">
        <v>2269</v>
      </c>
      <c r="G1709" s="16" t="str">
        <f>HYPERLINK("#'Data'!A12357", "Percentage of households reporting enough space/essential items so that the members of the households can sleep broken down by gender composition of h...")</f>
        <v>Percentage of households reporting enough space/essential items so that the members of the households can sleep broken down by gender composition of h...</v>
      </c>
    </row>
    <row r="1710" spans="3:7" x14ac:dyDescent="0.35">
      <c r="C1710" t="s">
        <v>117</v>
      </c>
      <c r="D1710" t="s">
        <v>166</v>
      </c>
      <c r="E1710" t="s">
        <v>216</v>
      </c>
      <c r="F1710" s="36">
        <v>2270</v>
      </c>
      <c r="G1710" s="16" t="str">
        <f>HYPERLINK("#'Data'!A12364", "Percentage of households reporting enough space/essential items so that the members of the households can store food broken down by gender composition...")</f>
        <v>Percentage of households reporting enough space/essential items so that the members of the households can store food broken down by gender composition...</v>
      </c>
    </row>
    <row r="1711" spans="3:7" x14ac:dyDescent="0.35">
      <c r="C1711" t="s">
        <v>117</v>
      </c>
      <c r="D1711" t="s">
        <v>167</v>
      </c>
      <c r="E1711" t="s">
        <v>216</v>
      </c>
      <c r="F1711" s="36">
        <v>2271</v>
      </c>
      <c r="G1711" s="16" t="str">
        <f>HYPERLINK("#'Data'!A12371", "Households by main heating source in 2024-2025 winter season broken down by gender composition of household on the admin of overall perc")</f>
        <v>Households by main heating source in 2024-2025 winter season broken down by gender composition of household on the admin of overall perc</v>
      </c>
    </row>
    <row r="1712" spans="3:7" x14ac:dyDescent="0.35">
      <c r="C1712" t="s">
        <v>117</v>
      </c>
      <c r="D1712" t="s">
        <v>168</v>
      </c>
      <c r="E1712" t="s">
        <v>216</v>
      </c>
      <c r="F1712" s="36">
        <v>2272</v>
      </c>
      <c r="G1712" s="16" t="str">
        <f>HYPERLINK("#'Data'!A12378", "Households by main source of lighting broken down by gender composition of household on the admin of overall perc")</f>
        <v>Households by main source of lighting broken down by gender composition of household on the admin of overall perc</v>
      </c>
    </row>
    <row r="1713" spans="3:7" x14ac:dyDescent="0.35">
      <c r="C1713" t="s">
        <v>117</v>
      </c>
      <c r="D1713" t="s">
        <v>169</v>
      </c>
      <c r="E1713" t="s">
        <v>216</v>
      </c>
      <c r="F1713" s="36">
        <v>2273</v>
      </c>
      <c r="G1713" s="16" t="str">
        <f>HYPERLINK("#'Data'!A12385", "Households by issue faced with electricity broken down by gender composition of household on the admin of overall perc")</f>
        <v>Households by issue faced with electricity broken down by gender composition of household on the admin of overall perc</v>
      </c>
    </row>
    <row r="1714" spans="3:7" x14ac:dyDescent="0.35">
      <c r="C1714" t="s">
        <v>117</v>
      </c>
      <c r="D1714" t="s">
        <v>170</v>
      </c>
      <c r="E1714" t="s">
        <v>216</v>
      </c>
      <c r="F1714" s="36">
        <v>2274</v>
      </c>
      <c r="G1714" s="16" t="str">
        <f>HYPERLINK("#'Data'!A12392", "Households experiencing utility interruptions in the past three months, by utility type broken down by gender composition of household on the admin of...")</f>
        <v>Households experiencing utility interruptions in the past three months, by utility type broken down by gender composition of household on the admin of...</v>
      </c>
    </row>
    <row r="1715" spans="3:7" x14ac:dyDescent="0.35">
      <c r="C1715" t="s">
        <v>117</v>
      </c>
      <c r="D1715" t="s">
        <v>171</v>
      </c>
      <c r="E1715" t="s">
        <v>216</v>
      </c>
      <c r="F1715" s="36">
        <v>2275</v>
      </c>
      <c r="G1715" s="16" t="str">
        <f>HYPERLINK("#'Data'!A12399", "Households by access to alternative source of power broken down by gender composition of household on the admin of overall perc")</f>
        <v>Households by access to alternative source of power broken down by gender composition of household on the admin of overall perc</v>
      </c>
    </row>
    <row r="1716" spans="3:7" x14ac:dyDescent="0.35">
      <c r="C1716" t="s">
        <v>117</v>
      </c>
      <c r="D1716" t="s">
        <v>172</v>
      </c>
      <c r="E1716" t="s">
        <v>216</v>
      </c>
      <c r="F1716" s="36">
        <v>2276</v>
      </c>
      <c r="G1716" s="16" t="str">
        <f>HYPERLINK("#'Data'!A12406", "Households with access to the internet in the past 4 weeks, by frequency broken down by gender composition of household on the admin of overall perc")</f>
        <v>Households with access to the internet in the past 4 weeks, by frequency broken down by gender composition of household on the admin of overall perc</v>
      </c>
    </row>
    <row r="1717" spans="3:7" x14ac:dyDescent="0.35">
      <c r="C1717" t="s">
        <v>173</v>
      </c>
      <c r="D1717" t="s">
        <v>174</v>
      </c>
      <c r="E1717" t="s">
        <v>216</v>
      </c>
      <c r="F1717" s="36">
        <v>2277</v>
      </c>
      <c r="G1717" s="16" t="str">
        <f>HYPERLINK("#'Data'!A12413", "Households by main source of drinking water, by source broken down by gender composition of household on the admin of overall perc")</f>
        <v>Households by main source of drinking water, by source broken down by gender composition of household on the admin of overall perc</v>
      </c>
    </row>
    <row r="1718" spans="3:7" x14ac:dyDescent="0.35">
      <c r="C1718" t="s">
        <v>173</v>
      </c>
      <c r="D1718" t="s">
        <v>175</v>
      </c>
      <c r="E1718" t="s">
        <v>216</v>
      </c>
      <c r="F1718" s="36">
        <v>2278</v>
      </c>
      <c r="G1718" s="16" t="str">
        <f>HYPERLINK("#'Data'!A12420", "Households where main source of drinking water is off premises, by  time taken to fetch water from main source of drinking water in minutes broken dow...")</f>
        <v>Households where main source of drinking water is off premises, by  time taken to fetch water from main source of drinking water in minutes broken dow...</v>
      </c>
    </row>
    <row r="1719" spans="3:7" x14ac:dyDescent="0.35">
      <c r="C1719" t="s">
        <v>173</v>
      </c>
      <c r="D1719" t="s">
        <v>176</v>
      </c>
      <c r="E1719" t="s">
        <v>216</v>
      </c>
      <c r="F1719" s="36">
        <v>2279</v>
      </c>
      <c r="G1719" s="16" t="str">
        <f>HYPERLINK("#'Data'!A12427", "Households by acceptability of water in the past 4 weeks (prior to treatment) broken down by gender composition of household on the admin of overall p...")</f>
        <v>Households by acceptability of water in the past 4 weeks (prior to treatment) broken down by gender composition of household on the admin of overall p...</v>
      </c>
    </row>
    <row r="1720" spans="3:7" x14ac:dyDescent="0.35">
      <c r="C1720" t="s">
        <v>173</v>
      </c>
      <c r="D1720" t="s">
        <v>177</v>
      </c>
      <c r="E1720" t="s">
        <v>216</v>
      </c>
      <c r="F1720" s="36">
        <v>2280</v>
      </c>
      <c r="G1720" s="16" t="str">
        <f>HYPERLINK("#'Data'!A12434", "Households who treat drinking water from the main source broken down by gender composition of household on the admin of overall perc")</f>
        <v>Households who treat drinking water from the main source broken down by gender composition of household on the admin of overall perc</v>
      </c>
    </row>
    <row r="1721" spans="3:7" x14ac:dyDescent="0.35">
      <c r="C1721" t="s">
        <v>173</v>
      </c>
      <c r="D1721" t="s">
        <v>178</v>
      </c>
      <c r="E1721" t="s">
        <v>216</v>
      </c>
      <c r="F1721" s="36">
        <v>2281</v>
      </c>
      <c r="G1721" s="16" t="str">
        <f>HYPERLINK("#'Data'!A12441", "Households by days without sufficient drinking water quantity in the past 4 weeks broken down by gender composition of household on the admin of overa...")</f>
        <v>Households by days without sufficient drinking water quantity in the past 4 weeks broken down by gender composition of household on the admin of overa...</v>
      </c>
    </row>
    <row r="1722" spans="3:7" x14ac:dyDescent="0.35">
      <c r="C1722" t="s">
        <v>173</v>
      </c>
      <c r="D1722" t="s">
        <v>179</v>
      </c>
      <c r="E1722" t="s">
        <v>216</v>
      </c>
      <c r="F1722" s="36">
        <v>2282</v>
      </c>
      <c r="G1722" s="16" t="str">
        <f>HYPERLINK("#'Data'!A12448", "Households by main source of water for domestic purposes broken down by gender composition of household on the admin of overall perc")</f>
        <v>Households by main source of water for domestic purposes broken down by gender composition of household on the admin of overall perc</v>
      </c>
    </row>
    <row r="1723" spans="3:7" x14ac:dyDescent="0.35">
      <c r="C1723" t="s">
        <v>173</v>
      </c>
      <c r="D1723" t="s">
        <v>180</v>
      </c>
      <c r="E1723" t="s">
        <v>216</v>
      </c>
      <c r="F1723" s="36">
        <v>2283</v>
      </c>
      <c r="G1723" s="16" t="str">
        <f>HYPERLINK("#'Data'!A12455", "Households by days without sufficient water for domestic purposes quantity in the past 4 weeks broken down by gender composition of household on the a...")</f>
        <v>Households by days without sufficient water for domestic purposes quantity in the past 4 weeks broken down by gender composition of household on the a...</v>
      </c>
    </row>
    <row r="1724" spans="3:7" x14ac:dyDescent="0.35">
      <c r="C1724" t="s">
        <v>173</v>
      </c>
      <c r="D1724" t="s">
        <v>181</v>
      </c>
      <c r="E1724" t="s">
        <v>216</v>
      </c>
      <c r="F1724" s="36">
        <v>2284</v>
      </c>
      <c r="G1724" s="16" t="str">
        <f>HYPERLINK("#'Data'!A12462", "Percentage of households reporting enough space/essential items so that the members of the households can perform personal hygiene broken down by gend...")</f>
        <v>Percentage of households reporting enough space/essential items so that the members of the households can perform personal hygiene broken down by gend...</v>
      </c>
    </row>
    <row r="1725" spans="3:7" x14ac:dyDescent="0.35">
      <c r="C1725" t="s">
        <v>173</v>
      </c>
      <c r="D1725" t="s">
        <v>182</v>
      </c>
      <c r="E1725" t="s">
        <v>216</v>
      </c>
      <c r="F1725" s="36">
        <v>2285</v>
      </c>
      <c r="G1725" s="16" t="str">
        <f>HYPERLINK("#'Data'!A12469", "Households by main handwashing facility broken down by gender composition of household on the admin of overall perc")</f>
        <v>Households by main handwashing facility broken down by gender composition of household on the admin of overall perc</v>
      </c>
    </row>
    <row r="1726" spans="3:7" x14ac:dyDescent="0.35">
      <c r="C1726" t="s">
        <v>173</v>
      </c>
      <c r="D1726" t="s">
        <v>183</v>
      </c>
      <c r="E1726" t="s">
        <v>216</v>
      </c>
      <c r="F1726" s="36">
        <v>2286</v>
      </c>
      <c r="G1726" s="16" t="str">
        <f>HYPERLINK("#'Data'!A12476", "Households having access to soap for washing hands broken down by gender composition of household on the admin of overall perc")</f>
        <v>Households having access to soap for washing hands broken down by gender composition of household on the admin of overall perc</v>
      </c>
    </row>
    <row r="1727" spans="3:7" x14ac:dyDescent="0.35">
      <c r="C1727" t="s">
        <v>173</v>
      </c>
      <c r="D1727" t="s">
        <v>184</v>
      </c>
      <c r="E1727" t="s">
        <v>216</v>
      </c>
      <c r="F1727" s="36">
        <v>2287</v>
      </c>
      <c r="G1727" s="16" t="str">
        <f>HYPERLINK("#'Data'!A12483", "Households by main toilet facility broken down by gender composition of household on the admin of overall perc")</f>
        <v>Households by main toilet facility broken down by gender composition of household on the admin of overall perc</v>
      </c>
    </row>
    <row r="1728" spans="3:7" x14ac:dyDescent="0.35">
      <c r="C1728" t="s">
        <v>173</v>
      </c>
      <c r="D1728" t="s">
        <v>185</v>
      </c>
      <c r="E1728" t="s">
        <v>216</v>
      </c>
      <c r="F1728" s="36">
        <v>2288</v>
      </c>
      <c r="G1728" s="16" t="str">
        <f>HYPERLINK("#'Data'!A12490", "Households sharing main toilet facility broken down by gender composition of household on the admin of overall perc")</f>
        <v>Households sharing main toilet facility broken down by gender composition of household on the admin of overall perc</v>
      </c>
    </row>
    <row r="1729" spans="3:7" x14ac:dyDescent="0.35">
      <c r="C1729" t="s">
        <v>173</v>
      </c>
      <c r="D1729" t="s">
        <v>186</v>
      </c>
      <c r="E1729" t="s">
        <v>216</v>
      </c>
      <c r="F1729" s="36">
        <v>2289</v>
      </c>
      <c r="G1729" s="16" t="str">
        <f>HYPERLINK("#'Data'!A12497", "Households sharing main toilet facility by number of households sharing that facility broken down by gender composition of household on the admin of o...")</f>
        <v>Households sharing main toilet facility by number of households sharing that facility broken down by gender composition of household on the admin of o...</v>
      </c>
    </row>
    <row r="1730" spans="3:7" x14ac:dyDescent="0.35">
      <c r="C1730" t="s">
        <v>173</v>
      </c>
      <c r="D1730" t="s">
        <v>187</v>
      </c>
      <c r="E1730" t="s">
        <v>216</v>
      </c>
      <c r="F1730" s="36">
        <v>2290</v>
      </c>
      <c r="G1730" s="16" t="str">
        <f>HYPERLINK("#'Data'!A12504", "Households facing issues with pumping off sewage/septic tank in the past 12 months, by issue broken down by gender composition of household on the adm...")</f>
        <v>Households facing issues with pumping off sewage/septic tank in the past 12 months, by issue broken down by gender composition of household on the adm...</v>
      </c>
    </row>
    <row r="1731" spans="3:7" x14ac:dyDescent="0.35">
      <c r="C1731" t="s">
        <v>173</v>
      </c>
      <c r="D1731" t="s">
        <v>188</v>
      </c>
      <c r="E1731" t="s">
        <v>216</v>
      </c>
      <c r="F1731" s="36">
        <v>2291</v>
      </c>
      <c r="G1731" s="16" t="str">
        <f>HYPERLINK("#'Data'!A12511", "Percentage of households who had to go without washing hands after dirty activities in the past 4 weeks, by frequency broken down by gender compositio...")</f>
        <v>Percentage of households who had to go without washing hands after dirty activities in the past 4 weeks, by frequency broken down by gender compositio...</v>
      </c>
    </row>
    <row r="1732" spans="3:7" x14ac:dyDescent="0.35">
      <c r="C1732" t="s">
        <v>173</v>
      </c>
      <c r="D1732" t="s">
        <v>189</v>
      </c>
      <c r="E1732" t="s">
        <v>216</v>
      </c>
      <c r="F1732" s="36">
        <v>2292</v>
      </c>
      <c r="G1732" s="16" t="str">
        <f>HYPERLINK("#'Data'!A12518", "Percentage of households who worried about not having enough water to cover all needs in the past 4 weeks, by frequency broken down by gender composit...")</f>
        <v>Percentage of households who worried about not having enough water to cover all needs in the past 4 weeks, by frequency broken down by gender composit...</v>
      </c>
    </row>
    <row r="1733" spans="3:7" x14ac:dyDescent="0.35">
      <c r="C1733" t="s">
        <v>173</v>
      </c>
      <c r="D1733" t="s">
        <v>190</v>
      </c>
      <c r="E1733" t="s">
        <v>216</v>
      </c>
      <c r="F1733" s="36">
        <v>2293</v>
      </c>
      <c r="G1733" s="16" t="str">
        <f>HYPERLINK("#'Data'!A12525", "Percentage of households who had to change plans due to problems with water in the past 4 weeks, by frequency broken down by gender composition of hou...")</f>
        <v>Percentage of households who had to change plans due to problems with water in the past 4 weeks, by frequency broken down by gender composition of hou...</v>
      </c>
    </row>
    <row r="1734" spans="3:7" x14ac:dyDescent="0.35">
      <c r="C1734" t="s">
        <v>191</v>
      </c>
      <c r="D1734" t="s">
        <v>192</v>
      </c>
      <c r="E1734" t="s">
        <v>216</v>
      </c>
      <c r="F1734" s="36">
        <v>2294</v>
      </c>
      <c r="G1734" s="16" t="str">
        <f>HYPERLINK("#'Data'!A12532", "Reduced Coping Strategies Index (rCSI) broken down by gender composition of household on the admin of overall perc")</f>
        <v>Reduced Coping Strategies Index (rCSI) broken down by gender composition of household on the admin of overall perc</v>
      </c>
    </row>
    <row r="1735" spans="3:7" x14ac:dyDescent="0.35">
      <c r="C1735" t="s">
        <v>191</v>
      </c>
      <c r="D1735" t="s">
        <v>193</v>
      </c>
      <c r="E1735" t="s">
        <v>216</v>
      </c>
      <c r="F1735" s="36">
        <v>2295</v>
      </c>
      <c r="G1735" s="16" t="str">
        <f>HYPERLINK("#'Data'!A12539", "Food Consumption Score broken down by gender composition of household on the admin of overall perc")</f>
        <v>Food Consumption Score broken down by gender composition of household on the admin of overall perc</v>
      </c>
    </row>
    <row r="1736" spans="3:7" x14ac:dyDescent="0.35">
      <c r="C1736" t="s">
        <v>191</v>
      </c>
      <c r="D1736" t="s">
        <v>194</v>
      </c>
      <c r="E1736" t="s">
        <v>216</v>
      </c>
      <c r="F1736" s="36">
        <v>2296</v>
      </c>
      <c r="G1736" s="16" t="str">
        <f>HYPERLINK("#'Data'!A12546", "Households adopting Consumption-based Coping Strategies, by strategy by gender composition of household ")</f>
        <v xml:space="preserve">Households adopting Consumption-based Coping Strategies, by strategy by gender composition of household </v>
      </c>
    </row>
    <row r="1737" spans="3:7" x14ac:dyDescent="0.35">
      <c r="C1737" t="s">
        <v>195</v>
      </c>
      <c r="D1737" t="s">
        <v>196</v>
      </c>
      <c r="E1737" t="s">
        <v>216</v>
      </c>
      <c r="F1737" s="36">
        <v>2301</v>
      </c>
      <c r="G1737" s="16" t="str">
        <f>HYPERLINK("#'Data'!A12581", "Households reporting most significant challenges their household currently faces broken down by gender composition of household on the admin of overal...")</f>
        <v>Households reporting most significant challenges their household currently faces broken down by gender composition of household on the admin of overal...</v>
      </c>
    </row>
    <row r="1738" spans="3:7" x14ac:dyDescent="0.35">
      <c r="C1738" t="s">
        <v>195</v>
      </c>
      <c r="D1738" t="s">
        <v>197</v>
      </c>
      <c r="E1738" t="s">
        <v>216</v>
      </c>
      <c r="F1738" s="36">
        <v>2302</v>
      </c>
      <c r="G1738" s="16" t="str">
        <f>HYPERLINK("#'Data'!A12588", "Households reporting challenges, by type of support they would like to receive broken down by gender composition of household on the admin of overall ...")</f>
        <v>Households reporting challenges, by type of support they would like to receive broken down by gender composition of household on the admin of overall ...</v>
      </c>
    </row>
    <row r="1739" spans="3:7" x14ac:dyDescent="0.35">
      <c r="C1739" t="s">
        <v>195</v>
      </c>
      <c r="D1739" t="s">
        <v>198</v>
      </c>
      <c r="E1739" t="s">
        <v>216</v>
      </c>
      <c r="F1739" s="36">
        <v>2303</v>
      </c>
      <c r="G1739" s="16" t="str">
        <f>HYPERLINK("#'Data'!A12595", "Households reporting challenges, by modality of assistance they would like to receive broken down by gender composition of household on the admin of o...")</f>
        <v>Households reporting challenges, by modality of assistance they would like to receive broken down by gender composition of household on the admin of o...</v>
      </c>
    </row>
    <row r="1740" spans="3:7" x14ac:dyDescent="0.35">
      <c r="C1740" t="s">
        <v>195</v>
      </c>
      <c r="D1740" t="s">
        <v>199</v>
      </c>
      <c r="E1740" t="s">
        <v>216</v>
      </c>
      <c r="F1740" s="36">
        <v>2304</v>
      </c>
      <c r="G1740" s="16" t="str">
        <f>HYPERLINK("#'Data'!A12602", "Households by last time aid was received broken down by gender composition of household on the admin of overall perc")</f>
        <v>Households by last time aid was received broken down by gender composition of household on the admin of overall perc</v>
      </c>
    </row>
    <row r="1741" spans="3:7" x14ac:dyDescent="0.35">
      <c r="C1741" t="s">
        <v>195</v>
      </c>
      <c r="D1741" t="s">
        <v>200</v>
      </c>
      <c r="E1741" t="s">
        <v>216</v>
      </c>
      <c r="F1741" s="36">
        <v>2305</v>
      </c>
      <c r="G1741" s="16" t="str">
        <f>HYPERLINK("#'Data'!A12609", "Households reporting barriers in accessing to aid in the past 12 months, by barrier broken down by gender composition of household on the admin of ove...")</f>
        <v>Households reporting barriers in accessing to aid in the past 12 months, by barrier broken down by gender composition of household on the admin of ove...</v>
      </c>
    </row>
    <row r="1742" spans="3:7" x14ac:dyDescent="0.35">
      <c r="C1742" t="s">
        <v>195</v>
      </c>
      <c r="D1742" t="s">
        <v>201</v>
      </c>
      <c r="E1742" t="s">
        <v>216</v>
      </c>
      <c r="F1742" s="36">
        <v>2306</v>
      </c>
      <c r="G1742" s="16" t="str">
        <f>HYPERLINK("#'Data'!A12616", "Households who received aid, by aid satisfaction in the past 12 months broken down by gender composition of household on the admin of overall perc")</f>
        <v>Households who received aid, by aid satisfaction in the past 12 months broken down by gender composition of household on the admin of overall perc</v>
      </c>
    </row>
    <row r="1743" spans="3:7" x14ac:dyDescent="0.35">
      <c r="C1743" t="s">
        <v>195</v>
      </c>
      <c r="D1743" t="s">
        <v>202</v>
      </c>
      <c r="E1743" t="s">
        <v>216</v>
      </c>
      <c r="F1743" s="36">
        <v>2307</v>
      </c>
      <c r="G1743" s="16" t="str">
        <f>HYPERLINK("#'Data'!A12623", "Households dissatisfied with aid received, by reason broken down by gender composition of household on the admin of overall perc")</f>
        <v>Households dissatisfied with aid received, by reason broken down by gender composition of household on the admin of overall perc</v>
      </c>
    </row>
    <row r="1744" spans="3:7" x14ac:dyDescent="0.35">
      <c r="C1744" t="s">
        <v>195</v>
      </c>
      <c r="D1744" t="s">
        <v>203</v>
      </c>
      <c r="E1744" t="s">
        <v>216</v>
      </c>
      <c r="F1744" s="36">
        <v>2308</v>
      </c>
      <c r="G1744" s="16" t="str">
        <f>HYPERLINK("#'Data'!A12630", "Percentage of households reporting reliable information channels to get information about aid, by channel broken down by gender composition of househo...")</f>
        <v>Percentage of households reporting reliable information channels to get information about aid, by channel broken down by gender composition of househo...</v>
      </c>
    </row>
    <row r="1745" spans="3:7" x14ac:dyDescent="0.35">
      <c r="C1745" t="s">
        <v>195</v>
      </c>
      <c r="D1745" t="s">
        <v>204</v>
      </c>
      <c r="E1745" t="s">
        <v>216</v>
      </c>
      <c r="F1745" s="36">
        <v>2309</v>
      </c>
      <c r="G1745" s="16" t="str">
        <f>HYPERLINK("#'Data'!A12637", "Percentage of households utilizing complaint and feedback channels, by type broken down by gender composition of household on the admin of overall per...")</f>
        <v>Percentage of households utilizing complaint and feedback channels, by type broken down by gender composition of household on the admin of overall per...</v>
      </c>
    </row>
    <row r="1746" spans="3:7" x14ac:dyDescent="0.35">
      <c r="C1746" t="s">
        <v>195</v>
      </c>
      <c r="D1746" t="s">
        <v>205</v>
      </c>
      <c r="E1746" t="s">
        <v>216</v>
      </c>
      <c r="F1746" s="36">
        <v>2310</v>
      </c>
      <c r="G1746" s="16" t="str">
        <f>HYPERLINK("#'Data'!A12644", "Percentage of households receiving a response through complaint and feedback channels broken down by gender composition of household on the admin of o...")</f>
        <v>Percentage of households receiving a response through complaint and feedback channels broken down by gender composition of household on the admin of o...</v>
      </c>
    </row>
    <row r="1747" spans="3:7" x14ac:dyDescent="0.35">
      <c r="C1747" t="s">
        <v>129</v>
      </c>
      <c r="D1747" t="s">
        <v>206</v>
      </c>
      <c r="E1747" t="s">
        <v>216</v>
      </c>
      <c r="F1747" s="36">
        <v>2311</v>
      </c>
      <c r="G1747" s="16" t="str">
        <f>HYPERLINK("#'Data'!A12651", "Percentage of household who have experienced cuts in  government assistance in the past 6 months broken down by gender composition of household on the...")</f>
        <v>Percentage of household who have experienced cuts in  government assistance in the past 6 months broken down by gender composition of household on the...</v>
      </c>
    </row>
    <row r="1748" spans="3:7" x14ac:dyDescent="0.35">
      <c r="C1748" t="s">
        <v>129</v>
      </c>
      <c r="D1748" t="s">
        <v>207</v>
      </c>
      <c r="E1748" t="s">
        <v>216</v>
      </c>
      <c r="F1748" s="36">
        <v>2312</v>
      </c>
      <c r="G1748" s="16" t="str">
        <f>HYPERLINK("#'Data'!A12658", "Percentage of households unable to obtain needed legal assistance, by type of assistance broken down by gender composition of household on the admin o...")</f>
        <v>Percentage of households unable to obtain needed legal assistance, by type of assistance broken down by gender composition of household on the admin o...</v>
      </c>
    </row>
    <row r="1749" spans="3:7" x14ac:dyDescent="0.35">
      <c r="C1749" t="s">
        <v>129</v>
      </c>
      <c r="D1749" t="s">
        <v>208</v>
      </c>
      <c r="E1749" t="s">
        <v>216</v>
      </c>
      <c r="F1749" s="36">
        <v>2313</v>
      </c>
      <c r="G1749" s="16" t="str">
        <f>HYPERLINK("#'Data'!A12665", "Percentage of households unable to obtain needed social and administrative services, by type of services broken down by gender composition of househol...")</f>
        <v>Percentage of households unable to obtain needed social and administrative services, by type of services broken down by gender composition of househol...</v>
      </c>
    </row>
    <row r="1750" spans="3:7" x14ac:dyDescent="0.35">
      <c r="C1750" t="s">
        <v>129</v>
      </c>
      <c r="D1750" t="s">
        <v>209</v>
      </c>
      <c r="E1750" t="s">
        <v>216</v>
      </c>
      <c r="F1750" s="36">
        <v>2314</v>
      </c>
      <c r="G1750" s="16" t="str">
        <f>HYPERLINK("#'Data'!A12672", "Percentage of households reporting services for women/girls are needed but not available in the area, by type of services broken down by gender compos...")</f>
        <v>Percentage of households reporting services for women/girls are needed but not available in the area, by type of services broken down by gender compos...</v>
      </c>
    </row>
    <row r="1751" spans="3:7" x14ac:dyDescent="0.35">
      <c r="C1751" t="s">
        <v>129</v>
      </c>
      <c r="D1751" t="s">
        <v>210</v>
      </c>
      <c r="E1751" t="s">
        <v>216</v>
      </c>
      <c r="F1751" s="36">
        <v>2315</v>
      </c>
      <c r="G1751" s="16" t="str">
        <f>HYPERLINK("#'Data'!A12679", "Percentage of household reporting services for children are needed but not available in the area, by type of service broken down by gender composition...")</f>
        <v>Percentage of household reporting services for children are needed but not available in the area, by type of service broken down by gender composition...</v>
      </c>
    </row>
    <row r="1752" spans="3:7" x14ac:dyDescent="0.35">
      <c r="C1752" t="s">
        <v>129</v>
      </c>
      <c r="D1752" t="s">
        <v>211</v>
      </c>
      <c r="E1752" t="s">
        <v>216</v>
      </c>
      <c r="F1752" s="36">
        <v>2316</v>
      </c>
      <c r="G1752" s="16" t="str">
        <f>HYPERLINK("#'Data'!A12686", "Percentage of households whose ability to work/access resources was affected by threats in the past 3 months broken down by gender composition of hous...")</f>
        <v>Percentage of households whose ability to work/access resources was affected by threats in the past 3 months broken down by gender composition of hous...</v>
      </c>
    </row>
    <row r="1753" spans="3:7" x14ac:dyDescent="0.35">
      <c r="C1753" t="s">
        <v>129</v>
      </c>
      <c r="D1753" t="s">
        <v>212</v>
      </c>
      <c r="E1753" t="s">
        <v>216</v>
      </c>
      <c r="F1753" s="36">
        <v>2317</v>
      </c>
      <c r="G1753" s="16" t="str">
        <f>HYPERLINK("#'Data'!A12693", "Percentage of households whose social interactions/participation were limited by threats in the past 3 months broken down by gender composition of hou...")</f>
        <v>Percentage of households whose social interactions/participation were limited by threats in the past 3 months broken down by gender composition of hou...</v>
      </c>
    </row>
    <row r="1754" spans="3:7" x14ac:dyDescent="0.35">
      <c r="C1754" t="s">
        <v>129</v>
      </c>
      <c r="D1754" t="s">
        <v>213</v>
      </c>
      <c r="E1754" t="s">
        <v>216</v>
      </c>
      <c r="F1754" s="36">
        <v>2318</v>
      </c>
      <c r="G1754" s="16" t="str">
        <f>HYPERLINK("#'Data'!A12700", "Percentage of households whose movement/access to public spaces changed due to threats in the past 3 months broken down by gender composition of house...")</f>
        <v>Percentage of households whose movement/access to public spaces changed due to threats in the past 3 months broken down by gender composition of house...</v>
      </c>
    </row>
    <row r="1755" spans="3:7" x14ac:dyDescent="0.35">
      <c r="C1755" t="s">
        <v>129</v>
      </c>
      <c r="D1755" t="s">
        <v>214</v>
      </c>
      <c r="E1755" t="s">
        <v>216</v>
      </c>
      <c r="F1755" s="36">
        <v>2319</v>
      </c>
      <c r="G1755" s="16" t="str">
        <f>HYPERLINK("#'Data'!A12707", "Percentage of households with children (&lt;18 y.o.) currently not living in the household broken down by gender composition of household on the admin of...")</f>
        <v>Percentage of households with children (&lt;18 y.o.) currently not living in the household broken down by gender composition of household on the admin of...</v>
      </c>
    </row>
    <row r="1756" spans="3:7" x14ac:dyDescent="0.35">
      <c r="C1756" t="s">
        <v>129</v>
      </c>
      <c r="D1756" t="s">
        <v>215</v>
      </c>
      <c r="E1756" t="s">
        <v>216</v>
      </c>
      <c r="F1756" s="36">
        <v>2320</v>
      </c>
      <c r="G1756" s="16" t="str">
        <f>HYPERLINK("#'Data'!A12714", "Percentage of households with children (&lt;18 y.o.) currently not living in the household, by reasons broken down by gender composition of household on ...")</f>
        <v>Percentage of households with children (&lt;18 y.o.) currently not living in the household, by reasons broken down by gender composition of household on ...</v>
      </c>
    </row>
    <row r="1757" spans="3:7" x14ac:dyDescent="0.35">
      <c r="C1757" t="s">
        <v>99</v>
      </c>
      <c r="D1757" t="s">
        <v>109</v>
      </c>
      <c r="E1757" t="s">
        <v>216</v>
      </c>
      <c r="F1757" s="36">
        <v>2321</v>
      </c>
      <c r="G1757" s="16" t="str">
        <f>HYPERLINK("#'Data'!A12721", "Percentage of households who were evacuated in the past 6 months broken down by gender composition of household on the admin of overall perc")</f>
        <v>Percentage of households who were evacuated in the past 6 months broken down by gender composition of household on the admin of overall perc</v>
      </c>
    </row>
    <row r="1758" spans="3:7" x14ac:dyDescent="0.35">
      <c r="C1758" t="s">
        <v>99</v>
      </c>
      <c r="D1758" t="s">
        <v>108</v>
      </c>
      <c r="E1758" t="s">
        <v>216</v>
      </c>
      <c r="F1758" s="36">
        <v>2322</v>
      </c>
      <c r="G1758" s="16" t="str">
        <f>HYPERLINK("#'Data'!A12728", "Percentage of returnee households by reasons for return to their habitual place of residence broken down by gender composition of household on the adm...")</f>
        <v>Percentage of returnee households by reasons for return to their habitual place of residence broken down by gender composition of household on the adm...</v>
      </c>
    </row>
    <row r="1759" spans="3:7" x14ac:dyDescent="0.35">
      <c r="C1759" t="s">
        <v>34</v>
      </c>
      <c r="D1759" t="s">
        <v>217</v>
      </c>
      <c r="E1759" t="s">
        <v>36</v>
      </c>
      <c r="F1759" s="36">
        <v>2323</v>
      </c>
      <c r="G1759" s="16" t="str">
        <f>HYPERLINK("#'Data'!A12735", "Households by gender composition on the admin of overall perc")</f>
        <v>Households by gender composition on the admin of overall perc</v>
      </c>
    </row>
  </sheetData>
  <mergeCells count="3">
    <mergeCell ref="B1:G1"/>
    <mergeCell ref="D4:E4"/>
    <mergeCell ref="D5:E5"/>
  </mergeCells>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Z12738"/>
  <sheetViews>
    <sheetView topLeftCell="A11263" workbookViewId="0">
      <selection activeCell="A11287" sqref="A11287"/>
    </sheetView>
  </sheetViews>
  <sheetFormatPr defaultRowHeight="14.5" x14ac:dyDescent="0.35"/>
  <cols>
    <col min="1" max="26" width="30.7265625" customWidth="1"/>
    <col min="27" max="27" width="45" bestFit="1" customWidth="1"/>
    <col min="28" max="29" width="43.26953125" bestFit="1" customWidth="1"/>
    <col min="30" max="30" width="40.26953125" bestFit="1" customWidth="1"/>
    <col min="31" max="31" width="49.26953125" bestFit="1" customWidth="1"/>
    <col min="32" max="32" width="76.81640625" bestFit="1" customWidth="1"/>
    <col min="33" max="34" width="78.54296875" bestFit="1" customWidth="1"/>
    <col min="35" max="35" width="75.54296875" bestFit="1" customWidth="1"/>
    <col min="36" max="37" width="84.54296875" bestFit="1" customWidth="1"/>
    <col min="38" max="39" width="16.1796875" bestFit="1" customWidth="1"/>
    <col min="40" max="40" width="13.1796875" bestFit="1" customWidth="1"/>
    <col min="41" max="42" width="22.1796875" bestFit="1" customWidth="1"/>
    <col min="43" max="44" width="21.7265625" bestFit="1" customWidth="1"/>
    <col min="45" max="45" width="18.7265625" bestFit="1" customWidth="1"/>
    <col min="46" max="47" width="27.7265625" bestFit="1" customWidth="1"/>
    <col min="48" max="49" width="29.453125" bestFit="1" customWidth="1"/>
    <col min="50" max="50" width="26.453125" bestFit="1" customWidth="1"/>
    <col min="51" max="51" width="35.453125" bestFit="1" customWidth="1"/>
    <col min="52" max="52" width="52.1796875" bestFit="1" customWidth="1"/>
    <col min="53" max="54" width="53.81640625" bestFit="1" customWidth="1"/>
    <col min="55" max="55" width="50.81640625" bestFit="1" customWidth="1"/>
    <col min="56" max="56" width="59.81640625" bestFit="1" customWidth="1"/>
    <col min="57" max="57" width="65.26953125" bestFit="1" customWidth="1"/>
    <col min="58" max="59" width="67" bestFit="1" customWidth="1"/>
    <col min="60" max="60" width="64" bestFit="1" customWidth="1"/>
    <col min="61" max="61" width="73" bestFit="1" customWidth="1"/>
    <col min="62" max="62" width="93.1796875" bestFit="1" customWidth="1"/>
    <col min="63" max="64" width="94.81640625" bestFit="1" customWidth="1"/>
    <col min="65" max="65" width="91.81640625" bestFit="1" customWidth="1"/>
    <col min="66" max="67" width="100.81640625" bestFit="1" customWidth="1"/>
    <col min="68" max="69" width="39.54296875" bestFit="1" customWidth="1"/>
    <col min="70" max="70" width="36.54296875" bestFit="1" customWidth="1"/>
    <col min="71" max="72" width="45.54296875" bestFit="1" customWidth="1"/>
    <col min="73" max="74" width="37.453125" bestFit="1" customWidth="1"/>
    <col min="75" max="75" width="34.453125" bestFit="1" customWidth="1"/>
    <col min="76" max="77" width="43.453125" bestFit="1" customWidth="1"/>
    <col min="78" max="78" width="18.453125" bestFit="1" customWidth="1"/>
  </cols>
  <sheetData>
    <row r="2" spans="1:8" x14ac:dyDescent="0.35">
      <c r="A2" s="1" t="s">
        <v>218</v>
      </c>
    </row>
    <row r="3" spans="1:8" x14ac:dyDescent="0.35">
      <c r="A3" t="s">
        <v>219</v>
      </c>
      <c r="B3" t="s">
        <v>220</v>
      </c>
      <c r="C3" t="s">
        <v>221</v>
      </c>
      <c r="D3" t="s">
        <v>222</v>
      </c>
      <c r="E3" t="s">
        <v>223</v>
      </c>
      <c r="F3" t="s">
        <v>224</v>
      </c>
      <c r="G3" t="s">
        <v>225</v>
      </c>
      <c r="H3" t="s">
        <v>226</v>
      </c>
    </row>
    <row r="4" spans="1:8" x14ac:dyDescent="0.35">
      <c r="A4" t="s">
        <v>227</v>
      </c>
      <c r="B4" s="2">
        <v>0.28610000000000002</v>
      </c>
      <c r="C4" s="2">
        <v>0.22489999999999999</v>
      </c>
      <c r="D4" s="2">
        <v>0.20250000000000001</v>
      </c>
      <c r="E4" s="2">
        <v>0.14680000000000001</v>
      </c>
      <c r="F4" s="2">
        <v>9.9900000000000003E-2</v>
      </c>
      <c r="G4" s="2">
        <v>3.9800000000000002E-2</v>
      </c>
      <c r="H4">
        <v>6397</v>
      </c>
    </row>
    <row r="5" spans="1:8" x14ac:dyDescent="0.35">
      <c r="A5" t="s">
        <v>228</v>
      </c>
      <c r="B5" s="2">
        <v>0.28610000000000002</v>
      </c>
      <c r="C5" s="2">
        <v>0.22489999999999999</v>
      </c>
      <c r="D5" s="2">
        <v>0.20250000000000001</v>
      </c>
      <c r="E5" s="2">
        <v>0.14680000000000001</v>
      </c>
      <c r="F5" s="2">
        <v>9.9900000000000003E-2</v>
      </c>
      <c r="G5" s="2">
        <v>3.9800000000000002E-2</v>
      </c>
      <c r="H5">
        <v>6397</v>
      </c>
    </row>
    <row r="7" spans="1:8" x14ac:dyDescent="0.35">
      <c r="A7" s="1" t="s">
        <v>229</v>
      </c>
    </row>
    <row r="8" spans="1:8" x14ac:dyDescent="0.35">
      <c r="A8" t="s">
        <v>219</v>
      </c>
      <c r="B8" t="s">
        <v>230</v>
      </c>
      <c r="C8" t="s">
        <v>231</v>
      </c>
      <c r="D8" t="s">
        <v>232</v>
      </c>
      <c r="E8" t="s">
        <v>226</v>
      </c>
    </row>
    <row r="9" spans="1:8" x14ac:dyDescent="0.35">
      <c r="A9" t="s">
        <v>227</v>
      </c>
      <c r="B9" s="2">
        <v>0.56710000000000005</v>
      </c>
      <c r="C9" s="2">
        <v>0.42949999999999999</v>
      </c>
      <c r="D9" s="2">
        <v>3.3999999999999998E-3</v>
      </c>
      <c r="E9">
        <v>6397</v>
      </c>
    </row>
    <row r="10" spans="1:8" x14ac:dyDescent="0.35">
      <c r="A10" t="s">
        <v>228</v>
      </c>
      <c r="B10" s="2">
        <v>0.56710000000000005</v>
      </c>
      <c r="C10" s="2">
        <v>0.42949999999999999</v>
      </c>
      <c r="D10" s="2">
        <v>3.3999999999999998E-3</v>
      </c>
      <c r="E10">
        <v>6397</v>
      </c>
    </row>
    <row r="12" spans="1:8" x14ac:dyDescent="0.35">
      <c r="A12" s="1" t="s">
        <v>233</v>
      </c>
    </row>
    <row r="13" spans="1:8" x14ac:dyDescent="0.35">
      <c r="A13" t="s">
        <v>219</v>
      </c>
      <c r="B13" t="s">
        <v>234</v>
      </c>
      <c r="C13" t="s">
        <v>235</v>
      </c>
      <c r="D13" t="s">
        <v>226</v>
      </c>
    </row>
    <row r="14" spans="1:8" x14ac:dyDescent="0.35">
      <c r="A14" t="s">
        <v>227</v>
      </c>
      <c r="B14" s="2">
        <v>0.70499999999999996</v>
      </c>
      <c r="C14" s="2">
        <v>0.29499999999999998</v>
      </c>
      <c r="D14">
        <v>2813</v>
      </c>
    </row>
    <row r="15" spans="1:8" x14ac:dyDescent="0.35">
      <c r="A15" t="s">
        <v>228</v>
      </c>
      <c r="B15" s="2">
        <v>0.70499999999999996</v>
      </c>
      <c r="C15" s="2">
        <v>0.29499999999999998</v>
      </c>
      <c r="D15">
        <v>2813</v>
      </c>
    </row>
    <row r="17" spans="1:5" x14ac:dyDescent="0.35">
      <c r="A17" s="1" t="s">
        <v>236</v>
      </c>
    </row>
    <row r="18" spans="1:5" x14ac:dyDescent="0.35">
      <c r="A18" t="s">
        <v>219</v>
      </c>
      <c r="B18" t="s">
        <v>237</v>
      </c>
      <c r="C18" t="s">
        <v>238</v>
      </c>
      <c r="D18" t="s">
        <v>226</v>
      </c>
    </row>
    <row r="19" spans="1:5" x14ac:dyDescent="0.35">
      <c r="A19" t="s">
        <v>227</v>
      </c>
      <c r="B19" s="2">
        <v>0.63180000000000003</v>
      </c>
      <c r="C19" s="2">
        <v>0.36820000000000003</v>
      </c>
      <c r="D19">
        <v>2813</v>
      </c>
    </row>
    <row r="20" spans="1:5" x14ac:dyDescent="0.35">
      <c r="A20" t="s">
        <v>228</v>
      </c>
      <c r="B20" s="2">
        <v>0.63180000000000003</v>
      </c>
      <c r="C20" s="2">
        <v>0.36820000000000003</v>
      </c>
      <c r="D20">
        <v>2813</v>
      </c>
    </row>
    <row r="22" spans="1:5" x14ac:dyDescent="0.35">
      <c r="A22" s="1" t="s">
        <v>239</v>
      </c>
    </row>
    <row r="23" spans="1:5" x14ac:dyDescent="0.35">
      <c r="A23" t="s">
        <v>219</v>
      </c>
      <c r="B23" t="s">
        <v>240</v>
      </c>
      <c r="C23" t="s">
        <v>241</v>
      </c>
      <c r="D23" t="s">
        <v>242</v>
      </c>
      <c r="E23" t="s">
        <v>226</v>
      </c>
    </row>
    <row r="24" spans="1:5" x14ac:dyDescent="0.35">
      <c r="A24" t="s">
        <v>227</v>
      </c>
      <c r="B24" s="2">
        <v>0.63939999999999997</v>
      </c>
      <c r="C24" s="2">
        <v>0.29449999999999998</v>
      </c>
      <c r="D24" s="2">
        <v>6.6100000000000006E-2</v>
      </c>
      <c r="E24">
        <v>2813</v>
      </c>
    </row>
    <row r="25" spans="1:5" x14ac:dyDescent="0.35">
      <c r="A25" t="s">
        <v>228</v>
      </c>
      <c r="B25" s="2">
        <v>0.63939999999999997</v>
      </c>
      <c r="C25" s="2">
        <v>0.29449999999999998</v>
      </c>
      <c r="D25" s="2">
        <v>6.6100000000000006E-2</v>
      </c>
      <c r="E25">
        <v>2813</v>
      </c>
    </row>
    <row r="27" spans="1:5" x14ac:dyDescent="0.35">
      <c r="A27" s="1" t="s">
        <v>243</v>
      </c>
    </row>
    <row r="28" spans="1:5" x14ac:dyDescent="0.35">
      <c r="A28" t="s">
        <v>219</v>
      </c>
      <c r="B28" t="s">
        <v>244</v>
      </c>
      <c r="C28" t="s">
        <v>245</v>
      </c>
      <c r="D28" t="s">
        <v>226</v>
      </c>
    </row>
    <row r="29" spans="1:5" x14ac:dyDescent="0.35">
      <c r="A29" t="s">
        <v>227</v>
      </c>
      <c r="B29" s="2">
        <v>0.71630000000000005</v>
      </c>
      <c r="C29" s="2">
        <v>0.28370000000000001</v>
      </c>
      <c r="D29">
        <v>2813</v>
      </c>
    </row>
    <row r="30" spans="1:5" x14ac:dyDescent="0.35">
      <c r="A30" t="s">
        <v>228</v>
      </c>
      <c r="B30" s="2">
        <v>0.71630000000000005</v>
      </c>
      <c r="C30" s="2">
        <v>0.28370000000000001</v>
      </c>
      <c r="D30">
        <v>2813</v>
      </c>
    </row>
    <row r="32" spans="1:5" x14ac:dyDescent="0.35">
      <c r="A32" s="1" t="s">
        <v>246</v>
      </c>
    </row>
    <row r="33" spans="1:7" x14ac:dyDescent="0.35">
      <c r="A33" t="s">
        <v>219</v>
      </c>
      <c r="B33" t="s">
        <v>247</v>
      </c>
      <c r="C33" t="s">
        <v>248</v>
      </c>
      <c r="D33" t="s">
        <v>249</v>
      </c>
      <c r="E33" t="s">
        <v>226</v>
      </c>
    </row>
    <row r="34" spans="1:7" x14ac:dyDescent="0.35">
      <c r="A34" t="s">
        <v>227</v>
      </c>
      <c r="B34" s="2">
        <v>0.53169999999999995</v>
      </c>
      <c r="C34" s="2">
        <v>0.27460000000000001</v>
      </c>
      <c r="D34" s="2">
        <v>0.19370000000000001</v>
      </c>
      <c r="E34">
        <v>2813</v>
      </c>
    </row>
    <row r="35" spans="1:7" x14ac:dyDescent="0.35">
      <c r="A35" t="s">
        <v>228</v>
      </c>
      <c r="B35" s="2">
        <v>0.53169999999999995</v>
      </c>
      <c r="C35" s="2">
        <v>0.27460000000000001</v>
      </c>
      <c r="D35" s="2">
        <v>0.19370000000000001</v>
      </c>
      <c r="E35">
        <v>2813</v>
      </c>
    </row>
    <row r="37" spans="1:7" x14ac:dyDescent="0.35">
      <c r="A37" s="1" t="s">
        <v>250</v>
      </c>
    </row>
    <row r="38" spans="1:7" x14ac:dyDescent="0.35">
      <c r="A38" t="s">
        <v>219</v>
      </c>
      <c r="B38" t="s">
        <v>251</v>
      </c>
      <c r="C38" t="s">
        <v>252</v>
      </c>
      <c r="D38" t="s">
        <v>253</v>
      </c>
      <c r="E38" t="s">
        <v>254</v>
      </c>
      <c r="F38" t="s">
        <v>226</v>
      </c>
    </row>
    <row r="39" spans="1:7" x14ac:dyDescent="0.35">
      <c r="A39" t="s">
        <v>227</v>
      </c>
      <c r="B39" s="2">
        <v>0.71630000000000005</v>
      </c>
      <c r="C39" s="2">
        <v>0.22939999999999999</v>
      </c>
      <c r="D39" s="2">
        <v>5.2400000000000002E-2</v>
      </c>
      <c r="E39" s="2">
        <v>1.8E-3</v>
      </c>
      <c r="F39">
        <v>2813</v>
      </c>
    </row>
    <row r="40" spans="1:7" x14ac:dyDescent="0.35">
      <c r="A40" t="s">
        <v>228</v>
      </c>
      <c r="B40" s="2">
        <v>0.71630000000000005</v>
      </c>
      <c r="C40" s="2">
        <v>0.22939999999999999</v>
      </c>
      <c r="D40" s="2">
        <v>5.2400000000000002E-2</v>
      </c>
      <c r="E40" s="2">
        <v>1.8E-3</v>
      </c>
      <c r="F40">
        <v>2813</v>
      </c>
    </row>
    <row r="42" spans="1:7" x14ac:dyDescent="0.35">
      <c r="A42" s="1" t="s">
        <v>255</v>
      </c>
    </row>
    <row r="43" spans="1:7" x14ac:dyDescent="0.35">
      <c r="A43" t="s">
        <v>219</v>
      </c>
      <c r="B43" t="s">
        <v>256</v>
      </c>
      <c r="C43" t="s">
        <v>257</v>
      </c>
      <c r="D43" t="s">
        <v>258</v>
      </c>
      <c r="E43" t="s">
        <v>259</v>
      </c>
      <c r="F43" t="s">
        <v>232</v>
      </c>
      <c r="G43" t="s">
        <v>226</v>
      </c>
    </row>
    <row r="44" spans="1:7" x14ac:dyDescent="0.35">
      <c r="A44" t="s">
        <v>227</v>
      </c>
      <c r="B44" s="2">
        <v>0.66490000000000005</v>
      </c>
      <c r="C44" s="2">
        <v>0.16900000000000001</v>
      </c>
      <c r="D44" s="2">
        <v>0.14729999999999999</v>
      </c>
      <c r="E44" s="2">
        <v>1.6799999999999999E-2</v>
      </c>
      <c r="F44" s="2">
        <v>2E-3</v>
      </c>
      <c r="G44">
        <v>2813</v>
      </c>
    </row>
    <row r="45" spans="1:7" x14ac:dyDescent="0.35">
      <c r="A45" t="s">
        <v>228</v>
      </c>
      <c r="B45" s="2">
        <v>0.66490000000000005</v>
      </c>
      <c r="C45" s="2">
        <v>0.16900000000000001</v>
      </c>
      <c r="D45" s="2">
        <v>0.14729999999999999</v>
      </c>
      <c r="E45" s="2">
        <v>1.6799999999999999E-2</v>
      </c>
      <c r="F45" s="2">
        <v>2E-3</v>
      </c>
      <c r="G45">
        <v>2813</v>
      </c>
    </row>
    <row r="47" spans="1:7" x14ac:dyDescent="0.35">
      <c r="A47" s="1" t="s">
        <v>260</v>
      </c>
    </row>
    <row r="48" spans="1:7" x14ac:dyDescent="0.35">
      <c r="A48" t="s">
        <v>219</v>
      </c>
      <c r="B48" t="s">
        <v>261</v>
      </c>
      <c r="C48" t="s">
        <v>262</v>
      </c>
      <c r="D48" t="s">
        <v>263</v>
      </c>
      <c r="E48" t="s">
        <v>232</v>
      </c>
      <c r="F48" t="s">
        <v>226</v>
      </c>
    </row>
    <row r="49" spans="1:17" x14ac:dyDescent="0.35">
      <c r="A49" t="s">
        <v>227</v>
      </c>
      <c r="B49" s="2">
        <v>0.42409999999999998</v>
      </c>
      <c r="C49" s="2">
        <v>0.3669</v>
      </c>
      <c r="D49" s="2">
        <v>0.2077</v>
      </c>
      <c r="E49" s="2">
        <v>1.2999999999999999E-3</v>
      </c>
      <c r="F49">
        <v>2813</v>
      </c>
    </row>
    <row r="50" spans="1:17" x14ac:dyDescent="0.35">
      <c r="A50" t="s">
        <v>228</v>
      </c>
      <c r="B50" s="2">
        <v>0.42409999999999998</v>
      </c>
      <c r="C50" s="2">
        <v>0.3669</v>
      </c>
      <c r="D50" s="2">
        <v>0.2077</v>
      </c>
      <c r="E50" s="2">
        <v>1.2999999999999999E-3</v>
      </c>
      <c r="F50">
        <v>2813</v>
      </c>
    </row>
    <row r="52" spans="1:17" x14ac:dyDescent="0.35">
      <c r="A52" s="1" t="s">
        <v>264</v>
      </c>
    </row>
    <row r="53" spans="1:17" x14ac:dyDescent="0.35">
      <c r="A53" t="s">
        <v>219</v>
      </c>
      <c r="B53" t="s">
        <v>265</v>
      </c>
      <c r="C53" t="s">
        <v>266</v>
      </c>
      <c r="D53" t="s">
        <v>267</v>
      </c>
      <c r="E53" t="s">
        <v>268</v>
      </c>
      <c r="F53" t="s">
        <v>269</v>
      </c>
      <c r="G53" t="s">
        <v>270</v>
      </c>
      <c r="H53" t="s">
        <v>226</v>
      </c>
    </row>
    <row r="54" spans="1:17" x14ac:dyDescent="0.35">
      <c r="A54" t="s">
        <v>227</v>
      </c>
      <c r="B54" s="2">
        <v>0.62380000000000002</v>
      </c>
      <c r="C54" s="2">
        <v>0.14460000000000001</v>
      </c>
      <c r="D54" s="2">
        <v>0.1351</v>
      </c>
      <c r="E54" s="2">
        <v>9.4700000000000006E-2</v>
      </c>
      <c r="F54" s="2">
        <v>1.1000000000000001E-3</v>
      </c>
      <c r="G54" s="2">
        <v>6.9999999999999999E-4</v>
      </c>
      <c r="H54">
        <v>3875</v>
      </c>
    </row>
    <row r="55" spans="1:17" x14ac:dyDescent="0.35">
      <c r="A55" t="s">
        <v>228</v>
      </c>
      <c r="B55" s="2">
        <v>0.62380000000000002</v>
      </c>
      <c r="C55" s="2">
        <v>0.14460000000000001</v>
      </c>
      <c r="D55" s="2">
        <v>0.1351</v>
      </c>
      <c r="E55" s="2">
        <v>9.4700000000000006E-2</v>
      </c>
      <c r="F55" s="2">
        <v>1.1000000000000001E-3</v>
      </c>
      <c r="G55" s="2">
        <v>6.9999999999999999E-4</v>
      </c>
      <c r="H55">
        <v>3875</v>
      </c>
    </row>
    <row r="57" spans="1:17" x14ac:dyDescent="0.35">
      <c r="A57" s="1" t="s">
        <v>271</v>
      </c>
    </row>
    <row r="58" spans="1:17" x14ac:dyDescent="0.35">
      <c r="A58" t="s">
        <v>219</v>
      </c>
      <c r="B58" t="s">
        <v>272</v>
      </c>
      <c r="C58" t="s">
        <v>273</v>
      </c>
      <c r="D58" t="s">
        <v>274</v>
      </c>
      <c r="E58" t="s">
        <v>275</v>
      </c>
      <c r="F58" t="s">
        <v>276</v>
      </c>
      <c r="G58" t="s">
        <v>277</v>
      </c>
      <c r="H58" t="s">
        <v>278</v>
      </c>
      <c r="I58" t="s">
        <v>279</v>
      </c>
      <c r="J58" t="s">
        <v>280</v>
      </c>
      <c r="K58" t="s">
        <v>281</v>
      </c>
      <c r="L58" t="s">
        <v>282</v>
      </c>
      <c r="M58" t="s">
        <v>226</v>
      </c>
    </row>
    <row r="59" spans="1:17" x14ac:dyDescent="0.35">
      <c r="A59" t="s">
        <v>227</v>
      </c>
      <c r="B59" s="2">
        <v>0.36659999999999998</v>
      </c>
      <c r="C59" s="2">
        <v>0.33689999999999998</v>
      </c>
      <c r="D59" s="2">
        <v>0.15959999999999999</v>
      </c>
      <c r="E59" s="2">
        <v>9.4299999999999995E-2</v>
      </c>
      <c r="F59" s="2">
        <v>1.6299999999999999E-2</v>
      </c>
      <c r="G59" s="2">
        <v>9.1000000000000004E-3</v>
      </c>
      <c r="H59" s="2">
        <v>8.8999999999999999E-3</v>
      </c>
      <c r="I59" s="2">
        <v>5.4999999999999997E-3</v>
      </c>
      <c r="J59" s="2">
        <v>1.2999999999999999E-3</v>
      </c>
      <c r="K59" s="2">
        <v>1.1999999999999999E-3</v>
      </c>
      <c r="L59" s="2">
        <v>4.0000000000000002E-4</v>
      </c>
      <c r="M59">
        <v>3875</v>
      </c>
    </row>
    <row r="60" spans="1:17" x14ac:dyDescent="0.35">
      <c r="A60" t="s">
        <v>228</v>
      </c>
      <c r="B60" s="2">
        <v>0.36659999999999998</v>
      </c>
      <c r="C60" s="2">
        <v>0.33689999999999998</v>
      </c>
      <c r="D60" s="2">
        <v>0.15959999999999999</v>
      </c>
      <c r="E60" s="2">
        <v>9.4299999999999995E-2</v>
      </c>
      <c r="F60" s="2">
        <v>1.6299999999999999E-2</v>
      </c>
      <c r="G60" s="2">
        <v>9.1000000000000004E-3</v>
      </c>
      <c r="H60" s="2">
        <v>8.8999999999999999E-3</v>
      </c>
      <c r="I60" s="2">
        <v>5.4999999999999997E-3</v>
      </c>
      <c r="J60" s="2">
        <v>1.2999999999999999E-3</v>
      </c>
      <c r="K60" s="2">
        <v>1.1999999999999999E-3</v>
      </c>
      <c r="L60" s="2">
        <v>4.0000000000000002E-4</v>
      </c>
      <c r="M60">
        <v>3875</v>
      </c>
    </row>
    <row r="62" spans="1:17" x14ac:dyDescent="0.35">
      <c r="A62" s="1" t="s">
        <v>283</v>
      </c>
    </row>
    <row r="63" spans="1:17" x14ac:dyDescent="0.35">
      <c r="A63" t="s">
        <v>219</v>
      </c>
      <c r="B63" t="s">
        <v>284</v>
      </c>
      <c r="C63" t="s">
        <v>285</v>
      </c>
      <c r="D63" t="s">
        <v>286</v>
      </c>
      <c r="E63" t="s">
        <v>287</v>
      </c>
      <c r="F63" t="s">
        <v>288</v>
      </c>
      <c r="G63" t="s">
        <v>289</v>
      </c>
      <c r="H63" t="s">
        <v>290</v>
      </c>
      <c r="I63" t="s">
        <v>291</v>
      </c>
      <c r="J63" t="s">
        <v>292</v>
      </c>
      <c r="K63" t="s">
        <v>293</v>
      </c>
      <c r="L63" t="s">
        <v>294</v>
      </c>
      <c r="M63" t="s">
        <v>295</v>
      </c>
      <c r="N63" t="s">
        <v>296</v>
      </c>
      <c r="O63" t="s">
        <v>277</v>
      </c>
      <c r="P63" t="s">
        <v>282</v>
      </c>
      <c r="Q63" t="s">
        <v>226</v>
      </c>
    </row>
    <row r="64" spans="1:17" x14ac:dyDescent="0.35">
      <c r="A64" t="s">
        <v>227</v>
      </c>
      <c r="B64" s="2">
        <v>0.34889999999999999</v>
      </c>
      <c r="C64" s="2">
        <v>0.26960000000000001</v>
      </c>
      <c r="D64" s="2">
        <v>8.0500000000000002E-2</v>
      </c>
      <c r="E64" s="2">
        <v>6.6400000000000001E-2</v>
      </c>
      <c r="F64" s="2">
        <v>4.2799999999999998E-2</v>
      </c>
      <c r="G64" s="2">
        <v>3.6700000000000003E-2</v>
      </c>
      <c r="H64" s="2">
        <v>3.6400000000000002E-2</v>
      </c>
      <c r="I64" s="2">
        <v>3.1399999999999997E-2</v>
      </c>
      <c r="J64" s="2">
        <v>3.0099999999999998E-2</v>
      </c>
      <c r="K64" s="2">
        <v>2.1100000000000001E-2</v>
      </c>
      <c r="L64" s="2">
        <v>1.6400000000000001E-2</v>
      </c>
      <c r="M64" s="2">
        <v>1.6299999999999999E-2</v>
      </c>
      <c r="N64" s="2">
        <v>2.8E-3</v>
      </c>
      <c r="O64" s="2">
        <v>5.0000000000000001E-4</v>
      </c>
      <c r="P64" s="2">
        <v>1E-4</v>
      </c>
      <c r="Q64">
        <v>5378</v>
      </c>
    </row>
    <row r="65" spans="1:17" x14ac:dyDescent="0.35">
      <c r="A65" t="s">
        <v>228</v>
      </c>
      <c r="B65" s="2">
        <v>0.34889999999999999</v>
      </c>
      <c r="C65" s="2">
        <v>0.26960000000000001</v>
      </c>
      <c r="D65" s="2">
        <v>8.0500000000000002E-2</v>
      </c>
      <c r="E65" s="2">
        <v>6.6400000000000001E-2</v>
      </c>
      <c r="F65" s="2">
        <v>4.2799999999999998E-2</v>
      </c>
      <c r="G65" s="2">
        <v>3.6700000000000003E-2</v>
      </c>
      <c r="H65" s="2">
        <v>3.6400000000000002E-2</v>
      </c>
      <c r="I65" s="2">
        <v>3.1399999999999997E-2</v>
      </c>
      <c r="J65" s="2">
        <v>3.0099999999999998E-2</v>
      </c>
      <c r="K65" s="2">
        <v>2.1100000000000001E-2</v>
      </c>
      <c r="L65" s="2">
        <v>1.6400000000000001E-2</v>
      </c>
      <c r="M65" s="2">
        <v>1.6299999999999999E-2</v>
      </c>
      <c r="N65" s="2">
        <v>2.8E-3</v>
      </c>
      <c r="O65" s="2">
        <v>5.0000000000000001E-4</v>
      </c>
      <c r="P65" s="2">
        <v>1E-4</v>
      </c>
      <c r="Q65">
        <v>5378</v>
      </c>
    </row>
    <row r="67" spans="1:17" x14ac:dyDescent="0.35">
      <c r="A67" s="1" t="s">
        <v>297</v>
      </c>
    </row>
    <row r="68" spans="1:17" x14ac:dyDescent="0.35">
      <c r="A68" t="s">
        <v>219</v>
      </c>
      <c r="B68" t="s">
        <v>298</v>
      </c>
      <c r="C68" t="s">
        <v>299</v>
      </c>
      <c r="D68" t="s">
        <v>277</v>
      </c>
      <c r="E68" t="s">
        <v>282</v>
      </c>
      <c r="F68" t="s">
        <v>226</v>
      </c>
    </row>
    <row r="69" spans="1:17" x14ac:dyDescent="0.35">
      <c r="A69" t="s">
        <v>227</v>
      </c>
      <c r="B69" s="2">
        <v>0.88160000000000005</v>
      </c>
      <c r="C69" s="2">
        <v>0.11749999999999999</v>
      </c>
      <c r="D69" s="2">
        <v>6.9999999999999999E-4</v>
      </c>
      <c r="E69" s="2">
        <v>1E-4</v>
      </c>
      <c r="F69">
        <v>4659</v>
      </c>
    </row>
    <row r="70" spans="1:17" x14ac:dyDescent="0.35">
      <c r="A70" t="s">
        <v>228</v>
      </c>
      <c r="B70" s="2">
        <v>0.88160000000000005</v>
      </c>
      <c r="C70" s="2">
        <v>0.11749999999999999</v>
      </c>
      <c r="D70" s="2">
        <v>6.9999999999999999E-4</v>
      </c>
      <c r="E70" s="2">
        <v>1E-4</v>
      </c>
      <c r="F70">
        <v>4659</v>
      </c>
    </row>
    <row r="72" spans="1:17" x14ac:dyDescent="0.35">
      <c r="A72" s="1" t="s">
        <v>300</v>
      </c>
    </row>
    <row r="73" spans="1:17" x14ac:dyDescent="0.35">
      <c r="A73" t="s">
        <v>219</v>
      </c>
      <c r="B73" t="s">
        <v>301</v>
      </c>
      <c r="C73" t="s">
        <v>298</v>
      </c>
      <c r="D73" t="s">
        <v>299</v>
      </c>
      <c r="E73" t="s">
        <v>277</v>
      </c>
      <c r="F73" t="s">
        <v>282</v>
      </c>
      <c r="G73" t="s">
        <v>226</v>
      </c>
    </row>
    <row r="74" spans="1:17" x14ac:dyDescent="0.35">
      <c r="A74" t="s">
        <v>227</v>
      </c>
      <c r="B74" t="s">
        <v>302</v>
      </c>
      <c r="C74" s="2">
        <v>0.90090000000000003</v>
      </c>
      <c r="D74" s="2">
        <v>9.64E-2</v>
      </c>
      <c r="E74" s="2">
        <v>2.7000000000000001E-3</v>
      </c>
      <c r="G74">
        <v>137</v>
      </c>
    </row>
    <row r="75" spans="1:17" x14ac:dyDescent="0.35">
      <c r="A75" t="s">
        <v>227</v>
      </c>
      <c r="B75" t="s">
        <v>224</v>
      </c>
      <c r="C75" s="2">
        <v>0.8085</v>
      </c>
      <c r="D75" s="2">
        <v>0.1908</v>
      </c>
      <c r="E75" s="2">
        <v>4.0000000000000002E-4</v>
      </c>
      <c r="F75" s="2">
        <v>2.9999999999999997E-4</v>
      </c>
      <c r="G75">
        <v>631</v>
      </c>
    </row>
    <row r="76" spans="1:17" x14ac:dyDescent="0.35">
      <c r="A76" t="s">
        <v>227</v>
      </c>
      <c r="B76" t="s">
        <v>303</v>
      </c>
      <c r="C76" s="2">
        <v>0.87029999999999996</v>
      </c>
      <c r="D76" s="2">
        <v>0.1278</v>
      </c>
      <c r="E76" s="2">
        <v>1.9E-3</v>
      </c>
      <c r="G76">
        <v>1290</v>
      </c>
    </row>
    <row r="77" spans="1:17" x14ac:dyDescent="0.35">
      <c r="A77" t="s">
        <v>227</v>
      </c>
      <c r="B77" t="s">
        <v>304</v>
      </c>
      <c r="C77" s="2">
        <v>0.87219999999999998</v>
      </c>
      <c r="D77" s="2">
        <v>0.1275</v>
      </c>
      <c r="E77" s="2">
        <v>2.9999999999999997E-4</v>
      </c>
      <c r="F77" s="2">
        <v>1E-4</v>
      </c>
      <c r="G77">
        <v>1261</v>
      </c>
    </row>
    <row r="78" spans="1:17" x14ac:dyDescent="0.35">
      <c r="A78" t="s">
        <v>227</v>
      </c>
      <c r="B78" t="s">
        <v>305</v>
      </c>
      <c r="C78" s="2">
        <v>0.93510000000000004</v>
      </c>
      <c r="D78" s="2">
        <v>6.4899999999999999E-2</v>
      </c>
      <c r="F78" s="2">
        <v>1E-4</v>
      </c>
      <c r="G78">
        <v>1340</v>
      </c>
    </row>
    <row r="79" spans="1:17" x14ac:dyDescent="0.35">
      <c r="A79" t="s">
        <v>228</v>
      </c>
      <c r="B79" t="s">
        <v>228</v>
      </c>
      <c r="C79" s="2">
        <v>0.88160000000000005</v>
      </c>
      <c r="D79" s="2">
        <v>0.11749999999999999</v>
      </c>
      <c r="E79" s="2">
        <v>6.9999999999999999E-4</v>
      </c>
      <c r="F79" s="2">
        <v>1E-4</v>
      </c>
      <c r="G79">
        <v>4659</v>
      </c>
    </row>
    <row r="81" spans="1:16" x14ac:dyDescent="0.35">
      <c r="A81" s="1" t="s">
        <v>306</v>
      </c>
    </row>
    <row r="82" spans="1:16" x14ac:dyDescent="0.35">
      <c r="A82" t="s">
        <v>219</v>
      </c>
      <c r="B82" t="s">
        <v>301</v>
      </c>
      <c r="C82" t="s">
        <v>298</v>
      </c>
      <c r="D82" t="s">
        <v>299</v>
      </c>
      <c r="E82" t="s">
        <v>277</v>
      </c>
      <c r="F82" t="s">
        <v>282</v>
      </c>
      <c r="G82" t="s">
        <v>226</v>
      </c>
    </row>
    <row r="83" spans="1:16" x14ac:dyDescent="0.35">
      <c r="A83" t="s">
        <v>227</v>
      </c>
      <c r="B83" t="s">
        <v>231</v>
      </c>
      <c r="C83" s="2">
        <v>0.87480000000000002</v>
      </c>
      <c r="D83" s="2">
        <v>0.1246</v>
      </c>
      <c r="E83" s="2">
        <v>4.0000000000000002E-4</v>
      </c>
      <c r="F83" s="2">
        <v>2.0000000000000001E-4</v>
      </c>
      <c r="G83">
        <v>1869</v>
      </c>
    </row>
    <row r="84" spans="1:16" x14ac:dyDescent="0.35">
      <c r="A84" s="3" t="s">
        <v>227</v>
      </c>
      <c r="B84" s="3" t="s">
        <v>232</v>
      </c>
      <c r="C84" s="4">
        <v>0.87919999999999998</v>
      </c>
      <c r="D84" s="4">
        <v>0.1208</v>
      </c>
      <c r="E84" s="5"/>
      <c r="F84" s="5"/>
      <c r="G84" s="5" t="s">
        <v>307</v>
      </c>
    </row>
    <row r="85" spans="1:16" x14ac:dyDescent="0.35">
      <c r="A85" t="s">
        <v>227</v>
      </c>
      <c r="B85" t="s">
        <v>230</v>
      </c>
      <c r="C85" s="2">
        <v>0.88670000000000004</v>
      </c>
      <c r="D85" s="2">
        <v>0.1124</v>
      </c>
      <c r="E85" s="2">
        <v>1E-3</v>
      </c>
      <c r="G85">
        <v>2779</v>
      </c>
    </row>
    <row r="86" spans="1:16" x14ac:dyDescent="0.35">
      <c r="A86" t="s">
        <v>228</v>
      </c>
      <c r="B86" t="s">
        <v>228</v>
      </c>
      <c r="C86" s="2">
        <v>0.88160000000000005</v>
      </c>
      <c r="D86" s="2">
        <v>0.11749999999999999</v>
      </c>
      <c r="E86" s="2">
        <v>6.9999999999999999E-4</v>
      </c>
      <c r="F86" s="2">
        <v>1E-4</v>
      </c>
      <c r="G86">
        <v>4659</v>
      </c>
    </row>
    <row r="88" spans="1:16" x14ac:dyDescent="0.35">
      <c r="A88" s="1" t="s">
        <v>308</v>
      </c>
    </row>
    <row r="89" spans="1:16" x14ac:dyDescent="0.35">
      <c r="A89" t="s">
        <v>219</v>
      </c>
      <c r="B89" t="s">
        <v>309</v>
      </c>
      <c r="C89" t="s">
        <v>310</v>
      </c>
      <c r="D89" t="s">
        <v>311</v>
      </c>
      <c r="E89" t="s">
        <v>312</v>
      </c>
      <c r="F89" t="s">
        <v>313</v>
      </c>
      <c r="G89" t="s">
        <v>314</v>
      </c>
      <c r="H89" t="s">
        <v>315</v>
      </c>
      <c r="I89" t="s">
        <v>316</v>
      </c>
      <c r="J89" t="s">
        <v>277</v>
      </c>
      <c r="K89" t="s">
        <v>317</v>
      </c>
      <c r="L89" t="s">
        <v>318</v>
      </c>
      <c r="M89" t="s">
        <v>319</v>
      </c>
      <c r="N89" t="s">
        <v>282</v>
      </c>
      <c r="O89" t="s">
        <v>226</v>
      </c>
    </row>
    <row r="90" spans="1:16" x14ac:dyDescent="0.35">
      <c r="A90" t="s">
        <v>227</v>
      </c>
      <c r="B90" s="2">
        <v>0.3705</v>
      </c>
      <c r="C90" s="2">
        <v>0.24859999999999999</v>
      </c>
      <c r="D90" s="2">
        <v>0.1721</v>
      </c>
      <c r="E90" s="2">
        <v>0.11609999999999999</v>
      </c>
      <c r="F90" s="2">
        <v>0.1087</v>
      </c>
      <c r="G90" s="2">
        <v>7.4499999999999997E-2</v>
      </c>
      <c r="H90" s="2">
        <v>6.5500000000000003E-2</v>
      </c>
      <c r="I90" s="2">
        <v>3.7699999999999997E-2</v>
      </c>
      <c r="J90" s="2">
        <v>3.1399999999999997E-2</v>
      </c>
      <c r="K90" s="2">
        <v>2.7900000000000001E-2</v>
      </c>
      <c r="L90" s="2">
        <v>1.8200000000000001E-2</v>
      </c>
      <c r="M90" s="2">
        <v>1.21E-2</v>
      </c>
      <c r="N90" s="2">
        <v>4.0000000000000002E-4</v>
      </c>
      <c r="O90">
        <v>545</v>
      </c>
    </row>
    <row r="91" spans="1:16" x14ac:dyDescent="0.35">
      <c r="A91" t="s">
        <v>228</v>
      </c>
      <c r="B91" s="2">
        <v>0.3705</v>
      </c>
      <c r="C91" s="2">
        <v>0.24859999999999999</v>
      </c>
      <c r="D91" s="2">
        <v>0.1721</v>
      </c>
      <c r="E91" s="2">
        <v>0.11609999999999999</v>
      </c>
      <c r="F91" s="2">
        <v>0.1087</v>
      </c>
      <c r="G91" s="2">
        <v>7.4499999999999997E-2</v>
      </c>
      <c r="H91" s="2">
        <v>6.5500000000000003E-2</v>
      </c>
      <c r="I91" s="2">
        <v>3.7699999999999997E-2</v>
      </c>
      <c r="J91" s="2">
        <v>3.1399999999999997E-2</v>
      </c>
      <c r="K91" s="2">
        <v>2.7900000000000001E-2</v>
      </c>
      <c r="L91" s="2">
        <v>1.8200000000000001E-2</v>
      </c>
      <c r="M91" s="2">
        <v>1.21E-2</v>
      </c>
      <c r="N91" s="2">
        <v>4.0000000000000002E-4</v>
      </c>
      <c r="O91">
        <v>545</v>
      </c>
    </row>
    <row r="93" spans="1:16" x14ac:dyDescent="0.35">
      <c r="A93" s="1" t="s">
        <v>320</v>
      </c>
    </row>
    <row r="94" spans="1:16" x14ac:dyDescent="0.35">
      <c r="A94" t="s">
        <v>219</v>
      </c>
      <c r="B94" t="s">
        <v>301</v>
      </c>
      <c r="C94" t="s">
        <v>309</v>
      </c>
      <c r="D94" t="s">
        <v>310</v>
      </c>
      <c r="E94" t="s">
        <v>311</v>
      </c>
      <c r="F94" t="s">
        <v>312</v>
      </c>
      <c r="G94" t="s">
        <v>313</v>
      </c>
      <c r="H94" t="s">
        <v>314</v>
      </c>
      <c r="I94" t="s">
        <v>315</v>
      </c>
      <c r="J94" t="s">
        <v>316</v>
      </c>
      <c r="K94" t="s">
        <v>277</v>
      </c>
      <c r="L94" t="s">
        <v>317</v>
      </c>
      <c r="M94" t="s">
        <v>318</v>
      </c>
      <c r="N94" t="s">
        <v>319</v>
      </c>
      <c r="O94" t="s">
        <v>282</v>
      </c>
      <c r="P94" t="s">
        <v>226</v>
      </c>
    </row>
    <row r="95" spans="1:16" x14ac:dyDescent="0.35">
      <c r="A95" s="3" t="s">
        <v>227</v>
      </c>
      <c r="B95" s="3" t="s">
        <v>302</v>
      </c>
      <c r="C95" s="5"/>
      <c r="D95" s="4">
        <v>0.14380000000000001</v>
      </c>
      <c r="E95" s="4">
        <v>0.52100000000000002</v>
      </c>
      <c r="F95" s="4">
        <v>4.9599999999999998E-2</v>
      </c>
      <c r="G95" s="4">
        <v>0.2036</v>
      </c>
      <c r="H95" s="5"/>
      <c r="I95" s="4">
        <v>0.50239999999999996</v>
      </c>
      <c r="J95" s="4">
        <v>0.14380000000000001</v>
      </c>
      <c r="K95" s="4">
        <v>3.2500000000000001E-2</v>
      </c>
      <c r="L95" s="5"/>
      <c r="M95" s="5"/>
      <c r="N95" s="5"/>
      <c r="O95" s="5"/>
      <c r="P95" s="5" t="s">
        <v>321</v>
      </c>
    </row>
    <row r="96" spans="1:16" x14ac:dyDescent="0.35">
      <c r="A96" t="s">
        <v>227</v>
      </c>
      <c r="B96" t="s">
        <v>224</v>
      </c>
      <c r="C96" s="2">
        <v>0.60109999999999997</v>
      </c>
      <c r="D96" s="2">
        <v>0.14069999999999999</v>
      </c>
      <c r="E96" s="2">
        <v>6.2899999999999998E-2</v>
      </c>
      <c r="F96" s="2">
        <v>7.2099999999999997E-2</v>
      </c>
      <c r="G96" s="2">
        <v>0.25619999999999998</v>
      </c>
      <c r="H96" s="2">
        <v>5.3199999999999997E-2</v>
      </c>
      <c r="I96" s="2">
        <v>1.7100000000000001E-2</v>
      </c>
      <c r="J96" s="2">
        <v>3.3599999999999998E-2</v>
      </c>
      <c r="K96" s="2">
        <v>2.2599999999999999E-2</v>
      </c>
      <c r="L96" s="2">
        <v>2.86E-2</v>
      </c>
      <c r="M96" s="2">
        <v>1.7500000000000002E-2</v>
      </c>
      <c r="O96" s="2">
        <v>1.6999999999999999E-3</v>
      </c>
      <c r="P96">
        <v>124</v>
      </c>
    </row>
    <row r="97" spans="1:17" x14ac:dyDescent="0.35">
      <c r="A97" t="s">
        <v>227</v>
      </c>
      <c r="B97" t="s">
        <v>303</v>
      </c>
      <c r="C97" s="2">
        <v>0.42959999999999998</v>
      </c>
      <c r="D97" s="2">
        <v>0.28889999999999999</v>
      </c>
      <c r="E97" s="2">
        <v>2.0199999999999999E-2</v>
      </c>
      <c r="F97" s="2">
        <v>0.1205</v>
      </c>
      <c r="G97" s="2">
        <v>7.3700000000000002E-2</v>
      </c>
      <c r="H97" s="2">
        <v>0.13519999999999999</v>
      </c>
      <c r="I97" s="2">
        <v>9.9099999999999994E-2</v>
      </c>
      <c r="J97" s="2">
        <v>8.0000000000000004E-4</v>
      </c>
      <c r="K97" s="2">
        <v>7.1599999999999997E-2</v>
      </c>
      <c r="L97" s="2">
        <v>4.2099999999999999E-2</v>
      </c>
      <c r="M97" s="2">
        <v>7.3000000000000001E-3</v>
      </c>
      <c r="N97" s="2">
        <v>1.95E-2</v>
      </c>
      <c r="P97">
        <v>173</v>
      </c>
    </row>
    <row r="98" spans="1:17" x14ac:dyDescent="0.35">
      <c r="A98" t="s">
        <v>227</v>
      </c>
      <c r="B98" t="s">
        <v>304</v>
      </c>
      <c r="C98" s="2">
        <v>0.29620000000000002</v>
      </c>
      <c r="D98" s="2">
        <v>0.2286</v>
      </c>
      <c r="E98" s="2">
        <v>0.21990000000000001</v>
      </c>
      <c r="F98" s="2">
        <v>0.1464</v>
      </c>
      <c r="G98" s="2">
        <v>8.43E-2</v>
      </c>
      <c r="H98" s="2">
        <v>7.0199999999999999E-2</v>
      </c>
      <c r="I98" s="2">
        <v>4.7699999999999999E-2</v>
      </c>
      <c r="J98" s="2">
        <v>8.5900000000000004E-2</v>
      </c>
      <c r="K98" s="2">
        <v>1.23E-2</v>
      </c>
      <c r="L98" s="2">
        <v>3.0099999999999998E-2</v>
      </c>
      <c r="M98" s="2">
        <v>4.1799999999999997E-2</v>
      </c>
      <c r="N98" s="2">
        <v>2.1000000000000001E-2</v>
      </c>
      <c r="P98">
        <v>178</v>
      </c>
    </row>
    <row r="99" spans="1:17" x14ac:dyDescent="0.35">
      <c r="A99" t="s">
        <v>227</v>
      </c>
      <c r="B99" t="s">
        <v>305</v>
      </c>
      <c r="C99" s="2">
        <v>0.1358</v>
      </c>
      <c r="D99" s="2">
        <v>0.37359999999999999</v>
      </c>
      <c r="E99" s="2">
        <v>0.47360000000000002</v>
      </c>
      <c r="F99" s="2">
        <v>0.1232</v>
      </c>
      <c r="G99" s="2">
        <v>2.7000000000000001E-3</v>
      </c>
      <c r="H99" s="2">
        <v>5.4999999999999997E-3</v>
      </c>
      <c r="I99" s="2">
        <v>2.5899999999999999E-2</v>
      </c>
      <c r="J99" s="2">
        <v>8.8000000000000005E-3</v>
      </c>
      <c r="P99">
        <v>57</v>
      </c>
    </row>
    <row r="100" spans="1:17" x14ac:dyDescent="0.35">
      <c r="A100" t="s">
        <v>228</v>
      </c>
      <c r="B100" t="s">
        <v>228</v>
      </c>
      <c r="C100" s="2">
        <v>0.3705</v>
      </c>
      <c r="D100" s="2">
        <v>0.24859999999999999</v>
      </c>
      <c r="E100" s="2">
        <v>0.1721</v>
      </c>
      <c r="F100" s="2">
        <v>0.11609999999999999</v>
      </c>
      <c r="G100" s="2">
        <v>0.1087</v>
      </c>
      <c r="H100" s="2">
        <v>7.4499999999999997E-2</v>
      </c>
      <c r="I100" s="2">
        <v>6.5500000000000003E-2</v>
      </c>
      <c r="J100" s="2">
        <v>3.7699999999999997E-2</v>
      </c>
      <c r="K100" s="2">
        <v>3.1399999999999997E-2</v>
      </c>
      <c r="L100" s="2">
        <v>2.7900000000000001E-2</v>
      </c>
      <c r="M100" s="2">
        <v>1.8200000000000001E-2</v>
      </c>
      <c r="N100" s="2">
        <v>1.21E-2</v>
      </c>
      <c r="O100" s="2">
        <v>4.0000000000000002E-4</v>
      </c>
      <c r="P100">
        <v>545</v>
      </c>
    </row>
    <row r="102" spans="1:17" x14ac:dyDescent="0.35">
      <c r="A102" s="1" t="s">
        <v>322</v>
      </c>
    </row>
    <row r="103" spans="1:17" x14ac:dyDescent="0.35">
      <c r="A103" t="s">
        <v>219</v>
      </c>
      <c r="B103" t="s">
        <v>301</v>
      </c>
      <c r="C103" t="s">
        <v>309</v>
      </c>
      <c r="D103" t="s">
        <v>310</v>
      </c>
      <c r="E103" t="s">
        <v>311</v>
      </c>
      <c r="F103" t="s">
        <v>312</v>
      </c>
      <c r="G103" t="s">
        <v>313</v>
      </c>
      <c r="H103" t="s">
        <v>314</v>
      </c>
      <c r="I103" t="s">
        <v>315</v>
      </c>
      <c r="J103" t="s">
        <v>316</v>
      </c>
      <c r="K103" t="s">
        <v>277</v>
      </c>
      <c r="L103" t="s">
        <v>317</v>
      </c>
      <c r="M103" t="s">
        <v>318</v>
      </c>
      <c r="N103" t="s">
        <v>319</v>
      </c>
      <c r="O103" t="s">
        <v>282</v>
      </c>
      <c r="P103" t="s">
        <v>226</v>
      </c>
    </row>
    <row r="104" spans="1:17" x14ac:dyDescent="0.35">
      <c r="A104" t="s">
        <v>227</v>
      </c>
      <c r="B104" t="s">
        <v>231</v>
      </c>
      <c r="C104" s="2">
        <v>0.32879999999999998</v>
      </c>
      <c r="D104" s="2">
        <v>0.27750000000000002</v>
      </c>
      <c r="E104" s="2">
        <v>0.2223</v>
      </c>
      <c r="F104" s="2">
        <v>0.12470000000000001</v>
      </c>
      <c r="G104" s="2">
        <v>0.12889999999999999</v>
      </c>
      <c r="H104" s="2">
        <v>5.0299999999999997E-2</v>
      </c>
      <c r="I104" s="2">
        <v>5.1799999999999999E-2</v>
      </c>
      <c r="J104" s="2">
        <v>5.3100000000000001E-2</v>
      </c>
      <c r="K104" s="2">
        <v>2.0500000000000001E-2</v>
      </c>
      <c r="L104" s="2">
        <v>4.4400000000000002E-2</v>
      </c>
      <c r="M104" s="2">
        <v>4.24E-2</v>
      </c>
      <c r="N104" s="2">
        <v>1.38E-2</v>
      </c>
      <c r="O104" s="2">
        <v>8.9999999999999998E-4</v>
      </c>
      <c r="P104">
        <v>237</v>
      </c>
    </row>
    <row r="105" spans="1:17" x14ac:dyDescent="0.35">
      <c r="A105" s="3" t="s">
        <v>227</v>
      </c>
      <c r="B105" s="3" t="s">
        <v>232</v>
      </c>
      <c r="C105" s="5"/>
      <c r="D105" s="5"/>
      <c r="E105" s="4">
        <v>1</v>
      </c>
      <c r="F105" s="5"/>
      <c r="G105" s="4">
        <v>1</v>
      </c>
      <c r="H105" s="5"/>
      <c r="I105" s="5"/>
      <c r="J105" s="5"/>
      <c r="K105" s="5"/>
      <c r="L105" s="5"/>
      <c r="M105" s="5"/>
      <c r="N105" s="5"/>
      <c r="O105" s="5"/>
      <c r="P105" s="5" t="s">
        <v>323</v>
      </c>
    </row>
    <row r="106" spans="1:17" x14ac:dyDescent="0.35">
      <c r="A106" t="s">
        <v>227</v>
      </c>
      <c r="B106" t="s">
        <v>230</v>
      </c>
      <c r="C106" s="2">
        <v>0.40539999999999998</v>
      </c>
      <c r="D106" s="2">
        <v>0.22900000000000001</v>
      </c>
      <c r="E106" s="2">
        <v>0.12670000000000001</v>
      </c>
      <c r="F106" s="2">
        <v>0.1106</v>
      </c>
      <c r="G106" s="2">
        <v>8.5500000000000007E-2</v>
      </c>
      <c r="H106" s="2">
        <v>9.3600000000000003E-2</v>
      </c>
      <c r="I106" s="2">
        <v>7.6499999999999999E-2</v>
      </c>
      <c r="J106" s="2">
        <v>2.64E-2</v>
      </c>
      <c r="K106" s="2">
        <v>0.04</v>
      </c>
      <c r="L106" s="2">
        <v>1.5699999999999999E-2</v>
      </c>
      <c r="N106" s="2">
        <v>1.0999999999999999E-2</v>
      </c>
      <c r="P106">
        <v>307</v>
      </c>
    </row>
    <row r="107" spans="1:17" x14ac:dyDescent="0.35">
      <c r="A107" t="s">
        <v>228</v>
      </c>
      <c r="B107" t="s">
        <v>228</v>
      </c>
      <c r="C107" s="2">
        <v>0.3705</v>
      </c>
      <c r="D107" s="2">
        <v>0.24859999999999999</v>
      </c>
      <c r="E107" s="2">
        <v>0.1721</v>
      </c>
      <c r="F107" s="2">
        <v>0.11609999999999999</v>
      </c>
      <c r="G107" s="2">
        <v>0.1087</v>
      </c>
      <c r="H107" s="2">
        <v>7.4499999999999997E-2</v>
      </c>
      <c r="I107" s="2">
        <v>6.5500000000000003E-2</v>
      </c>
      <c r="J107" s="2">
        <v>3.7699999999999997E-2</v>
      </c>
      <c r="K107" s="2">
        <v>3.1399999999999997E-2</v>
      </c>
      <c r="L107" s="2">
        <v>2.7900000000000001E-2</v>
      </c>
      <c r="M107" s="2">
        <v>1.8200000000000001E-2</v>
      </c>
      <c r="N107" s="2">
        <v>1.21E-2</v>
      </c>
      <c r="O107" s="2">
        <v>4.0000000000000002E-4</v>
      </c>
      <c r="P107">
        <v>545</v>
      </c>
    </row>
    <row r="109" spans="1:17" x14ac:dyDescent="0.35">
      <c r="A109" s="1" t="s">
        <v>324</v>
      </c>
    </row>
    <row r="110" spans="1:17" x14ac:dyDescent="0.35">
      <c r="A110" t="s">
        <v>219</v>
      </c>
      <c r="B110" t="s">
        <v>301</v>
      </c>
      <c r="C110" t="s">
        <v>325</v>
      </c>
      <c r="D110" t="s">
        <v>309</v>
      </c>
      <c r="E110" t="s">
        <v>310</v>
      </c>
      <c r="F110" t="s">
        <v>311</v>
      </c>
      <c r="G110" t="s">
        <v>312</v>
      </c>
      <c r="H110" t="s">
        <v>313</v>
      </c>
      <c r="I110" t="s">
        <v>314</v>
      </c>
      <c r="J110" t="s">
        <v>315</v>
      </c>
      <c r="K110" t="s">
        <v>316</v>
      </c>
      <c r="L110" t="s">
        <v>277</v>
      </c>
      <c r="M110" t="s">
        <v>317</v>
      </c>
      <c r="N110" t="s">
        <v>318</v>
      </c>
      <c r="O110" t="s">
        <v>319</v>
      </c>
      <c r="P110" t="s">
        <v>282</v>
      </c>
      <c r="Q110" t="s">
        <v>226</v>
      </c>
    </row>
    <row r="111" spans="1:17" x14ac:dyDescent="0.35">
      <c r="A111" s="3" t="s">
        <v>227</v>
      </c>
      <c r="B111" s="3" t="s">
        <v>302</v>
      </c>
      <c r="C111" s="3" t="s">
        <v>231</v>
      </c>
      <c r="D111" s="5"/>
      <c r="E111" s="4">
        <v>0.25990000000000002</v>
      </c>
      <c r="F111" s="4">
        <v>0.90259999999999996</v>
      </c>
      <c r="G111" s="5"/>
      <c r="H111" s="4">
        <v>0.29859999999999998</v>
      </c>
      <c r="I111" s="5"/>
      <c r="J111" s="4">
        <v>0.29859999999999998</v>
      </c>
      <c r="K111" s="4">
        <v>0.25990000000000002</v>
      </c>
      <c r="L111" s="4">
        <v>5.8700000000000002E-2</v>
      </c>
      <c r="M111" s="5"/>
      <c r="N111" s="5"/>
      <c r="O111" s="5"/>
      <c r="P111" s="5"/>
      <c r="Q111" s="5" t="s">
        <v>326</v>
      </c>
    </row>
    <row r="112" spans="1:17" x14ac:dyDescent="0.35">
      <c r="A112" s="3" t="s">
        <v>227</v>
      </c>
      <c r="B112" s="3" t="s">
        <v>302</v>
      </c>
      <c r="C112" s="3" t="s">
        <v>230</v>
      </c>
      <c r="D112" s="5"/>
      <c r="E112" s="5"/>
      <c r="F112" s="4">
        <v>4.7899999999999998E-2</v>
      </c>
      <c r="G112" s="4">
        <v>0.11119999999999999</v>
      </c>
      <c r="H112" s="4">
        <v>8.5800000000000001E-2</v>
      </c>
      <c r="I112" s="5"/>
      <c r="J112" s="4">
        <v>0.75509999999999999</v>
      </c>
      <c r="K112" s="5"/>
      <c r="L112" s="5"/>
      <c r="M112" s="5"/>
      <c r="N112" s="5"/>
      <c r="O112" s="5"/>
      <c r="P112" s="5"/>
      <c r="Q112" s="5" t="s">
        <v>327</v>
      </c>
    </row>
    <row r="113" spans="1:17" x14ac:dyDescent="0.35">
      <c r="A113" t="s">
        <v>227</v>
      </c>
      <c r="B113" t="s">
        <v>224</v>
      </c>
      <c r="C113" t="s">
        <v>231</v>
      </c>
      <c r="D113" s="2">
        <v>0.5887</v>
      </c>
      <c r="E113" s="2">
        <v>9.0200000000000002E-2</v>
      </c>
      <c r="F113" s="2">
        <v>6.5699999999999995E-2</v>
      </c>
      <c r="G113" s="2">
        <v>5.1299999999999998E-2</v>
      </c>
      <c r="H113" s="2">
        <v>0.34710000000000002</v>
      </c>
      <c r="J113" s="2">
        <v>1.2E-2</v>
      </c>
      <c r="K113" s="2">
        <v>7.1599999999999997E-2</v>
      </c>
      <c r="L113" s="2">
        <v>3.8199999999999998E-2</v>
      </c>
      <c r="M113" s="2">
        <v>4.9099999999999998E-2</v>
      </c>
      <c r="N113" s="2">
        <v>3.73E-2</v>
      </c>
      <c r="P113" s="2">
        <v>3.5999999999999999E-3</v>
      </c>
      <c r="Q113">
        <v>64</v>
      </c>
    </row>
    <row r="114" spans="1:17" x14ac:dyDescent="0.35">
      <c r="A114" s="3" t="s">
        <v>227</v>
      </c>
      <c r="B114" s="3" t="s">
        <v>224</v>
      </c>
      <c r="C114" s="3" t="s">
        <v>232</v>
      </c>
      <c r="D114" s="5"/>
      <c r="E114" s="5"/>
      <c r="F114" s="4">
        <v>1</v>
      </c>
      <c r="G114" s="5"/>
      <c r="H114" s="4">
        <v>1</v>
      </c>
      <c r="I114" s="5"/>
      <c r="J114" s="5"/>
      <c r="K114" s="5"/>
      <c r="L114" s="5"/>
      <c r="M114" s="5"/>
      <c r="N114" s="5"/>
      <c r="O114" s="5"/>
      <c r="P114" s="5"/>
      <c r="Q114" s="5" t="s">
        <v>323</v>
      </c>
    </row>
    <row r="115" spans="1:17" x14ac:dyDescent="0.35">
      <c r="A115" t="s">
        <v>227</v>
      </c>
      <c r="B115" t="s">
        <v>224</v>
      </c>
      <c r="C115" t="s">
        <v>230</v>
      </c>
      <c r="D115" s="2">
        <v>0.63980000000000004</v>
      </c>
      <c r="E115" s="2">
        <v>0.1938</v>
      </c>
      <c r="F115" s="2">
        <v>1.78E-2</v>
      </c>
      <c r="G115" s="2">
        <v>9.4700000000000006E-2</v>
      </c>
      <c r="H115" s="2">
        <v>0.13819999999999999</v>
      </c>
      <c r="I115" s="2">
        <v>0.10489999999999999</v>
      </c>
      <c r="J115" s="2">
        <v>2.2599999999999999E-2</v>
      </c>
      <c r="L115" s="2">
        <v>9.1999999999999998E-3</v>
      </c>
      <c r="M115" s="2">
        <v>1.0999999999999999E-2</v>
      </c>
      <c r="Q115">
        <v>59</v>
      </c>
    </row>
    <row r="116" spans="1:17" x14ac:dyDescent="0.35">
      <c r="A116" t="s">
        <v>227</v>
      </c>
      <c r="B116" t="s">
        <v>303</v>
      </c>
      <c r="C116" t="s">
        <v>231</v>
      </c>
      <c r="D116" s="2">
        <v>0.442</v>
      </c>
      <c r="E116" s="2">
        <v>0.43</v>
      </c>
      <c r="F116" s="2">
        <v>4.1399999999999999E-2</v>
      </c>
      <c r="G116" s="2">
        <v>0.1065</v>
      </c>
      <c r="H116" s="2">
        <v>0.09</v>
      </c>
      <c r="I116" s="2">
        <v>0.1135</v>
      </c>
      <c r="J116" s="2">
        <v>0.13109999999999999</v>
      </c>
      <c r="L116" s="2">
        <v>5.4999999999999997E-3</v>
      </c>
      <c r="M116" s="2">
        <v>0.11650000000000001</v>
      </c>
      <c r="N116" s="2">
        <v>2.0299999999999999E-2</v>
      </c>
      <c r="O116" s="2">
        <v>9.1999999999999998E-3</v>
      </c>
      <c r="Q116">
        <v>64</v>
      </c>
    </row>
    <row r="117" spans="1:17" x14ac:dyDescent="0.35">
      <c r="A117" t="s">
        <v>227</v>
      </c>
      <c r="B117" t="s">
        <v>303</v>
      </c>
      <c r="C117" t="s">
        <v>230</v>
      </c>
      <c r="D117" s="2">
        <v>0.42270000000000002</v>
      </c>
      <c r="E117" s="2">
        <v>0.21049999999999999</v>
      </c>
      <c r="F117" s="2">
        <v>8.3999999999999995E-3</v>
      </c>
      <c r="G117" s="2">
        <v>0.12820000000000001</v>
      </c>
      <c r="H117" s="2">
        <v>6.4699999999999994E-2</v>
      </c>
      <c r="I117" s="2">
        <v>0.14729999999999999</v>
      </c>
      <c r="J117" s="2">
        <v>8.14E-2</v>
      </c>
      <c r="K117" s="2">
        <v>1.2999999999999999E-3</v>
      </c>
      <c r="L117" s="2">
        <v>0.10829999999999999</v>
      </c>
      <c r="M117" s="2">
        <v>6.9999999999999999E-4</v>
      </c>
      <c r="O117" s="2">
        <v>2.53E-2</v>
      </c>
      <c r="Q117">
        <v>109</v>
      </c>
    </row>
    <row r="118" spans="1:17" x14ac:dyDescent="0.35">
      <c r="A118" t="s">
        <v>227</v>
      </c>
      <c r="B118" t="s">
        <v>304</v>
      </c>
      <c r="C118" t="s">
        <v>231</v>
      </c>
      <c r="D118" s="2">
        <v>0.1598</v>
      </c>
      <c r="E118" s="2">
        <v>0.31</v>
      </c>
      <c r="F118" s="2">
        <v>0.1502</v>
      </c>
      <c r="G118" s="2">
        <v>0.1578</v>
      </c>
      <c r="H118" s="2">
        <v>5.1400000000000001E-2</v>
      </c>
      <c r="I118" s="2">
        <v>7.5600000000000001E-2</v>
      </c>
      <c r="J118" s="2">
        <v>7.9000000000000008E-3</v>
      </c>
      <c r="K118" s="2">
        <v>0.1028</v>
      </c>
      <c r="L118" s="2">
        <v>3.1699999999999999E-2</v>
      </c>
      <c r="M118" s="2">
        <v>1.11E-2</v>
      </c>
      <c r="N118" s="2">
        <v>0.1119</v>
      </c>
      <c r="O118" s="2">
        <v>4.5199999999999997E-2</v>
      </c>
      <c r="Q118">
        <v>69</v>
      </c>
    </row>
    <row r="119" spans="1:17" x14ac:dyDescent="0.35">
      <c r="A119" t="s">
        <v>227</v>
      </c>
      <c r="B119" t="s">
        <v>304</v>
      </c>
      <c r="C119" t="s">
        <v>230</v>
      </c>
      <c r="D119" s="2">
        <v>0.37740000000000001</v>
      </c>
      <c r="E119" s="2">
        <v>0.18010000000000001</v>
      </c>
      <c r="F119" s="2">
        <v>0.26150000000000001</v>
      </c>
      <c r="G119" s="2">
        <v>0.1396</v>
      </c>
      <c r="H119" s="2">
        <v>0.10390000000000001</v>
      </c>
      <c r="I119" s="2">
        <v>6.7000000000000004E-2</v>
      </c>
      <c r="J119" s="2">
        <v>7.1400000000000005E-2</v>
      </c>
      <c r="K119" s="2">
        <v>7.5899999999999995E-2</v>
      </c>
      <c r="L119" s="2">
        <v>8.0000000000000004E-4</v>
      </c>
      <c r="M119" s="2">
        <v>4.1399999999999999E-2</v>
      </c>
      <c r="O119" s="2">
        <v>6.6E-3</v>
      </c>
      <c r="Q119">
        <v>109</v>
      </c>
    </row>
    <row r="120" spans="1:17" x14ac:dyDescent="0.35">
      <c r="A120" t="s">
        <v>227</v>
      </c>
      <c r="B120" t="s">
        <v>305</v>
      </c>
      <c r="C120" t="s">
        <v>231</v>
      </c>
      <c r="D120" s="2">
        <v>0.1595</v>
      </c>
      <c r="E120" s="2">
        <v>0.26740000000000003</v>
      </c>
      <c r="F120" s="2">
        <v>0.58350000000000002</v>
      </c>
      <c r="G120" s="2">
        <v>0.20730000000000001</v>
      </c>
      <c r="I120" s="2">
        <v>9.1999999999999998E-3</v>
      </c>
      <c r="J120" s="2">
        <v>1.41E-2</v>
      </c>
      <c r="K120" s="2">
        <v>5.3E-3</v>
      </c>
      <c r="Q120">
        <v>32</v>
      </c>
    </row>
    <row r="121" spans="1:17" x14ac:dyDescent="0.35">
      <c r="A121" s="3" t="s">
        <v>227</v>
      </c>
      <c r="B121" s="3" t="s">
        <v>305</v>
      </c>
      <c r="C121" s="3" t="s">
        <v>230</v>
      </c>
      <c r="D121" s="4">
        <v>0.1011</v>
      </c>
      <c r="E121" s="4">
        <v>0.52929999999999999</v>
      </c>
      <c r="F121" s="4">
        <v>0.31259999999999999</v>
      </c>
      <c r="G121" s="5"/>
      <c r="H121" s="4">
        <v>6.7000000000000002E-3</v>
      </c>
      <c r="I121" s="5"/>
      <c r="J121" s="4">
        <v>4.3200000000000002E-2</v>
      </c>
      <c r="K121" s="4">
        <v>1.38E-2</v>
      </c>
      <c r="L121" s="5"/>
      <c r="M121" s="5"/>
      <c r="N121" s="5"/>
      <c r="O121" s="5"/>
      <c r="P121" s="5"/>
      <c r="Q121" s="5" t="s">
        <v>328</v>
      </c>
    </row>
    <row r="122" spans="1:17" x14ac:dyDescent="0.35">
      <c r="A122" t="s">
        <v>228</v>
      </c>
      <c r="B122" t="s">
        <v>228</v>
      </c>
      <c r="C122" t="s">
        <v>228</v>
      </c>
      <c r="D122" s="2">
        <v>0.3705</v>
      </c>
      <c r="E122" s="2">
        <v>0.24859999999999999</v>
      </c>
      <c r="F122" s="2">
        <v>0.1721</v>
      </c>
      <c r="G122" s="2">
        <v>0.11609999999999999</v>
      </c>
      <c r="H122" s="2">
        <v>0.1087</v>
      </c>
      <c r="I122" s="2">
        <v>7.4499999999999997E-2</v>
      </c>
      <c r="J122" s="2">
        <v>6.5500000000000003E-2</v>
      </c>
      <c r="K122" s="2">
        <v>3.7699999999999997E-2</v>
      </c>
      <c r="L122" s="2">
        <v>3.1399999999999997E-2</v>
      </c>
      <c r="M122" s="2">
        <v>2.7900000000000001E-2</v>
      </c>
      <c r="N122" s="2">
        <v>1.8200000000000001E-2</v>
      </c>
      <c r="O122" s="2">
        <v>1.21E-2</v>
      </c>
      <c r="P122" s="2">
        <v>4.0000000000000002E-4</v>
      </c>
      <c r="Q122">
        <v>545</v>
      </c>
    </row>
    <row r="124" spans="1:17" x14ac:dyDescent="0.35">
      <c r="A124" s="1" t="s">
        <v>329</v>
      </c>
    </row>
    <row r="125" spans="1:17" x14ac:dyDescent="0.35">
      <c r="A125" t="s">
        <v>219</v>
      </c>
      <c r="B125" t="s">
        <v>299</v>
      </c>
      <c r="C125" t="s">
        <v>298</v>
      </c>
      <c r="D125" t="s">
        <v>277</v>
      </c>
      <c r="E125" t="s">
        <v>226</v>
      </c>
    </row>
    <row r="126" spans="1:17" x14ac:dyDescent="0.35">
      <c r="A126" t="s">
        <v>227</v>
      </c>
      <c r="B126" s="2">
        <v>0.91400000000000003</v>
      </c>
      <c r="C126" s="2">
        <v>8.5500000000000007E-2</v>
      </c>
      <c r="D126" s="2">
        <v>5.9999999999999995E-4</v>
      </c>
      <c r="E126">
        <v>1059</v>
      </c>
    </row>
    <row r="127" spans="1:17" x14ac:dyDescent="0.35">
      <c r="A127" t="s">
        <v>228</v>
      </c>
      <c r="B127" s="2">
        <v>0.91400000000000003</v>
      </c>
      <c r="C127" s="2">
        <v>8.5500000000000007E-2</v>
      </c>
      <c r="D127" s="2">
        <v>5.9999999999999995E-4</v>
      </c>
      <c r="E127">
        <v>1059</v>
      </c>
    </row>
    <row r="129" spans="1:6" x14ac:dyDescent="0.35">
      <c r="A129" s="1" t="s">
        <v>330</v>
      </c>
    </row>
    <row r="130" spans="1:6" x14ac:dyDescent="0.35">
      <c r="A130" t="s">
        <v>219</v>
      </c>
      <c r="B130" t="s">
        <v>301</v>
      </c>
      <c r="C130" t="s">
        <v>299</v>
      </c>
      <c r="D130" t="s">
        <v>298</v>
      </c>
      <c r="E130" t="s">
        <v>277</v>
      </c>
      <c r="F130" t="s">
        <v>226</v>
      </c>
    </row>
    <row r="131" spans="1:6" x14ac:dyDescent="0.35">
      <c r="A131" t="s">
        <v>227</v>
      </c>
      <c r="B131" t="s">
        <v>238</v>
      </c>
      <c r="C131" s="2">
        <v>0.93869999999999998</v>
      </c>
      <c r="D131" s="2">
        <v>6.13E-2</v>
      </c>
      <c r="F131">
        <v>303</v>
      </c>
    </row>
    <row r="132" spans="1:6" x14ac:dyDescent="0.35">
      <c r="A132" t="s">
        <v>227</v>
      </c>
      <c r="B132" t="s">
        <v>237</v>
      </c>
      <c r="C132" s="2">
        <v>0.90400000000000003</v>
      </c>
      <c r="D132" s="2">
        <v>9.5299999999999996E-2</v>
      </c>
      <c r="E132" s="2">
        <v>8.0000000000000004E-4</v>
      </c>
      <c r="F132">
        <v>756</v>
      </c>
    </row>
    <row r="133" spans="1:6" x14ac:dyDescent="0.35">
      <c r="A133" t="s">
        <v>228</v>
      </c>
      <c r="B133" t="s">
        <v>228</v>
      </c>
      <c r="C133" s="2">
        <v>0.91400000000000003</v>
      </c>
      <c r="D133" s="2">
        <v>8.5500000000000007E-2</v>
      </c>
      <c r="E133" s="2">
        <v>5.9999999999999995E-4</v>
      </c>
      <c r="F133">
        <v>1059</v>
      </c>
    </row>
    <row r="135" spans="1:6" x14ac:dyDescent="0.35">
      <c r="A135" s="1" t="s">
        <v>331</v>
      </c>
    </row>
    <row r="136" spans="1:6" x14ac:dyDescent="0.35">
      <c r="A136" t="s">
        <v>219</v>
      </c>
      <c r="B136" t="s">
        <v>301</v>
      </c>
      <c r="C136" t="s">
        <v>299</v>
      </c>
      <c r="D136" t="s">
        <v>298</v>
      </c>
      <c r="E136" t="s">
        <v>277</v>
      </c>
      <c r="F136" t="s">
        <v>226</v>
      </c>
    </row>
    <row r="137" spans="1:6" x14ac:dyDescent="0.35">
      <c r="A137" t="s">
        <v>227</v>
      </c>
      <c r="B137" t="s">
        <v>235</v>
      </c>
      <c r="C137" s="2">
        <v>0.87280000000000002</v>
      </c>
      <c r="D137" s="2">
        <v>0.12720000000000001</v>
      </c>
      <c r="F137">
        <v>454</v>
      </c>
    </row>
    <row r="138" spans="1:6" x14ac:dyDescent="0.35">
      <c r="A138" t="s">
        <v>227</v>
      </c>
      <c r="B138" t="s">
        <v>234</v>
      </c>
      <c r="C138" s="2">
        <v>0.94179999999999997</v>
      </c>
      <c r="D138" s="2">
        <v>5.7200000000000001E-2</v>
      </c>
      <c r="E138" s="2">
        <v>8.9999999999999998E-4</v>
      </c>
      <c r="F138">
        <v>605</v>
      </c>
    </row>
    <row r="139" spans="1:6" x14ac:dyDescent="0.35">
      <c r="A139" t="s">
        <v>228</v>
      </c>
      <c r="B139" t="s">
        <v>228</v>
      </c>
      <c r="C139" s="2">
        <v>0.91400000000000003</v>
      </c>
      <c r="D139" s="2">
        <v>8.5500000000000007E-2</v>
      </c>
      <c r="E139" s="2">
        <v>5.9999999999999995E-4</v>
      </c>
      <c r="F139">
        <v>1059</v>
      </c>
    </row>
    <row r="141" spans="1:6" x14ac:dyDescent="0.35">
      <c r="A141" s="1" t="s">
        <v>332</v>
      </c>
    </row>
    <row r="142" spans="1:6" x14ac:dyDescent="0.35">
      <c r="A142" t="s">
        <v>219</v>
      </c>
      <c r="B142" t="s">
        <v>301</v>
      </c>
      <c r="C142" t="s">
        <v>299</v>
      </c>
      <c r="D142" t="s">
        <v>298</v>
      </c>
      <c r="E142" t="s">
        <v>277</v>
      </c>
      <c r="F142" t="s">
        <v>226</v>
      </c>
    </row>
    <row r="143" spans="1:6" x14ac:dyDescent="0.35">
      <c r="A143" t="s">
        <v>227</v>
      </c>
      <c r="B143" t="s">
        <v>240</v>
      </c>
      <c r="C143" s="2">
        <v>0.94710000000000005</v>
      </c>
      <c r="D143" s="2">
        <v>5.21E-2</v>
      </c>
      <c r="E143" s="2">
        <v>8.0000000000000004E-4</v>
      </c>
      <c r="F143">
        <v>748</v>
      </c>
    </row>
    <row r="144" spans="1:6" x14ac:dyDescent="0.35">
      <c r="A144" t="s">
        <v>227</v>
      </c>
      <c r="B144" t="s">
        <v>242</v>
      </c>
      <c r="C144" s="2">
        <v>0.84919999999999995</v>
      </c>
      <c r="D144" s="2">
        <v>0.15079999999999999</v>
      </c>
      <c r="F144">
        <v>311</v>
      </c>
    </row>
    <row r="145" spans="1:6" x14ac:dyDescent="0.35">
      <c r="A145" t="s">
        <v>228</v>
      </c>
      <c r="B145" t="s">
        <v>228</v>
      </c>
      <c r="C145" s="2">
        <v>0.91400000000000003</v>
      </c>
      <c r="D145" s="2">
        <v>8.5500000000000007E-2</v>
      </c>
      <c r="E145" s="2">
        <v>5.9999999999999995E-4</v>
      </c>
      <c r="F145">
        <v>1059</v>
      </c>
    </row>
    <row r="147" spans="1:6" x14ac:dyDescent="0.35">
      <c r="A147" s="1" t="s">
        <v>333</v>
      </c>
    </row>
    <row r="148" spans="1:6" x14ac:dyDescent="0.35">
      <c r="A148" t="s">
        <v>219</v>
      </c>
      <c r="B148" t="s">
        <v>301</v>
      </c>
      <c r="C148" t="s">
        <v>299</v>
      </c>
      <c r="D148" t="s">
        <v>298</v>
      </c>
      <c r="E148" t="s">
        <v>277</v>
      </c>
      <c r="F148" t="s">
        <v>226</v>
      </c>
    </row>
    <row r="149" spans="1:6" x14ac:dyDescent="0.35">
      <c r="A149" t="s">
        <v>227</v>
      </c>
      <c r="B149" t="s">
        <v>334</v>
      </c>
      <c r="C149" s="2">
        <v>0.871</v>
      </c>
      <c r="D149" s="2">
        <v>0.129</v>
      </c>
      <c r="F149">
        <v>331</v>
      </c>
    </row>
    <row r="150" spans="1:6" x14ac:dyDescent="0.35">
      <c r="A150" t="s">
        <v>227</v>
      </c>
      <c r="B150" t="s">
        <v>335</v>
      </c>
      <c r="C150" s="2">
        <v>0.93340000000000001</v>
      </c>
      <c r="D150" s="2">
        <v>6.3899999999999998E-2</v>
      </c>
      <c r="E150" s="2">
        <v>2.8E-3</v>
      </c>
      <c r="F150">
        <v>167</v>
      </c>
    </row>
    <row r="151" spans="1:6" x14ac:dyDescent="0.35">
      <c r="A151" t="s">
        <v>227</v>
      </c>
      <c r="B151" t="s">
        <v>336</v>
      </c>
      <c r="C151" s="2">
        <v>0.94699999999999995</v>
      </c>
      <c r="D151" s="2">
        <v>5.2999999999999999E-2</v>
      </c>
      <c r="F151">
        <v>244</v>
      </c>
    </row>
    <row r="152" spans="1:6" x14ac:dyDescent="0.35">
      <c r="A152" t="s">
        <v>227</v>
      </c>
      <c r="B152" t="s">
        <v>337</v>
      </c>
      <c r="C152" s="2">
        <v>0.93810000000000004</v>
      </c>
      <c r="D152" s="2">
        <v>6.1899999999999997E-2</v>
      </c>
      <c r="F152">
        <v>185</v>
      </c>
    </row>
    <row r="153" spans="1:6" x14ac:dyDescent="0.35">
      <c r="A153" t="s">
        <v>228</v>
      </c>
      <c r="B153" t="s">
        <v>228</v>
      </c>
      <c r="C153" s="2">
        <v>0.91400000000000003</v>
      </c>
      <c r="D153" s="2">
        <v>8.5500000000000007E-2</v>
      </c>
      <c r="E153" s="2">
        <v>5.9999999999999995E-4</v>
      </c>
      <c r="F153">
        <v>927</v>
      </c>
    </row>
    <row r="155" spans="1:6" x14ac:dyDescent="0.35">
      <c r="A155" s="1" t="s">
        <v>338</v>
      </c>
    </row>
    <row r="156" spans="1:6" x14ac:dyDescent="0.35">
      <c r="A156" t="s">
        <v>219</v>
      </c>
      <c r="B156" t="s">
        <v>301</v>
      </c>
      <c r="C156" t="s">
        <v>299</v>
      </c>
      <c r="D156" t="s">
        <v>298</v>
      </c>
      <c r="E156" t="s">
        <v>277</v>
      </c>
      <c r="F156" t="s">
        <v>226</v>
      </c>
    </row>
    <row r="157" spans="1:6" x14ac:dyDescent="0.35">
      <c r="A157" t="s">
        <v>227</v>
      </c>
      <c r="B157" t="s">
        <v>263</v>
      </c>
      <c r="C157" s="2">
        <v>0.90820000000000001</v>
      </c>
      <c r="D157" s="2">
        <v>9.1800000000000007E-2</v>
      </c>
      <c r="F157">
        <v>156</v>
      </c>
    </row>
    <row r="158" spans="1:6" x14ac:dyDescent="0.35">
      <c r="A158" t="s">
        <v>227</v>
      </c>
      <c r="B158" t="s">
        <v>262</v>
      </c>
      <c r="C158" s="2">
        <v>0.93359999999999999</v>
      </c>
      <c r="D158" s="2">
        <v>6.6400000000000001E-2</v>
      </c>
      <c r="F158">
        <v>342</v>
      </c>
    </row>
    <row r="159" spans="1:6" x14ac:dyDescent="0.35">
      <c r="A159" t="s">
        <v>227</v>
      </c>
      <c r="B159" t="s">
        <v>261</v>
      </c>
      <c r="C159" s="2">
        <v>0.90600000000000003</v>
      </c>
      <c r="D159" s="2">
        <v>9.2999999999999999E-2</v>
      </c>
      <c r="E159" s="2">
        <v>1E-3</v>
      </c>
      <c r="F159">
        <v>561</v>
      </c>
    </row>
    <row r="160" spans="1:6" x14ac:dyDescent="0.35">
      <c r="A160" t="s">
        <v>228</v>
      </c>
      <c r="B160" t="s">
        <v>228</v>
      </c>
      <c r="C160" s="2">
        <v>0.91400000000000003</v>
      </c>
      <c r="D160" s="2">
        <v>8.5500000000000007E-2</v>
      </c>
      <c r="E160" s="2">
        <v>5.9999999999999995E-4</v>
      </c>
      <c r="F160">
        <v>1059</v>
      </c>
    </row>
    <row r="162" spans="1:6" x14ac:dyDescent="0.35">
      <c r="A162" s="1" t="s">
        <v>339</v>
      </c>
    </row>
    <row r="163" spans="1:6" x14ac:dyDescent="0.35">
      <c r="A163" t="s">
        <v>219</v>
      </c>
      <c r="B163" t="s">
        <v>301</v>
      </c>
      <c r="C163" t="s">
        <v>299</v>
      </c>
      <c r="D163" t="s">
        <v>298</v>
      </c>
      <c r="E163" t="s">
        <v>277</v>
      </c>
      <c r="F163" t="s">
        <v>226</v>
      </c>
    </row>
    <row r="164" spans="1:6" x14ac:dyDescent="0.35">
      <c r="A164" s="3" t="s">
        <v>227</v>
      </c>
      <c r="B164" s="3" t="s">
        <v>248</v>
      </c>
      <c r="C164" s="4">
        <v>0.9929</v>
      </c>
      <c r="D164" s="4">
        <v>7.1000000000000004E-3</v>
      </c>
      <c r="E164" s="5"/>
      <c r="F164" s="5" t="s">
        <v>326</v>
      </c>
    </row>
    <row r="165" spans="1:6" x14ac:dyDescent="0.35">
      <c r="A165" t="s">
        <v>227</v>
      </c>
      <c r="B165" t="s">
        <v>249</v>
      </c>
      <c r="C165" s="2">
        <v>0.94010000000000005</v>
      </c>
      <c r="D165" s="2">
        <v>5.7000000000000002E-2</v>
      </c>
      <c r="E165" s="2">
        <v>2.8999999999999998E-3</v>
      </c>
      <c r="F165">
        <v>226</v>
      </c>
    </row>
    <row r="166" spans="1:6" x14ac:dyDescent="0.35">
      <c r="A166" t="s">
        <v>227</v>
      </c>
      <c r="B166" t="s">
        <v>247</v>
      </c>
      <c r="C166" s="2">
        <v>0.90600000000000003</v>
      </c>
      <c r="D166" s="2">
        <v>9.4E-2</v>
      </c>
      <c r="F166">
        <v>825</v>
      </c>
    </row>
    <row r="167" spans="1:6" x14ac:dyDescent="0.35">
      <c r="A167" t="s">
        <v>228</v>
      </c>
      <c r="B167" t="s">
        <v>228</v>
      </c>
      <c r="C167" s="2">
        <v>0.91400000000000003</v>
      </c>
      <c r="D167" s="2">
        <v>8.5500000000000007E-2</v>
      </c>
      <c r="E167" s="2">
        <v>5.9999999999999995E-4</v>
      </c>
      <c r="F167">
        <v>1059</v>
      </c>
    </row>
    <row r="169" spans="1:6" x14ac:dyDescent="0.35">
      <c r="A169" s="1" t="s">
        <v>340</v>
      </c>
    </row>
    <row r="170" spans="1:6" x14ac:dyDescent="0.35">
      <c r="A170" t="s">
        <v>219</v>
      </c>
      <c r="B170" t="s">
        <v>301</v>
      </c>
      <c r="C170" t="s">
        <v>299</v>
      </c>
      <c r="D170" t="s">
        <v>298</v>
      </c>
      <c r="E170" t="s">
        <v>277</v>
      </c>
      <c r="F170" t="s">
        <v>226</v>
      </c>
    </row>
    <row r="171" spans="1:6" x14ac:dyDescent="0.35">
      <c r="A171" s="3" t="s">
        <v>227</v>
      </c>
      <c r="B171" s="3" t="s">
        <v>259</v>
      </c>
      <c r="C171" s="4">
        <v>0.99099999999999999</v>
      </c>
      <c r="D171" s="4">
        <v>8.9999999999999993E-3</v>
      </c>
      <c r="E171" s="5"/>
      <c r="F171" s="5" t="s">
        <v>328</v>
      </c>
    </row>
    <row r="172" spans="1:6" x14ac:dyDescent="0.35">
      <c r="A172" t="s">
        <v>227</v>
      </c>
      <c r="B172" t="s">
        <v>257</v>
      </c>
      <c r="C172" s="2">
        <v>0.92900000000000005</v>
      </c>
      <c r="D172" s="2">
        <v>7.0999999999999994E-2</v>
      </c>
      <c r="F172">
        <v>178</v>
      </c>
    </row>
    <row r="173" spans="1:6" x14ac:dyDescent="0.35">
      <c r="A173" t="s">
        <v>227</v>
      </c>
      <c r="B173" t="s">
        <v>256</v>
      </c>
      <c r="C173" s="2">
        <v>0.90569999999999995</v>
      </c>
      <c r="D173" s="2">
        <v>9.3399999999999997E-2</v>
      </c>
      <c r="E173" s="2">
        <v>8.9999999999999998E-4</v>
      </c>
      <c r="F173">
        <v>569</v>
      </c>
    </row>
    <row r="174" spans="1:6" x14ac:dyDescent="0.35">
      <c r="A174" s="3" t="s">
        <v>227</v>
      </c>
      <c r="B174" s="3" t="s">
        <v>232</v>
      </c>
      <c r="C174" s="4">
        <v>1</v>
      </c>
      <c r="D174" s="5"/>
      <c r="E174" s="5"/>
      <c r="F174" s="5" t="s">
        <v>341</v>
      </c>
    </row>
    <row r="175" spans="1:6" x14ac:dyDescent="0.35">
      <c r="A175" t="s">
        <v>227</v>
      </c>
      <c r="B175" t="s">
        <v>258</v>
      </c>
      <c r="C175" s="2">
        <v>0.91910000000000003</v>
      </c>
      <c r="D175" s="2">
        <v>8.09E-2</v>
      </c>
      <c r="F175">
        <v>283</v>
      </c>
    </row>
    <row r="176" spans="1:6" x14ac:dyDescent="0.35">
      <c r="A176" t="s">
        <v>228</v>
      </c>
      <c r="B176" t="s">
        <v>228</v>
      </c>
      <c r="C176" s="2">
        <v>0.91400000000000003</v>
      </c>
      <c r="D176" s="2">
        <v>8.5500000000000007E-2</v>
      </c>
      <c r="E176" s="2">
        <v>5.9999999999999995E-4</v>
      </c>
      <c r="F176">
        <v>1059</v>
      </c>
    </row>
    <row r="178" spans="1:6" x14ac:dyDescent="0.35">
      <c r="A178" s="1" t="s">
        <v>342</v>
      </c>
    </row>
    <row r="179" spans="1:6" x14ac:dyDescent="0.35">
      <c r="A179" t="s">
        <v>219</v>
      </c>
      <c r="B179" t="s">
        <v>301</v>
      </c>
      <c r="C179" t="s">
        <v>299</v>
      </c>
      <c r="D179" t="s">
        <v>298</v>
      </c>
      <c r="E179" t="s">
        <v>277</v>
      </c>
      <c r="F179" t="s">
        <v>226</v>
      </c>
    </row>
    <row r="180" spans="1:6" x14ac:dyDescent="0.35">
      <c r="A180" t="s">
        <v>227</v>
      </c>
      <c r="B180" t="s">
        <v>343</v>
      </c>
      <c r="C180" s="2">
        <v>0.92900000000000005</v>
      </c>
      <c r="D180" s="2">
        <v>7.0999999999999994E-2</v>
      </c>
      <c r="F180">
        <v>178</v>
      </c>
    </row>
    <row r="181" spans="1:6" x14ac:dyDescent="0.35">
      <c r="A181" t="s">
        <v>227</v>
      </c>
      <c r="B181" t="s">
        <v>344</v>
      </c>
      <c r="C181" s="2">
        <v>0.91139999999999999</v>
      </c>
      <c r="D181" s="2">
        <v>8.7900000000000006E-2</v>
      </c>
      <c r="E181" s="2">
        <v>6.9999999999999999E-4</v>
      </c>
      <c r="F181">
        <v>881</v>
      </c>
    </row>
    <row r="182" spans="1:6" x14ac:dyDescent="0.35">
      <c r="A182" t="s">
        <v>228</v>
      </c>
      <c r="B182" t="s">
        <v>228</v>
      </c>
      <c r="C182" s="2">
        <v>0.91400000000000003</v>
      </c>
      <c r="D182" s="2">
        <v>8.5500000000000007E-2</v>
      </c>
      <c r="E182" s="2">
        <v>5.9999999999999995E-4</v>
      </c>
      <c r="F182">
        <v>1059</v>
      </c>
    </row>
    <row r="184" spans="1:6" x14ac:dyDescent="0.35">
      <c r="A184" s="1" t="s">
        <v>345</v>
      </c>
    </row>
    <row r="185" spans="1:6" x14ac:dyDescent="0.35">
      <c r="A185" t="s">
        <v>219</v>
      </c>
      <c r="B185" t="s">
        <v>301</v>
      </c>
      <c r="C185" t="s">
        <v>299</v>
      </c>
      <c r="D185" t="s">
        <v>298</v>
      </c>
      <c r="E185" t="s">
        <v>277</v>
      </c>
      <c r="F185" t="s">
        <v>226</v>
      </c>
    </row>
    <row r="186" spans="1:6" x14ac:dyDescent="0.35">
      <c r="A186" t="s">
        <v>227</v>
      </c>
      <c r="B186" t="s">
        <v>346</v>
      </c>
      <c r="C186" s="2">
        <v>0.91500000000000004</v>
      </c>
      <c r="D186" s="2">
        <v>8.5000000000000006E-2</v>
      </c>
      <c r="F186">
        <v>622</v>
      </c>
    </row>
    <row r="187" spans="1:6" x14ac:dyDescent="0.35">
      <c r="A187" t="s">
        <v>227</v>
      </c>
      <c r="B187" t="s">
        <v>347</v>
      </c>
      <c r="C187" s="2">
        <v>0.93940000000000001</v>
      </c>
      <c r="D187" s="2">
        <v>6.0600000000000001E-2</v>
      </c>
      <c r="F187">
        <v>178</v>
      </c>
    </row>
    <row r="188" spans="1:6" x14ac:dyDescent="0.35">
      <c r="A188" t="s">
        <v>227</v>
      </c>
      <c r="B188" t="s">
        <v>348</v>
      </c>
      <c r="C188" s="2">
        <v>0.89180000000000004</v>
      </c>
      <c r="D188" s="2">
        <v>0.1009</v>
      </c>
      <c r="E188" s="2">
        <v>7.3000000000000001E-3</v>
      </c>
      <c r="F188">
        <v>259</v>
      </c>
    </row>
    <row r="189" spans="1:6" x14ac:dyDescent="0.35">
      <c r="A189" t="s">
        <v>228</v>
      </c>
      <c r="B189" t="s">
        <v>228</v>
      </c>
      <c r="C189" s="2">
        <v>0.91400000000000003</v>
      </c>
      <c r="D189" s="2">
        <v>8.5500000000000007E-2</v>
      </c>
      <c r="E189" s="2">
        <v>5.9999999999999995E-4</v>
      </c>
      <c r="F189">
        <v>1059</v>
      </c>
    </row>
    <row r="191" spans="1:6" x14ac:dyDescent="0.35">
      <c r="A191" s="1" t="s">
        <v>349</v>
      </c>
    </row>
    <row r="192" spans="1:6" x14ac:dyDescent="0.35">
      <c r="A192" t="s">
        <v>219</v>
      </c>
      <c r="B192" t="s">
        <v>301</v>
      </c>
      <c r="C192" t="s">
        <v>299</v>
      </c>
      <c r="D192" t="s">
        <v>298</v>
      </c>
      <c r="E192" t="s">
        <v>277</v>
      </c>
      <c r="F192" t="s">
        <v>226</v>
      </c>
    </row>
    <row r="193" spans="1:7" x14ac:dyDescent="0.35">
      <c r="A193" t="s">
        <v>227</v>
      </c>
      <c r="B193" t="s">
        <v>350</v>
      </c>
      <c r="C193" s="2">
        <v>0.99429999999999996</v>
      </c>
      <c r="D193" s="2">
        <v>4.1000000000000003E-3</v>
      </c>
      <c r="E193" s="2">
        <v>1.6000000000000001E-3</v>
      </c>
      <c r="F193">
        <v>401</v>
      </c>
    </row>
    <row r="194" spans="1:7" x14ac:dyDescent="0.35">
      <c r="A194" t="s">
        <v>227</v>
      </c>
      <c r="B194" t="s">
        <v>351</v>
      </c>
      <c r="C194" s="2">
        <v>0.91420000000000001</v>
      </c>
      <c r="D194" s="2">
        <v>8.5800000000000001E-2</v>
      </c>
      <c r="F194">
        <v>228</v>
      </c>
    </row>
    <row r="195" spans="1:7" x14ac:dyDescent="0.35">
      <c r="A195" t="s">
        <v>227</v>
      </c>
      <c r="B195" t="s">
        <v>352</v>
      </c>
      <c r="C195" s="2">
        <v>0.63880000000000003</v>
      </c>
      <c r="D195" s="2">
        <v>0.36120000000000002</v>
      </c>
      <c r="F195">
        <v>156</v>
      </c>
    </row>
    <row r="196" spans="1:7" x14ac:dyDescent="0.35">
      <c r="A196" t="s">
        <v>227</v>
      </c>
      <c r="B196" t="s">
        <v>353</v>
      </c>
      <c r="C196" s="2">
        <v>0.96899999999999997</v>
      </c>
      <c r="D196" s="2">
        <v>3.1E-2</v>
      </c>
      <c r="F196">
        <v>274</v>
      </c>
    </row>
    <row r="197" spans="1:7" x14ac:dyDescent="0.35">
      <c r="A197" t="s">
        <v>228</v>
      </c>
      <c r="B197" t="s">
        <v>228</v>
      </c>
      <c r="C197" s="2">
        <v>0.91400000000000003</v>
      </c>
      <c r="D197" s="2">
        <v>8.5500000000000007E-2</v>
      </c>
      <c r="E197" s="2">
        <v>5.9999999999999995E-4</v>
      </c>
      <c r="F197">
        <v>1059</v>
      </c>
    </row>
    <row r="199" spans="1:7" x14ac:dyDescent="0.35">
      <c r="A199" s="1" t="s">
        <v>354</v>
      </c>
    </row>
    <row r="200" spans="1:7" x14ac:dyDescent="0.35">
      <c r="A200" t="s">
        <v>219</v>
      </c>
      <c r="B200" t="s">
        <v>301</v>
      </c>
      <c r="C200" t="s">
        <v>299</v>
      </c>
      <c r="D200" t="s">
        <v>298</v>
      </c>
      <c r="E200" t="s">
        <v>277</v>
      </c>
      <c r="F200" t="s">
        <v>226</v>
      </c>
    </row>
    <row r="201" spans="1:7" x14ac:dyDescent="0.35">
      <c r="A201" t="s">
        <v>227</v>
      </c>
      <c r="B201" t="s">
        <v>231</v>
      </c>
      <c r="C201" s="2">
        <v>0.9304</v>
      </c>
      <c r="D201" s="2">
        <v>6.9599999999999995E-2</v>
      </c>
      <c r="F201">
        <v>524</v>
      </c>
    </row>
    <row r="202" spans="1:7" x14ac:dyDescent="0.35">
      <c r="A202" s="3" t="s">
        <v>227</v>
      </c>
      <c r="B202" s="3" t="s">
        <v>232</v>
      </c>
      <c r="C202" s="4">
        <v>1</v>
      </c>
      <c r="D202" s="5"/>
      <c r="E202" s="5"/>
      <c r="F202" s="5" t="s">
        <v>323</v>
      </c>
    </row>
    <row r="203" spans="1:7" x14ac:dyDescent="0.35">
      <c r="A203" t="s">
        <v>227</v>
      </c>
      <c r="B203" t="s">
        <v>230</v>
      </c>
      <c r="C203" s="2">
        <v>0.89800000000000002</v>
      </c>
      <c r="D203" s="2">
        <v>0.1009</v>
      </c>
      <c r="E203" s="2">
        <v>1.1000000000000001E-3</v>
      </c>
      <c r="F203">
        <v>534</v>
      </c>
    </row>
    <row r="204" spans="1:7" x14ac:dyDescent="0.35">
      <c r="A204" t="s">
        <v>228</v>
      </c>
      <c r="B204" t="s">
        <v>228</v>
      </c>
      <c r="C204" s="2">
        <v>0.91400000000000003</v>
      </c>
      <c r="D204" s="2">
        <v>8.5500000000000007E-2</v>
      </c>
      <c r="E204" s="2">
        <v>5.9999999999999995E-4</v>
      </c>
      <c r="F204">
        <v>1059</v>
      </c>
    </row>
    <row r="206" spans="1:7" x14ac:dyDescent="0.35">
      <c r="A206" s="1" t="s">
        <v>355</v>
      </c>
    </row>
    <row r="207" spans="1:7" x14ac:dyDescent="0.35">
      <c r="A207" t="s">
        <v>219</v>
      </c>
      <c r="B207" t="s">
        <v>301</v>
      </c>
      <c r="C207" t="s">
        <v>325</v>
      </c>
      <c r="D207" t="s">
        <v>299</v>
      </c>
      <c r="E207" t="s">
        <v>298</v>
      </c>
      <c r="F207" t="s">
        <v>277</v>
      </c>
      <c r="G207" t="s">
        <v>226</v>
      </c>
    </row>
    <row r="208" spans="1:7" x14ac:dyDescent="0.35">
      <c r="A208" t="s">
        <v>227</v>
      </c>
      <c r="B208" t="s">
        <v>231</v>
      </c>
      <c r="C208" t="s">
        <v>350</v>
      </c>
      <c r="D208" s="2">
        <v>0.99350000000000005</v>
      </c>
      <c r="E208" s="2">
        <v>6.4999999999999997E-3</v>
      </c>
      <c r="G208">
        <v>211</v>
      </c>
    </row>
    <row r="209" spans="1:7" x14ac:dyDescent="0.35">
      <c r="A209" t="s">
        <v>227</v>
      </c>
      <c r="B209" t="s">
        <v>231</v>
      </c>
      <c r="C209" t="s">
        <v>351</v>
      </c>
      <c r="D209" s="2">
        <v>0.9879</v>
      </c>
      <c r="E209" s="2">
        <v>1.21E-2</v>
      </c>
      <c r="G209">
        <v>118</v>
      </c>
    </row>
    <row r="210" spans="1:7" x14ac:dyDescent="0.35">
      <c r="A210" t="s">
        <v>227</v>
      </c>
      <c r="B210" t="s">
        <v>231</v>
      </c>
      <c r="C210" t="s">
        <v>352</v>
      </c>
      <c r="D210" s="2">
        <v>0.65169999999999995</v>
      </c>
      <c r="E210" s="2">
        <v>0.3483</v>
      </c>
      <c r="G210">
        <v>72</v>
      </c>
    </row>
    <row r="211" spans="1:7" x14ac:dyDescent="0.35">
      <c r="A211" t="s">
        <v>227</v>
      </c>
      <c r="B211" t="s">
        <v>231</v>
      </c>
      <c r="C211" t="s">
        <v>353</v>
      </c>
      <c r="D211" s="2">
        <v>0.96109999999999995</v>
      </c>
      <c r="E211" s="2">
        <v>3.8899999999999997E-2</v>
      </c>
      <c r="G211">
        <v>123</v>
      </c>
    </row>
    <row r="212" spans="1:7" x14ac:dyDescent="0.35">
      <c r="A212" s="3" t="s">
        <v>227</v>
      </c>
      <c r="B212" s="3" t="s">
        <v>232</v>
      </c>
      <c r="C212" s="3" t="s">
        <v>350</v>
      </c>
      <c r="D212" s="4">
        <v>1</v>
      </c>
      <c r="E212" s="5"/>
      <c r="F212" s="5"/>
      <c r="G212" s="5" t="s">
        <v>323</v>
      </c>
    </row>
    <row r="213" spans="1:7" x14ac:dyDescent="0.35">
      <c r="A213" t="s">
        <v>227</v>
      </c>
      <c r="B213" t="s">
        <v>230</v>
      </c>
      <c r="C213" t="s">
        <v>350</v>
      </c>
      <c r="D213" s="2">
        <v>0.99529999999999996</v>
      </c>
      <c r="E213" s="2">
        <v>1.2999999999999999E-3</v>
      </c>
      <c r="F213" s="2">
        <v>3.3999999999999998E-3</v>
      </c>
      <c r="G213">
        <v>189</v>
      </c>
    </row>
    <row r="214" spans="1:7" x14ac:dyDescent="0.35">
      <c r="A214" t="s">
        <v>227</v>
      </c>
      <c r="B214" t="s">
        <v>230</v>
      </c>
      <c r="C214" t="s">
        <v>351</v>
      </c>
      <c r="D214" s="2">
        <v>0.85070000000000001</v>
      </c>
      <c r="E214" s="2">
        <v>0.14929999999999999</v>
      </c>
      <c r="G214">
        <v>110</v>
      </c>
    </row>
    <row r="215" spans="1:7" x14ac:dyDescent="0.35">
      <c r="A215" t="s">
        <v>227</v>
      </c>
      <c r="B215" t="s">
        <v>230</v>
      </c>
      <c r="C215" t="s">
        <v>352</v>
      </c>
      <c r="D215" s="2">
        <v>0.62539999999999996</v>
      </c>
      <c r="E215" s="2">
        <v>0.37459999999999999</v>
      </c>
      <c r="G215">
        <v>84</v>
      </c>
    </row>
    <row r="216" spans="1:7" x14ac:dyDescent="0.35">
      <c r="A216" t="s">
        <v>227</v>
      </c>
      <c r="B216" t="s">
        <v>230</v>
      </c>
      <c r="C216" t="s">
        <v>353</v>
      </c>
      <c r="D216" s="2">
        <v>0.97519999999999996</v>
      </c>
      <c r="E216" s="2">
        <v>2.4799999999999999E-2</v>
      </c>
      <c r="G216">
        <v>151</v>
      </c>
    </row>
    <row r="217" spans="1:7" x14ac:dyDescent="0.35">
      <c r="A217" t="s">
        <v>228</v>
      </c>
      <c r="B217" t="s">
        <v>228</v>
      </c>
      <c r="C217" t="s">
        <v>228</v>
      </c>
      <c r="D217" s="2">
        <v>0.91400000000000003</v>
      </c>
      <c r="E217" s="2">
        <v>8.5500000000000007E-2</v>
      </c>
      <c r="F217" s="2">
        <v>5.9999999999999995E-4</v>
      </c>
      <c r="G217">
        <v>1059</v>
      </c>
    </row>
    <row r="219" spans="1:7" x14ac:dyDescent="0.35">
      <c r="A219" s="1" t="s">
        <v>356</v>
      </c>
    </row>
    <row r="220" spans="1:7" x14ac:dyDescent="0.35">
      <c r="A220" t="s">
        <v>219</v>
      </c>
      <c r="B220" t="s">
        <v>357</v>
      </c>
      <c r="C220" t="s">
        <v>358</v>
      </c>
      <c r="D220" t="s">
        <v>359</v>
      </c>
      <c r="E220" t="s">
        <v>226</v>
      </c>
    </row>
    <row r="221" spans="1:7" x14ac:dyDescent="0.35">
      <c r="A221" t="s">
        <v>227</v>
      </c>
      <c r="B221" s="2">
        <v>0.55589999999999995</v>
      </c>
      <c r="C221" s="2">
        <v>0.30869999999999997</v>
      </c>
      <c r="D221" s="2">
        <v>0.13539999999999999</v>
      </c>
      <c r="E221">
        <v>968</v>
      </c>
    </row>
    <row r="222" spans="1:7" x14ac:dyDescent="0.35">
      <c r="A222" t="s">
        <v>228</v>
      </c>
      <c r="B222" s="2">
        <v>0.55589999999999995</v>
      </c>
      <c r="C222" s="2">
        <v>0.30869999999999997</v>
      </c>
      <c r="D222" s="2">
        <v>0.13539999999999999</v>
      </c>
      <c r="E222">
        <v>968</v>
      </c>
    </row>
    <row r="224" spans="1:7" x14ac:dyDescent="0.35">
      <c r="A224" s="1" t="s">
        <v>360</v>
      </c>
    </row>
    <row r="225" spans="1:6" x14ac:dyDescent="0.35">
      <c r="A225" t="s">
        <v>219</v>
      </c>
      <c r="B225" t="s">
        <v>301</v>
      </c>
      <c r="C225" t="s">
        <v>357</v>
      </c>
      <c r="D225" t="s">
        <v>358</v>
      </c>
      <c r="E225" t="s">
        <v>359</v>
      </c>
      <c r="F225" t="s">
        <v>226</v>
      </c>
    </row>
    <row r="226" spans="1:6" x14ac:dyDescent="0.35">
      <c r="A226" t="s">
        <v>227</v>
      </c>
      <c r="B226" t="s">
        <v>238</v>
      </c>
      <c r="C226" s="2">
        <v>0.45240000000000002</v>
      </c>
      <c r="D226" s="2">
        <v>0.3579</v>
      </c>
      <c r="E226" s="2">
        <v>0.18970000000000001</v>
      </c>
      <c r="F226">
        <v>280</v>
      </c>
    </row>
    <row r="227" spans="1:6" x14ac:dyDescent="0.35">
      <c r="A227" t="s">
        <v>227</v>
      </c>
      <c r="B227" t="s">
        <v>237</v>
      </c>
      <c r="C227" s="2">
        <v>0.59950000000000003</v>
      </c>
      <c r="D227" s="2">
        <v>0.28799999999999998</v>
      </c>
      <c r="E227" s="2">
        <v>0.11260000000000001</v>
      </c>
      <c r="F227">
        <v>688</v>
      </c>
    </row>
    <row r="228" spans="1:6" x14ac:dyDescent="0.35">
      <c r="A228" t="s">
        <v>228</v>
      </c>
      <c r="B228" t="s">
        <v>228</v>
      </c>
      <c r="C228" s="2">
        <v>0.55589999999999995</v>
      </c>
      <c r="D228" s="2">
        <v>0.30869999999999997</v>
      </c>
      <c r="E228" s="2">
        <v>0.13539999999999999</v>
      </c>
      <c r="F228">
        <v>968</v>
      </c>
    </row>
    <row r="230" spans="1:6" x14ac:dyDescent="0.35">
      <c r="A230" s="1" t="s">
        <v>361</v>
      </c>
    </row>
    <row r="231" spans="1:6" x14ac:dyDescent="0.35">
      <c r="A231" t="s">
        <v>219</v>
      </c>
      <c r="B231" t="s">
        <v>301</v>
      </c>
      <c r="C231" t="s">
        <v>357</v>
      </c>
      <c r="D231" t="s">
        <v>358</v>
      </c>
      <c r="E231" t="s">
        <v>359</v>
      </c>
      <c r="F231" t="s">
        <v>226</v>
      </c>
    </row>
    <row r="232" spans="1:6" x14ac:dyDescent="0.35">
      <c r="A232" t="s">
        <v>227</v>
      </c>
      <c r="B232" t="s">
        <v>235</v>
      </c>
      <c r="C232" s="2">
        <v>0.57830000000000004</v>
      </c>
      <c r="D232" s="2">
        <v>0.31459999999999999</v>
      </c>
      <c r="E232" s="2">
        <v>0.107</v>
      </c>
      <c r="F232">
        <v>409</v>
      </c>
    </row>
    <row r="233" spans="1:6" x14ac:dyDescent="0.35">
      <c r="A233" t="s">
        <v>227</v>
      </c>
      <c r="B233" t="s">
        <v>234</v>
      </c>
      <c r="C233" s="2">
        <v>0.54190000000000005</v>
      </c>
      <c r="D233" s="2">
        <v>0.30499999999999999</v>
      </c>
      <c r="E233" s="2">
        <v>0.1532</v>
      </c>
      <c r="F233">
        <v>559</v>
      </c>
    </row>
    <row r="234" spans="1:6" x14ac:dyDescent="0.35">
      <c r="A234" t="s">
        <v>228</v>
      </c>
      <c r="B234" t="s">
        <v>228</v>
      </c>
      <c r="C234" s="2">
        <v>0.55589999999999995</v>
      </c>
      <c r="D234" s="2">
        <v>0.30869999999999997</v>
      </c>
      <c r="E234" s="2">
        <v>0.13539999999999999</v>
      </c>
      <c r="F234">
        <v>968</v>
      </c>
    </row>
    <row r="236" spans="1:6" x14ac:dyDescent="0.35">
      <c r="A236" s="1" t="s">
        <v>362</v>
      </c>
    </row>
    <row r="237" spans="1:6" x14ac:dyDescent="0.35">
      <c r="A237" t="s">
        <v>219</v>
      </c>
      <c r="B237" t="s">
        <v>301</v>
      </c>
      <c r="C237" t="s">
        <v>357</v>
      </c>
      <c r="D237" t="s">
        <v>358</v>
      </c>
      <c r="E237" t="s">
        <v>359</v>
      </c>
      <c r="F237" t="s">
        <v>226</v>
      </c>
    </row>
    <row r="238" spans="1:6" x14ac:dyDescent="0.35">
      <c r="A238" t="s">
        <v>227</v>
      </c>
      <c r="B238" t="s">
        <v>240</v>
      </c>
      <c r="C238" s="2">
        <v>0.54830000000000001</v>
      </c>
      <c r="D238" s="2">
        <v>0.31440000000000001</v>
      </c>
      <c r="E238" s="2">
        <v>0.13719999999999999</v>
      </c>
      <c r="F238">
        <v>695</v>
      </c>
    </row>
    <row r="239" spans="1:6" x14ac:dyDescent="0.35">
      <c r="A239" t="s">
        <v>227</v>
      </c>
      <c r="B239" t="s">
        <v>242</v>
      </c>
      <c r="C239" s="2">
        <v>0.57240000000000002</v>
      </c>
      <c r="D239" s="2">
        <v>0.29620000000000002</v>
      </c>
      <c r="E239" s="2">
        <v>0.13139999999999999</v>
      </c>
      <c r="F239">
        <v>273</v>
      </c>
    </row>
    <row r="240" spans="1:6" x14ac:dyDescent="0.35">
      <c r="A240" t="s">
        <v>228</v>
      </c>
      <c r="B240" t="s">
        <v>228</v>
      </c>
      <c r="C240" s="2">
        <v>0.55589999999999995</v>
      </c>
      <c r="D240" s="2">
        <v>0.30869999999999997</v>
      </c>
      <c r="E240" s="2">
        <v>0.13539999999999999</v>
      </c>
      <c r="F240">
        <v>968</v>
      </c>
    </row>
    <row r="242" spans="1:6" x14ac:dyDescent="0.35">
      <c r="A242" s="1" t="s">
        <v>363</v>
      </c>
    </row>
    <row r="243" spans="1:6" x14ac:dyDescent="0.35">
      <c r="A243" t="s">
        <v>219</v>
      </c>
      <c r="B243" t="s">
        <v>301</v>
      </c>
      <c r="C243" t="s">
        <v>357</v>
      </c>
      <c r="D243" t="s">
        <v>358</v>
      </c>
      <c r="E243" t="s">
        <v>359</v>
      </c>
      <c r="F243" t="s">
        <v>226</v>
      </c>
    </row>
    <row r="244" spans="1:6" x14ac:dyDescent="0.35">
      <c r="A244" t="s">
        <v>227</v>
      </c>
      <c r="B244" t="s">
        <v>334</v>
      </c>
      <c r="C244" s="2">
        <v>0.61850000000000005</v>
      </c>
      <c r="D244" s="2">
        <v>0.2392</v>
      </c>
      <c r="E244" s="2">
        <v>0.14230000000000001</v>
      </c>
      <c r="F244">
        <v>290</v>
      </c>
    </row>
    <row r="245" spans="1:6" x14ac:dyDescent="0.35">
      <c r="A245" t="s">
        <v>227</v>
      </c>
      <c r="B245" t="s">
        <v>335</v>
      </c>
      <c r="C245" s="2">
        <v>0.5786</v>
      </c>
      <c r="D245" s="2">
        <v>0.34960000000000002</v>
      </c>
      <c r="E245" s="2">
        <v>7.1800000000000003E-2</v>
      </c>
      <c r="F245">
        <v>157</v>
      </c>
    </row>
    <row r="246" spans="1:6" x14ac:dyDescent="0.35">
      <c r="A246" t="s">
        <v>227</v>
      </c>
      <c r="B246" t="s">
        <v>336</v>
      </c>
      <c r="C246" s="2">
        <v>0.42199999999999999</v>
      </c>
      <c r="D246" s="2">
        <v>0.41120000000000001</v>
      </c>
      <c r="E246" s="2">
        <v>0.1668</v>
      </c>
      <c r="F246">
        <v>227</v>
      </c>
    </row>
    <row r="247" spans="1:6" x14ac:dyDescent="0.35">
      <c r="A247" t="s">
        <v>227</v>
      </c>
      <c r="B247" t="s">
        <v>337</v>
      </c>
      <c r="C247" s="2">
        <v>0.58260000000000001</v>
      </c>
      <c r="D247" s="2">
        <v>0.2676</v>
      </c>
      <c r="E247" s="2">
        <v>0.14979999999999999</v>
      </c>
      <c r="F247">
        <v>171</v>
      </c>
    </row>
    <row r="248" spans="1:6" x14ac:dyDescent="0.35">
      <c r="A248" t="s">
        <v>228</v>
      </c>
      <c r="B248" t="s">
        <v>228</v>
      </c>
      <c r="C248" s="2">
        <v>0.55589999999999995</v>
      </c>
      <c r="D248" s="2">
        <v>0.30869999999999997</v>
      </c>
      <c r="E248" s="2">
        <v>0.13539999999999999</v>
      </c>
      <c r="F248">
        <v>845</v>
      </c>
    </row>
    <row r="250" spans="1:6" x14ac:dyDescent="0.35">
      <c r="A250" s="1" t="s">
        <v>364</v>
      </c>
    </row>
    <row r="251" spans="1:6" x14ac:dyDescent="0.35">
      <c r="A251" t="s">
        <v>219</v>
      </c>
      <c r="B251" t="s">
        <v>301</v>
      </c>
      <c r="C251" t="s">
        <v>357</v>
      </c>
      <c r="D251" t="s">
        <v>358</v>
      </c>
      <c r="E251" t="s">
        <v>359</v>
      </c>
      <c r="F251" t="s">
        <v>226</v>
      </c>
    </row>
    <row r="252" spans="1:6" x14ac:dyDescent="0.35">
      <c r="A252" t="s">
        <v>227</v>
      </c>
      <c r="B252" t="s">
        <v>263</v>
      </c>
      <c r="C252" s="2">
        <v>0.5857</v>
      </c>
      <c r="D252" s="2">
        <v>0.30909999999999999</v>
      </c>
      <c r="E252" s="2">
        <v>0.1052</v>
      </c>
      <c r="F252">
        <v>137</v>
      </c>
    </row>
    <row r="253" spans="1:6" x14ac:dyDescent="0.35">
      <c r="A253" t="s">
        <v>227</v>
      </c>
      <c r="B253" t="s">
        <v>262</v>
      </c>
      <c r="C253" s="2">
        <v>0.52439999999999998</v>
      </c>
      <c r="D253" s="2">
        <v>0.28449999999999998</v>
      </c>
      <c r="E253" s="2">
        <v>0.19120000000000001</v>
      </c>
      <c r="F253">
        <v>318</v>
      </c>
    </row>
    <row r="254" spans="1:6" x14ac:dyDescent="0.35">
      <c r="A254" t="s">
        <v>227</v>
      </c>
      <c r="B254" t="s">
        <v>261</v>
      </c>
      <c r="C254" s="2">
        <v>0.56430000000000002</v>
      </c>
      <c r="D254" s="2">
        <v>0.32050000000000001</v>
      </c>
      <c r="E254" s="2">
        <v>0.1152</v>
      </c>
      <c r="F254">
        <v>513</v>
      </c>
    </row>
    <row r="255" spans="1:6" x14ac:dyDescent="0.35">
      <c r="A255" t="s">
        <v>228</v>
      </c>
      <c r="B255" t="s">
        <v>228</v>
      </c>
      <c r="C255" s="2">
        <v>0.55589999999999995</v>
      </c>
      <c r="D255" s="2">
        <v>0.30869999999999997</v>
      </c>
      <c r="E255" s="2">
        <v>0.13539999999999999</v>
      </c>
      <c r="F255">
        <v>968</v>
      </c>
    </row>
    <row r="257" spans="1:6" x14ac:dyDescent="0.35">
      <c r="A257" s="1" t="s">
        <v>365</v>
      </c>
    </row>
    <row r="258" spans="1:6" x14ac:dyDescent="0.35">
      <c r="A258" t="s">
        <v>219</v>
      </c>
      <c r="B258" t="s">
        <v>301</v>
      </c>
      <c r="C258" t="s">
        <v>357</v>
      </c>
      <c r="D258" t="s">
        <v>358</v>
      </c>
      <c r="E258" t="s">
        <v>359</v>
      </c>
      <c r="F258" t="s">
        <v>226</v>
      </c>
    </row>
    <row r="259" spans="1:6" x14ac:dyDescent="0.35">
      <c r="A259" s="3" t="s">
        <v>227</v>
      </c>
      <c r="B259" s="3" t="s">
        <v>248</v>
      </c>
      <c r="C259" s="4">
        <v>0.74919999999999998</v>
      </c>
      <c r="D259" s="4">
        <v>0.25080000000000002</v>
      </c>
      <c r="E259" s="5"/>
      <c r="F259" s="5" t="s">
        <v>366</v>
      </c>
    </row>
    <row r="260" spans="1:6" x14ac:dyDescent="0.35">
      <c r="A260" t="s">
        <v>227</v>
      </c>
      <c r="B260" t="s">
        <v>249</v>
      </c>
      <c r="C260" s="2">
        <v>0.46489999999999998</v>
      </c>
      <c r="D260" s="2">
        <v>0.38969999999999999</v>
      </c>
      <c r="E260" s="2">
        <v>0.1454</v>
      </c>
      <c r="F260">
        <v>205</v>
      </c>
    </row>
    <row r="261" spans="1:6" x14ac:dyDescent="0.35">
      <c r="A261" t="s">
        <v>227</v>
      </c>
      <c r="B261" t="s">
        <v>247</v>
      </c>
      <c r="C261" s="2">
        <v>0.57440000000000002</v>
      </c>
      <c r="D261" s="2">
        <v>0.28960000000000002</v>
      </c>
      <c r="E261" s="2">
        <v>0.13600000000000001</v>
      </c>
      <c r="F261">
        <v>756</v>
      </c>
    </row>
    <row r="262" spans="1:6" x14ac:dyDescent="0.35">
      <c r="A262" t="s">
        <v>228</v>
      </c>
      <c r="B262" t="s">
        <v>228</v>
      </c>
      <c r="C262" s="2">
        <v>0.55589999999999995</v>
      </c>
      <c r="D262" s="2">
        <v>0.30869999999999997</v>
      </c>
      <c r="E262" s="2">
        <v>0.13539999999999999</v>
      </c>
      <c r="F262">
        <v>968</v>
      </c>
    </row>
    <row r="264" spans="1:6" x14ac:dyDescent="0.35">
      <c r="A264" s="1" t="s">
        <v>367</v>
      </c>
    </row>
    <row r="265" spans="1:6" x14ac:dyDescent="0.35">
      <c r="A265" t="s">
        <v>219</v>
      </c>
      <c r="B265" t="s">
        <v>301</v>
      </c>
      <c r="C265" t="s">
        <v>357</v>
      </c>
      <c r="D265" t="s">
        <v>358</v>
      </c>
      <c r="E265" t="s">
        <v>359</v>
      </c>
      <c r="F265" t="s">
        <v>226</v>
      </c>
    </row>
    <row r="266" spans="1:6" x14ac:dyDescent="0.35">
      <c r="A266" s="3" t="s">
        <v>227</v>
      </c>
      <c r="B266" s="3" t="s">
        <v>259</v>
      </c>
      <c r="C266" s="4">
        <v>0.47410000000000002</v>
      </c>
      <c r="D266" s="4">
        <v>0.37509999999999999</v>
      </c>
      <c r="E266" s="4">
        <v>0.15090000000000001</v>
      </c>
      <c r="F266" s="5" t="s">
        <v>368</v>
      </c>
    </row>
    <row r="267" spans="1:6" x14ac:dyDescent="0.35">
      <c r="A267" t="s">
        <v>227</v>
      </c>
      <c r="B267" t="s">
        <v>257</v>
      </c>
      <c r="C267" s="2">
        <v>0.48020000000000002</v>
      </c>
      <c r="D267" s="2">
        <v>0.1749</v>
      </c>
      <c r="E267" s="2">
        <v>0.34499999999999997</v>
      </c>
      <c r="F267">
        <v>159</v>
      </c>
    </row>
    <row r="268" spans="1:6" x14ac:dyDescent="0.35">
      <c r="A268" t="s">
        <v>227</v>
      </c>
      <c r="B268" t="s">
        <v>256</v>
      </c>
      <c r="C268" s="2">
        <v>0.57369999999999999</v>
      </c>
      <c r="D268" s="2">
        <v>0.34670000000000001</v>
      </c>
      <c r="E268" s="2">
        <v>7.9500000000000001E-2</v>
      </c>
      <c r="F268">
        <v>517</v>
      </c>
    </row>
    <row r="269" spans="1:6" x14ac:dyDescent="0.35">
      <c r="A269" s="3" t="s">
        <v>227</v>
      </c>
      <c r="B269" s="3" t="s">
        <v>232</v>
      </c>
      <c r="C269" s="5"/>
      <c r="D269" s="4">
        <v>0.42620000000000002</v>
      </c>
      <c r="E269" s="4">
        <v>0.57379999999999998</v>
      </c>
      <c r="F269" s="5" t="s">
        <v>341</v>
      </c>
    </row>
    <row r="270" spans="1:6" x14ac:dyDescent="0.35">
      <c r="A270" t="s">
        <v>227</v>
      </c>
      <c r="B270" t="s">
        <v>258</v>
      </c>
      <c r="C270" s="2">
        <v>0.56920000000000004</v>
      </c>
      <c r="D270" s="2">
        <v>0.28670000000000001</v>
      </c>
      <c r="E270" s="2">
        <v>0.14410000000000001</v>
      </c>
      <c r="F270">
        <v>264</v>
      </c>
    </row>
    <row r="271" spans="1:6" x14ac:dyDescent="0.35">
      <c r="A271" t="s">
        <v>228</v>
      </c>
      <c r="B271" t="s">
        <v>228</v>
      </c>
      <c r="C271" s="2">
        <v>0.55589999999999995</v>
      </c>
      <c r="D271" s="2">
        <v>0.30869999999999997</v>
      </c>
      <c r="E271" s="2">
        <v>0.13539999999999999</v>
      </c>
      <c r="F271">
        <v>968</v>
      </c>
    </row>
    <row r="273" spans="1:6" x14ac:dyDescent="0.35">
      <c r="A273" s="1" t="s">
        <v>369</v>
      </c>
    </row>
    <row r="274" spans="1:6" x14ac:dyDescent="0.35">
      <c r="A274" t="s">
        <v>219</v>
      </c>
      <c r="B274" t="s">
        <v>301</v>
      </c>
      <c r="C274" t="s">
        <v>357</v>
      </c>
      <c r="D274" t="s">
        <v>358</v>
      </c>
      <c r="E274" t="s">
        <v>359</v>
      </c>
      <c r="F274" t="s">
        <v>226</v>
      </c>
    </row>
    <row r="275" spans="1:6" x14ac:dyDescent="0.35">
      <c r="A275" t="s">
        <v>227</v>
      </c>
      <c r="B275" t="s">
        <v>343</v>
      </c>
      <c r="C275" s="2">
        <v>0.48020000000000002</v>
      </c>
      <c r="D275" s="2">
        <v>0.1749</v>
      </c>
      <c r="E275" s="2">
        <v>0.34499999999999997</v>
      </c>
      <c r="F275">
        <v>159</v>
      </c>
    </row>
    <row r="276" spans="1:6" x14ac:dyDescent="0.35">
      <c r="A276" t="s">
        <v>227</v>
      </c>
      <c r="B276" t="s">
        <v>344</v>
      </c>
      <c r="C276" s="2">
        <v>0.56910000000000005</v>
      </c>
      <c r="D276" s="2">
        <v>0.33189999999999997</v>
      </c>
      <c r="E276" s="2">
        <v>9.9000000000000005E-2</v>
      </c>
      <c r="F276">
        <v>809</v>
      </c>
    </row>
    <row r="277" spans="1:6" x14ac:dyDescent="0.35">
      <c r="A277" t="s">
        <v>228</v>
      </c>
      <c r="B277" t="s">
        <v>228</v>
      </c>
      <c r="C277" s="2">
        <v>0.55589999999999995</v>
      </c>
      <c r="D277" s="2">
        <v>0.30869999999999997</v>
      </c>
      <c r="E277" s="2">
        <v>0.13539999999999999</v>
      </c>
      <c r="F277">
        <v>968</v>
      </c>
    </row>
    <row r="279" spans="1:6" x14ac:dyDescent="0.35">
      <c r="A279" s="1" t="s">
        <v>370</v>
      </c>
    </row>
    <row r="280" spans="1:6" x14ac:dyDescent="0.35">
      <c r="A280" t="s">
        <v>219</v>
      </c>
      <c r="B280" t="s">
        <v>301</v>
      </c>
      <c r="C280" t="s">
        <v>357</v>
      </c>
      <c r="D280" t="s">
        <v>358</v>
      </c>
      <c r="E280" t="s">
        <v>359</v>
      </c>
      <c r="F280" t="s">
        <v>226</v>
      </c>
    </row>
    <row r="281" spans="1:6" x14ac:dyDescent="0.35">
      <c r="A281" t="s">
        <v>227</v>
      </c>
      <c r="B281" t="s">
        <v>346</v>
      </c>
      <c r="C281" s="2">
        <v>0.60160000000000002</v>
      </c>
      <c r="D281" s="2">
        <v>0.3135</v>
      </c>
      <c r="E281" s="2">
        <v>8.4900000000000003E-2</v>
      </c>
      <c r="F281">
        <v>570</v>
      </c>
    </row>
    <row r="282" spans="1:6" x14ac:dyDescent="0.35">
      <c r="A282" t="s">
        <v>227</v>
      </c>
      <c r="B282" t="s">
        <v>347</v>
      </c>
      <c r="C282" s="2">
        <v>0.2039</v>
      </c>
      <c r="D282" s="2">
        <v>0.19089999999999999</v>
      </c>
      <c r="E282" s="2">
        <v>0.60519999999999996</v>
      </c>
      <c r="F282">
        <v>167</v>
      </c>
    </row>
    <row r="283" spans="1:6" x14ac:dyDescent="0.35">
      <c r="A283" t="s">
        <v>227</v>
      </c>
      <c r="B283" t="s">
        <v>348</v>
      </c>
      <c r="C283" s="2">
        <v>0.1452</v>
      </c>
      <c r="D283" s="2">
        <v>0.2984</v>
      </c>
      <c r="E283" s="2">
        <v>0.55649999999999999</v>
      </c>
      <c r="F283">
        <v>231</v>
      </c>
    </row>
    <row r="284" spans="1:6" x14ac:dyDescent="0.35">
      <c r="A284" t="s">
        <v>228</v>
      </c>
      <c r="B284" t="s">
        <v>228</v>
      </c>
      <c r="C284" s="2">
        <v>0.55589999999999995</v>
      </c>
      <c r="D284" s="2">
        <v>0.30869999999999997</v>
      </c>
      <c r="E284" s="2">
        <v>0.13539999999999999</v>
      </c>
      <c r="F284">
        <v>968</v>
      </c>
    </row>
    <row r="286" spans="1:6" x14ac:dyDescent="0.35">
      <c r="A286" s="1" t="s">
        <v>371</v>
      </c>
    </row>
    <row r="287" spans="1:6" x14ac:dyDescent="0.35">
      <c r="A287" t="s">
        <v>219</v>
      </c>
      <c r="B287" t="s">
        <v>301</v>
      </c>
      <c r="C287" t="s">
        <v>357</v>
      </c>
      <c r="D287" t="s">
        <v>358</v>
      </c>
      <c r="E287" t="s">
        <v>359</v>
      </c>
      <c r="F287" t="s">
        <v>226</v>
      </c>
    </row>
    <row r="288" spans="1:6" x14ac:dyDescent="0.35">
      <c r="A288" t="s">
        <v>227</v>
      </c>
      <c r="B288" t="s">
        <v>350</v>
      </c>
      <c r="C288" s="2">
        <v>0.48420000000000002</v>
      </c>
      <c r="D288" s="2">
        <v>0.34420000000000001</v>
      </c>
      <c r="E288" s="2">
        <v>0.1716</v>
      </c>
      <c r="F288">
        <v>398</v>
      </c>
    </row>
    <row r="289" spans="1:7" x14ac:dyDescent="0.35">
      <c r="A289" t="s">
        <v>227</v>
      </c>
      <c r="B289" t="s">
        <v>351</v>
      </c>
      <c r="C289" s="2">
        <v>0.49209999999999998</v>
      </c>
      <c r="D289" s="2">
        <v>0.34300000000000003</v>
      </c>
      <c r="E289" s="2">
        <v>0.16489999999999999</v>
      </c>
      <c r="F289">
        <v>218</v>
      </c>
    </row>
    <row r="290" spans="1:7" x14ac:dyDescent="0.35">
      <c r="A290" t="s">
        <v>227</v>
      </c>
      <c r="B290" t="s">
        <v>352</v>
      </c>
      <c r="C290" s="2">
        <v>0.92290000000000005</v>
      </c>
      <c r="D290" s="2">
        <v>5.8000000000000003E-2</v>
      </c>
      <c r="E290" s="2">
        <v>1.9099999999999999E-2</v>
      </c>
      <c r="F290">
        <v>93</v>
      </c>
    </row>
    <row r="291" spans="1:7" x14ac:dyDescent="0.35">
      <c r="A291" t="s">
        <v>227</v>
      </c>
      <c r="B291" t="s">
        <v>353</v>
      </c>
      <c r="C291" s="2">
        <v>0.56910000000000005</v>
      </c>
      <c r="D291" s="2">
        <v>0.32779999999999998</v>
      </c>
      <c r="E291" s="2">
        <v>0.1032</v>
      </c>
      <c r="F291">
        <v>259</v>
      </c>
    </row>
    <row r="292" spans="1:7" x14ac:dyDescent="0.35">
      <c r="A292" t="s">
        <v>228</v>
      </c>
      <c r="B292" t="s">
        <v>228</v>
      </c>
      <c r="C292" s="2">
        <v>0.55589999999999995</v>
      </c>
      <c r="D292" s="2">
        <v>0.30869999999999997</v>
      </c>
      <c r="E292" s="2">
        <v>0.13539999999999999</v>
      </c>
      <c r="F292">
        <v>968</v>
      </c>
    </row>
    <row r="294" spans="1:7" x14ac:dyDescent="0.35">
      <c r="A294" s="1" t="s">
        <v>372</v>
      </c>
    </row>
    <row r="295" spans="1:7" x14ac:dyDescent="0.35">
      <c r="A295" t="s">
        <v>219</v>
      </c>
      <c r="B295" t="s">
        <v>301</v>
      </c>
      <c r="C295" t="s">
        <v>357</v>
      </c>
      <c r="D295" t="s">
        <v>358</v>
      </c>
      <c r="E295" t="s">
        <v>359</v>
      </c>
      <c r="F295" t="s">
        <v>226</v>
      </c>
    </row>
    <row r="296" spans="1:7" x14ac:dyDescent="0.35">
      <c r="A296" t="s">
        <v>227</v>
      </c>
      <c r="B296" t="s">
        <v>231</v>
      </c>
      <c r="C296" s="2">
        <v>0.51100000000000001</v>
      </c>
      <c r="D296" s="2">
        <v>0.32840000000000003</v>
      </c>
      <c r="E296" s="2">
        <v>0.16070000000000001</v>
      </c>
      <c r="F296">
        <v>483</v>
      </c>
    </row>
    <row r="297" spans="1:7" x14ac:dyDescent="0.35">
      <c r="A297" s="3" t="s">
        <v>227</v>
      </c>
      <c r="B297" s="3" t="s">
        <v>232</v>
      </c>
      <c r="C297" s="5"/>
      <c r="D297" s="4">
        <v>1</v>
      </c>
      <c r="E297" s="5"/>
      <c r="F297" s="5" t="s">
        <v>323</v>
      </c>
    </row>
    <row r="298" spans="1:7" x14ac:dyDescent="0.35">
      <c r="A298" t="s">
        <v>227</v>
      </c>
      <c r="B298" t="s">
        <v>230</v>
      </c>
      <c r="C298" s="2">
        <v>0.60160000000000002</v>
      </c>
      <c r="D298" s="2">
        <v>0.28849999999999998</v>
      </c>
      <c r="E298" s="2">
        <v>0.1099</v>
      </c>
      <c r="F298">
        <v>484</v>
      </c>
    </row>
    <row r="299" spans="1:7" x14ac:dyDescent="0.35">
      <c r="A299" t="s">
        <v>228</v>
      </c>
      <c r="B299" t="s">
        <v>228</v>
      </c>
      <c r="C299" s="2">
        <v>0.55589999999999995</v>
      </c>
      <c r="D299" s="2">
        <v>0.30869999999999997</v>
      </c>
      <c r="E299" s="2">
        <v>0.13539999999999999</v>
      </c>
      <c r="F299">
        <v>968</v>
      </c>
    </row>
    <row r="301" spans="1:7" x14ac:dyDescent="0.35">
      <c r="A301" s="1" t="s">
        <v>373</v>
      </c>
    </row>
    <row r="302" spans="1:7" x14ac:dyDescent="0.35">
      <c r="A302" t="s">
        <v>219</v>
      </c>
      <c r="B302" t="s">
        <v>301</v>
      </c>
      <c r="C302" t="s">
        <v>325</v>
      </c>
      <c r="D302" t="s">
        <v>357</v>
      </c>
      <c r="E302" t="s">
        <v>358</v>
      </c>
      <c r="F302" t="s">
        <v>359</v>
      </c>
      <c r="G302" t="s">
        <v>226</v>
      </c>
    </row>
    <row r="303" spans="1:7" x14ac:dyDescent="0.35">
      <c r="A303" t="s">
        <v>227</v>
      </c>
      <c r="B303" t="s">
        <v>231</v>
      </c>
      <c r="C303" t="s">
        <v>350</v>
      </c>
      <c r="D303" s="2">
        <v>0.4244</v>
      </c>
      <c r="E303" s="2">
        <v>0.3498</v>
      </c>
      <c r="F303" s="2">
        <v>0.2258</v>
      </c>
      <c r="G303">
        <v>210</v>
      </c>
    </row>
    <row r="304" spans="1:7" x14ac:dyDescent="0.35">
      <c r="A304" t="s">
        <v>227</v>
      </c>
      <c r="B304" t="s">
        <v>231</v>
      </c>
      <c r="C304" t="s">
        <v>351</v>
      </c>
      <c r="D304" s="2">
        <v>0.45040000000000002</v>
      </c>
      <c r="E304" s="2">
        <v>0.38369999999999999</v>
      </c>
      <c r="F304" s="2">
        <v>0.16589999999999999</v>
      </c>
      <c r="G304">
        <v>116</v>
      </c>
    </row>
    <row r="305" spans="1:18" x14ac:dyDescent="0.35">
      <c r="A305" t="s">
        <v>227</v>
      </c>
      <c r="B305" t="s">
        <v>231</v>
      </c>
      <c r="C305" t="s">
        <v>352</v>
      </c>
      <c r="D305" s="2">
        <v>0.98519999999999996</v>
      </c>
      <c r="E305" s="2">
        <v>1.35E-2</v>
      </c>
      <c r="F305" s="2">
        <v>1.1999999999999999E-3</v>
      </c>
      <c r="G305">
        <v>45</v>
      </c>
    </row>
    <row r="306" spans="1:18" x14ac:dyDescent="0.35">
      <c r="A306" t="s">
        <v>227</v>
      </c>
      <c r="B306" t="s">
        <v>231</v>
      </c>
      <c r="C306" t="s">
        <v>353</v>
      </c>
      <c r="D306" s="2">
        <v>0.50060000000000004</v>
      </c>
      <c r="E306" s="2">
        <v>0.3856</v>
      </c>
      <c r="F306" s="2">
        <v>0.1138</v>
      </c>
      <c r="G306">
        <v>112</v>
      </c>
    </row>
    <row r="307" spans="1:18" x14ac:dyDescent="0.35">
      <c r="A307" s="3" t="s">
        <v>227</v>
      </c>
      <c r="B307" s="3" t="s">
        <v>232</v>
      </c>
      <c r="C307" s="3" t="s">
        <v>350</v>
      </c>
      <c r="D307" s="5"/>
      <c r="E307" s="4">
        <v>1</v>
      </c>
      <c r="F307" s="5"/>
      <c r="G307" s="5" t="s">
        <v>323</v>
      </c>
    </row>
    <row r="308" spans="1:18" x14ac:dyDescent="0.35">
      <c r="A308" t="s">
        <v>227</v>
      </c>
      <c r="B308" t="s">
        <v>230</v>
      </c>
      <c r="C308" t="s">
        <v>350</v>
      </c>
      <c r="D308" s="2">
        <v>0.55640000000000001</v>
      </c>
      <c r="E308" s="2">
        <v>0.3367</v>
      </c>
      <c r="F308" s="2">
        <v>0.107</v>
      </c>
      <c r="G308">
        <v>187</v>
      </c>
    </row>
    <row r="309" spans="1:18" x14ac:dyDescent="0.35">
      <c r="A309" t="s">
        <v>227</v>
      </c>
      <c r="B309" t="s">
        <v>230</v>
      </c>
      <c r="C309" t="s">
        <v>351</v>
      </c>
      <c r="D309" s="2">
        <v>0.53380000000000005</v>
      </c>
      <c r="E309" s="2">
        <v>0.3024</v>
      </c>
      <c r="F309" s="2">
        <v>0.1638</v>
      </c>
      <c r="G309">
        <v>102</v>
      </c>
    </row>
    <row r="310" spans="1:18" x14ac:dyDescent="0.35">
      <c r="A310" t="s">
        <v>227</v>
      </c>
      <c r="B310" t="s">
        <v>230</v>
      </c>
      <c r="C310" t="s">
        <v>352</v>
      </c>
      <c r="D310" s="2">
        <v>0.8548</v>
      </c>
      <c r="E310" s="2">
        <v>0.1067</v>
      </c>
      <c r="F310" s="2">
        <v>3.8600000000000002E-2</v>
      </c>
      <c r="G310">
        <v>48</v>
      </c>
    </row>
    <row r="311" spans="1:18" x14ac:dyDescent="0.35">
      <c r="A311" t="s">
        <v>227</v>
      </c>
      <c r="B311" t="s">
        <v>230</v>
      </c>
      <c r="C311" t="s">
        <v>353</v>
      </c>
      <c r="D311" s="2">
        <v>0.62190000000000001</v>
      </c>
      <c r="E311" s="2">
        <v>0.28310000000000002</v>
      </c>
      <c r="F311" s="2">
        <v>9.5000000000000001E-2</v>
      </c>
      <c r="G311">
        <v>147</v>
      </c>
    </row>
    <row r="312" spans="1:18" x14ac:dyDescent="0.35">
      <c r="A312" t="s">
        <v>228</v>
      </c>
      <c r="B312" t="s">
        <v>228</v>
      </c>
      <c r="C312" t="s">
        <v>228</v>
      </c>
      <c r="D312" s="2">
        <v>0.55589999999999995</v>
      </c>
      <c r="E312" s="2">
        <v>0.30869999999999997</v>
      </c>
      <c r="F312" s="2">
        <v>0.13539999999999999</v>
      </c>
      <c r="G312">
        <v>968</v>
      </c>
    </row>
    <row r="314" spans="1:18" x14ac:dyDescent="0.35">
      <c r="A314" s="1" t="s">
        <v>374</v>
      </c>
    </row>
    <row r="315" spans="1:18" x14ac:dyDescent="0.35">
      <c r="A315" t="s">
        <v>219</v>
      </c>
      <c r="B315" t="s">
        <v>375</v>
      </c>
      <c r="C315" t="s">
        <v>376</v>
      </c>
      <c r="D315" t="s">
        <v>377</v>
      </c>
      <c r="E315" t="s">
        <v>378</v>
      </c>
      <c r="F315" t="s">
        <v>379</v>
      </c>
      <c r="G315" t="s">
        <v>380</v>
      </c>
      <c r="H315" t="s">
        <v>381</v>
      </c>
      <c r="I315" t="s">
        <v>382</v>
      </c>
      <c r="J315" t="s">
        <v>383</v>
      </c>
      <c r="K315" t="s">
        <v>384</v>
      </c>
      <c r="L315" t="s">
        <v>385</v>
      </c>
      <c r="M315" t="s">
        <v>386</v>
      </c>
      <c r="N315" t="s">
        <v>387</v>
      </c>
      <c r="O315" t="s">
        <v>388</v>
      </c>
      <c r="P315" t="s">
        <v>277</v>
      </c>
      <c r="Q315" t="s">
        <v>226</v>
      </c>
    </row>
    <row r="316" spans="1:18" x14ac:dyDescent="0.35">
      <c r="A316" t="s">
        <v>227</v>
      </c>
      <c r="B316" s="2">
        <v>0.15359999999999999</v>
      </c>
      <c r="C316" s="2">
        <v>0.1013</v>
      </c>
      <c r="D316" s="2">
        <v>9.2399999999999996E-2</v>
      </c>
      <c r="E316" s="2">
        <v>8.9099999999999999E-2</v>
      </c>
      <c r="F316" s="2">
        <v>8.4699999999999998E-2</v>
      </c>
      <c r="G316" s="2">
        <v>0.08</v>
      </c>
      <c r="H316" s="2">
        <v>7.9899999999999999E-2</v>
      </c>
      <c r="I316" s="2">
        <v>6.5000000000000002E-2</v>
      </c>
      <c r="J316" s="2">
        <v>5.8700000000000002E-2</v>
      </c>
      <c r="K316" s="2">
        <v>5.4100000000000002E-2</v>
      </c>
      <c r="L316" s="2">
        <v>5.33E-2</v>
      </c>
      <c r="M316" s="2">
        <v>3.5999999999999997E-2</v>
      </c>
      <c r="N316" s="2">
        <v>3.5900000000000001E-2</v>
      </c>
      <c r="O316" s="2">
        <v>9.7000000000000003E-3</v>
      </c>
      <c r="P316" s="2">
        <v>6.1999999999999998E-3</v>
      </c>
      <c r="Q316">
        <v>967</v>
      </c>
    </row>
    <row r="317" spans="1:18" x14ac:dyDescent="0.35">
      <c r="A317" t="s">
        <v>228</v>
      </c>
      <c r="B317" s="2">
        <v>0.15359999999999999</v>
      </c>
      <c r="C317" s="2">
        <v>0.1013</v>
      </c>
      <c r="D317" s="2">
        <v>9.2399999999999996E-2</v>
      </c>
      <c r="E317" s="2">
        <v>8.9099999999999999E-2</v>
      </c>
      <c r="F317" s="2">
        <v>8.4699999999999998E-2</v>
      </c>
      <c r="G317" s="2">
        <v>0.08</v>
      </c>
      <c r="H317" s="2">
        <v>7.9899999999999999E-2</v>
      </c>
      <c r="I317" s="2">
        <v>6.5000000000000002E-2</v>
      </c>
      <c r="J317" s="2">
        <v>5.8700000000000002E-2</v>
      </c>
      <c r="K317" s="2">
        <v>5.4100000000000002E-2</v>
      </c>
      <c r="L317" s="2">
        <v>5.33E-2</v>
      </c>
      <c r="M317" s="2">
        <v>3.5999999999999997E-2</v>
      </c>
      <c r="N317" s="2">
        <v>3.5900000000000001E-2</v>
      </c>
      <c r="O317" s="2">
        <v>9.7000000000000003E-3</v>
      </c>
      <c r="P317" s="2">
        <v>6.1999999999999998E-3</v>
      </c>
      <c r="Q317">
        <v>967</v>
      </c>
    </row>
    <row r="319" spans="1:18" x14ac:dyDescent="0.35">
      <c r="A319" s="1" t="s">
        <v>389</v>
      </c>
    </row>
    <row r="320" spans="1:18" x14ac:dyDescent="0.35">
      <c r="A320" t="s">
        <v>219</v>
      </c>
      <c r="B320" t="s">
        <v>301</v>
      </c>
      <c r="C320" t="s">
        <v>375</v>
      </c>
      <c r="D320" t="s">
        <v>376</v>
      </c>
      <c r="E320" t="s">
        <v>377</v>
      </c>
      <c r="F320" t="s">
        <v>378</v>
      </c>
      <c r="G320" t="s">
        <v>379</v>
      </c>
      <c r="H320" t="s">
        <v>380</v>
      </c>
      <c r="I320" t="s">
        <v>381</v>
      </c>
      <c r="J320" t="s">
        <v>382</v>
      </c>
      <c r="K320" t="s">
        <v>383</v>
      </c>
      <c r="L320" t="s">
        <v>384</v>
      </c>
      <c r="M320" t="s">
        <v>385</v>
      </c>
      <c r="N320" t="s">
        <v>386</v>
      </c>
      <c r="O320" t="s">
        <v>387</v>
      </c>
      <c r="P320" t="s">
        <v>388</v>
      </c>
      <c r="Q320" t="s">
        <v>277</v>
      </c>
      <c r="R320" t="s">
        <v>226</v>
      </c>
    </row>
    <row r="321" spans="1:18" x14ac:dyDescent="0.35">
      <c r="A321" t="s">
        <v>227</v>
      </c>
      <c r="B321" t="s">
        <v>238</v>
      </c>
      <c r="C321" s="2">
        <v>0.1211</v>
      </c>
      <c r="D321" s="2">
        <v>8.0199999999999994E-2</v>
      </c>
      <c r="E321" s="2">
        <v>6.5699999999999995E-2</v>
      </c>
      <c r="F321" s="2">
        <v>0.1212</v>
      </c>
      <c r="G321" s="2">
        <v>8.6900000000000005E-2</v>
      </c>
      <c r="H321" s="2">
        <v>8.1299999999999997E-2</v>
      </c>
      <c r="I321" s="2">
        <v>7.0400000000000004E-2</v>
      </c>
      <c r="J321" s="2">
        <v>7.7600000000000002E-2</v>
      </c>
      <c r="K321" s="2">
        <v>4.7899999999999998E-2</v>
      </c>
      <c r="L321" s="2">
        <v>7.0099999999999996E-2</v>
      </c>
      <c r="M321" s="2">
        <v>8.0699999999999994E-2</v>
      </c>
      <c r="N321" s="2">
        <v>3.8399999999999997E-2</v>
      </c>
      <c r="O321" s="2">
        <v>4.2999999999999997E-2</v>
      </c>
      <c r="P321" s="2">
        <v>8.5000000000000006E-3</v>
      </c>
      <c r="Q321" s="2">
        <v>6.8999999999999999E-3</v>
      </c>
      <c r="R321">
        <v>279</v>
      </c>
    </row>
    <row r="322" spans="1:18" x14ac:dyDescent="0.35">
      <c r="A322" t="s">
        <v>227</v>
      </c>
      <c r="B322" t="s">
        <v>237</v>
      </c>
      <c r="C322" s="2">
        <v>0.1673</v>
      </c>
      <c r="D322" s="2">
        <v>0.11020000000000001</v>
      </c>
      <c r="E322" s="2">
        <v>0.1036</v>
      </c>
      <c r="F322" s="2">
        <v>7.5499999999999998E-2</v>
      </c>
      <c r="G322" s="2">
        <v>8.3799999999999999E-2</v>
      </c>
      <c r="H322" s="2">
        <v>7.9500000000000001E-2</v>
      </c>
      <c r="I322" s="2">
        <v>8.4000000000000005E-2</v>
      </c>
      <c r="J322" s="2">
        <v>5.9700000000000003E-2</v>
      </c>
      <c r="K322" s="2">
        <v>6.3200000000000006E-2</v>
      </c>
      <c r="L322" s="2">
        <v>4.7399999999999998E-2</v>
      </c>
      <c r="M322" s="2">
        <v>4.1700000000000001E-2</v>
      </c>
      <c r="N322" s="2">
        <v>3.5000000000000003E-2</v>
      </c>
      <c r="O322" s="2">
        <v>3.2899999999999999E-2</v>
      </c>
      <c r="P322" s="2">
        <v>1.0200000000000001E-2</v>
      </c>
      <c r="Q322" s="2">
        <v>5.8999999999999999E-3</v>
      </c>
      <c r="R322">
        <v>688</v>
      </c>
    </row>
    <row r="323" spans="1:18" x14ac:dyDescent="0.35">
      <c r="A323" t="s">
        <v>228</v>
      </c>
      <c r="B323" t="s">
        <v>228</v>
      </c>
      <c r="C323" s="2">
        <v>0.15359999999999999</v>
      </c>
      <c r="D323" s="2">
        <v>0.1013</v>
      </c>
      <c r="E323" s="2">
        <v>9.2399999999999996E-2</v>
      </c>
      <c r="F323" s="2">
        <v>8.9099999999999999E-2</v>
      </c>
      <c r="G323" s="2">
        <v>8.4699999999999998E-2</v>
      </c>
      <c r="H323" s="2">
        <v>0.08</v>
      </c>
      <c r="I323" s="2">
        <v>7.9899999999999999E-2</v>
      </c>
      <c r="J323" s="2">
        <v>6.5000000000000002E-2</v>
      </c>
      <c r="K323" s="2">
        <v>5.8700000000000002E-2</v>
      </c>
      <c r="L323" s="2">
        <v>5.4100000000000002E-2</v>
      </c>
      <c r="M323" s="2">
        <v>5.33E-2</v>
      </c>
      <c r="N323" s="2">
        <v>3.5999999999999997E-2</v>
      </c>
      <c r="O323" s="2">
        <v>3.5900000000000001E-2</v>
      </c>
      <c r="P323" s="2">
        <v>9.7000000000000003E-3</v>
      </c>
      <c r="Q323" s="2">
        <v>6.1999999999999998E-3</v>
      </c>
      <c r="R323">
        <v>967</v>
      </c>
    </row>
    <row r="325" spans="1:18" x14ac:dyDescent="0.35">
      <c r="A325" s="1" t="s">
        <v>390</v>
      </c>
    </row>
    <row r="326" spans="1:18" x14ac:dyDescent="0.35">
      <c r="A326" t="s">
        <v>219</v>
      </c>
      <c r="B326" t="s">
        <v>301</v>
      </c>
      <c r="C326" t="s">
        <v>375</v>
      </c>
      <c r="D326" t="s">
        <v>376</v>
      </c>
      <c r="E326" t="s">
        <v>377</v>
      </c>
      <c r="F326" t="s">
        <v>378</v>
      </c>
      <c r="G326" t="s">
        <v>379</v>
      </c>
      <c r="H326" t="s">
        <v>380</v>
      </c>
      <c r="I326" t="s">
        <v>381</v>
      </c>
      <c r="J326" t="s">
        <v>382</v>
      </c>
      <c r="K326" t="s">
        <v>383</v>
      </c>
      <c r="L326" t="s">
        <v>384</v>
      </c>
      <c r="M326" t="s">
        <v>385</v>
      </c>
      <c r="N326" t="s">
        <v>386</v>
      </c>
      <c r="O326" t="s">
        <v>387</v>
      </c>
      <c r="P326" t="s">
        <v>388</v>
      </c>
      <c r="Q326" t="s">
        <v>277</v>
      </c>
      <c r="R326" t="s">
        <v>226</v>
      </c>
    </row>
    <row r="327" spans="1:18" x14ac:dyDescent="0.35">
      <c r="A327" t="s">
        <v>227</v>
      </c>
      <c r="B327" t="s">
        <v>235</v>
      </c>
      <c r="C327" s="2">
        <v>0.1769</v>
      </c>
      <c r="D327" s="2">
        <v>0.11</v>
      </c>
      <c r="E327" s="2">
        <v>0.1053</v>
      </c>
      <c r="F327" s="2">
        <v>8.2600000000000007E-2</v>
      </c>
      <c r="G327" s="2">
        <v>5.91E-2</v>
      </c>
      <c r="H327" s="2">
        <v>6.5500000000000003E-2</v>
      </c>
      <c r="I327" s="2">
        <v>8.8300000000000003E-2</v>
      </c>
      <c r="J327" s="2">
        <v>5.4199999999999998E-2</v>
      </c>
      <c r="K327" s="2">
        <v>3.9300000000000002E-2</v>
      </c>
      <c r="L327" s="2">
        <v>7.7200000000000005E-2</v>
      </c>
      <c r="M327" s="2">
        <v>7.1400000000000005E-2</v>
      </c>
      <c r="N327" s="2">
        <v>3.4700000000000002E-2</v>
      </c>
      <c r="O327" s="2">
        <v>2.12E-2</v>
      </c>
      <c r="P327" s="2">
        <v>7.6E-3</v>
      </c>
      <c r="Q327" s="2">
        <v>6.7000000000000002E-3</v>
      </c>
      <c r="R327">
        <v>408</v>
      </c>
    </row>
    <row r="328" spans="1:18" x14ac:dyDescent="0.35">
      <c r="A328" t="s">
        <v>227</v>
      </c>
      <c r="B328" t="s">
        <v>234</v>
      </c>
      <c r="C328" s="2">
        <v>0.1391</v>
      </c>
      <c r="D328" s="2">
        <v>9.5899999999999999E-2</v>
      </c>
      <c r="E328" s="2">
        <v>8.43E-2</v>
      </c>
      <c r="F328" s="2">
        <v>9.3100000000000002E-2</v>
      </c>
      <c r="G328" s="2">
        <v>0.1008</v>
      </c>
      <c r="H328" s="2">
        <v>8.9099999999999999E-2</v>
      </c>
      <c r="I328" s="2">
        <v>7.4700000000000003E-2</v>
      </c>
      <c r="J328" s="2">
        <v>7.17E-2</v>
      </c>
      <c r="K328" s="2">
        <v>7.0900000000000005E-2</v>
      </c>
      <c r="L328" s="2">
        <v>3.9699999999999999E-2</v>
      </c>
      <c r="M328" s="2">
        <v>4.19E-2</v>
      </c>
      <c r="N328" s="2">
        <v>3.6799999999999999E-2</v>
      </c>
      <c r="O328" s="2">
        <v>4.4999999999999998E-2</v>
      </c>
      <c r="P328" s="2">
        <v>1.0999999999999999E-2</v>
      </c>
      <c r="Q328" s="2">
        <v>5.8999999999999999E-3</v>
      </c>
      <c r="R328">
        <v>559</v>
      </c>
    </row>
    <row r="329" spans="1:18" x14ac:dyDescent="0.35">
      <c r="A329" t="s">
        <v>228</v>
      </c>
      <c r="B329" t="s">
        <v>228</v>
      </c>
      <c r="C329" s="2">
        <v>0.15359999999999999</v>
      </c>
      <c r="D329" s="2">
        <v>0.1013</v>
      </c>
      <c r="E329" s="2">
        <v>9.2399999999999996E-2</v>
      </c>
      <c r="F329" s="2">
        <v>8.9099999999999999E-2</v>
      </c>
      <c r="G329" s="2">
        <v>8.4699999999999998E-2</v>
      </c>
      <c r="H329" s="2">
        <v>0.08</v>
      </c>
      <c r="I329" s="2">
        <v>7.9899999999999999E-2</v>
      </c>
      <c r="J329" s="2">
        <v>6.5000000000000002E-2</v>
      </c>
      <c r="K329" s="2">
        <v>5.8700000000000002E-2</v>
      </c>
      <c r="L329" s="2">
        <v>5.4100000000000002E-2</v>
      </c>
      <c r="M329" s="2">
        <v>5.33E-2</v>
      </c>
      <c r="N329" s="2">
        <v>3.5999999999999997E-2</v>
      </c>
      <c r="O329" s="2">
        <v>3.5900000000000001E-2</v>
      </c>
      <c r="P329" s="2">
        <v>9.7000000000000003E-3</v>
      </c>
      <c r="Q329" s="2">
        <v>6.1999999999999998E-3</v>
      </c>
      <c r="R329">
        <v>967</v>
      </c>
    </row>
    <row r="331" spans="1:18" x14ac:dyDescent="0.35">
      <c r="A331" s="1" t="s">
        <v>391</v>
      </c>
    </row>
    <row r="332" spans="1:18" x14ac:dyDescent="0.35">
      <c r="A332" t="s">
        <v>219</v>
      </c>
      <c r="B332" t="s">
        <v>301</v>
      </c>
      <c r="C332" t="s">
        <v>375</v>
      </c>
      <c r="D332" t="s">
        <v>376</v>
      </c>
      <c r="E332" t="s">
        <v>377</v>
      </c>
      <c r="F332" t="s">
        <v>378</v>
      </c>
      <c r="G332" t="s">
        <v>379</v>
      </c>
      <c r="H332" t="s">
        <v>380</v>
      </c>
      <c r="I332" t="s">
        <v>381</v>
      </c>
      <c r="J332" t="s">
        <v>382</v>
      </c>
      <c r="K332" t="s">
        <v>383</v>
      </c>
      <c r="L332" t="s">
        <v>384</v>
      </c>
      <c r="M332" t="s">
        <v>385</v>
      </c>
      <c r="N332" t="s">
        <v>386</v>
      </c>
      <c r="O332" t="s">
        <v>387</v>
      </c>
      <c r="P332" t="s">
        <v>388</v>
      </c>
      <c r="Q332" t="s">
        <v>277</v>
      </c>
      <c r="R332" t="s">
        <v>226</v>
      </c>
    </row>
    <row r="333" spans="1:18" x14ac:dyDescent="0.35">
      <c r="A333" t="s">
        <v>227</v>
      </c>
      <c r="B333" t="s">
        <v>240</v>
      </c>
      <c r="C333" s="2">
        <v>0.15620000000000001</v>
      </c>
      <c r="D333" s="2">
        <v>0.11219999999999999</v>
      </c>
      <c r="E333" s="2">
        <v>9.4500000000000001E-2</v>
      </c>
      <c r="F333" s="2">
        <v>8.5000000000000006E-2</v>
      </c>
      <c r="G333" s="2">
        <v>8.9300000000000004E-2</v>
      </c>
      <c r="H333" s="2">
        <v>7.51E-2</v>
      </c>
      <c r="I333" s="2">
        <v>6.8099999999999994E-2</v>
      </c>
      <c r="J333" s="2">
        <v>6.3600000000000004E-2</v>
      </c>
      <c r="K333" s="2">
        <v>5.3800000000000001E-2</v>
      </c>
      <c r="L333" s="2">
        <v>6.0299999999999999E-2</v>
      </c>
      <c r="M333" s="2">
        <v>5.45E-2</v>
      </c>
      <c r="N333" s="2">
        <v>3.95E-2</v>
      </c>
      <c r="O333" s="2">
        <v>2.76E-2</v>
      </c>
      <c r="P333" s="2">
        <v>1.4200000000000001E-2</v>
      </c>
      <c r="Q333" s="2">
        <v>6.3E-3</v>
      </c>
      <c r="R333">
        <v>695</v>
      </c>
    </row>
    <row r="334" spans="1:18" x14ac:dyDescent="0.35">
      <c r="A334" t="s">
        <v>227</v>
      </c>
      <c r="B334" t="s">
        <v>242</v>
      </c>
      <c r="C334" s="2">
        <v>0.14810000000000001</v>
      </c>
      <c r="D334" s="2">
        <v>7.7700000000000005E-2</v>
      </c>
      <c r="E334" s="2">
        <v>8.77E-2</v>
      </c>
      <c r="F334" s="2">
        <v>9.7900000000000001E-2</v>
      </c>
      <c r="G334" s="2">
        <v>7.4800000000000005E-2</v>
      </c>
      <c r="H334" s="2">
        <v>9.0899999999999995E-2</v>
      </c>
      <c r="I334" s="2">
        <v>0.1057</v>
      </c>
      <c r="J334" s="2">
        <v>6.8099999999999994E-2</v>
      </c>
      <c r="K334" s="2">
        <v>6.9500000000000006E-2</v>
      </c>
      <c r="L334" s="2">
        <v>4.07E-2</v>
      </c>
      <c r="M334" s="2">
        <v>5.0700000000000002E-2</v>
      </c>
      <c r="N334" s="2">
        <v>2.8299999999999999E-2</v>
      </c>
      <c r="O334" s="2">
        <v>5.3800000000000001E-2</v>
      </c>
      <c r="Q334" s="2">
        <v>6.1000000000000004E-3</v>
      </c>
      <c r="R334">
        <v>272</v>
      </c>
    </row>
    <row r="335" spans="1:18" x14ac:dyDescent="0.35">
      <c r="A335" t="s">
        <v>228</v>
      </c>
      <c r="B335" t="s">
        <v>228</v>
      </c>
      <c r="C335" s="2">
        <v>0.15359999999999999</v>
      </c>
      <c r="D335" s="2">
        <v>0.1013</v>
      </c>
      <c r="E335" s="2">
        <v>9.2399999999999996E-2</v>
      </c>
      <c r="F335" s="2">
        <v>8.9099999999999999E-2</v>
      </c>
      <c r="G335" s="2">
        <v>8.4699999999999998E-2</v>
      </c>
      <c r="H335" s="2">
        <v>0.08</v>
      </c>
      <c r="I335" s="2">
        <v>7.9899999999999999E-2</v>
      </c>
      <c r="J335" s="2">
        <v>6.5000000000000002E-2</v>
      </c>
      <c r="K335" s="2">
        <v>5.8700000000000002E-2</v>
      </c>
      <c r="L335" s="2">
        <v>5.4100000000000002E-2</v>
      </c>
      <c r="M335" s="2">
        <v>5.33E-2</v>
      </c>
      <c r="N335" s="2">
        <v>3.5999999999999997E-2</v>
      </c>
      <c r="O335" s="2">
        <v>3.5900000000000001E-2</v>
      </c>
      <c r="P335" s="2">
        <v>9.7000000000000003E-3</v>
      </c>
      <c r="Q335" s="2">
        <v>6.1999999999999998E-3</v>
      </c>
      <c r="R335">
        <v>967</v>
      </c>
    </row>
    <row r="337" spans="1:18" x14ac:dyDescent="0.35">
      <c r="A337" s="1" t="s">
        <v>392</v>
      </c>
    </row>
    <row r="338" spans="1:18" x14ac:dyDescent="0.35">
      <c r="A338" t="s">
        <v>219</v>
      </c>
      <c r="B338" t="s">
        <v>301</v>
      </c>
      <c r="C338" t="s">
        <v>375</v>
      </c>
      <c r="D338" t="s">
        <v>376</v>
      </c>
      <c r="E338" t="s">
        <v>377</v>
      </c>
      <c r="F338" t="s">
        <v>378</v>
      </c>
      <c r="G338" t="s">
        <v>379</v>
      </c>
      <c r="H338" t="s">
        <v>380</v>
      </c>
      <c r="I338" t="s">
        <v>381</v>
      </c>
      <c r="J338" t="s">
        <v>382</v>
      </c>
      <c r="K338" t="s">
        <v>383</v>
      </c>
      <c r="L338" t="s">
        <v>384</v>
      </c>
      <c r="M338" t="s">
        <v>385</v>
      </c>
      <c r="N338" t="s">
        <v>386</v>
      </c>
      <c r="O338" t="s">
        <v>387</v>
      </c>
      <c r="P338" t="s">
        <v>388</v>
      </c>
      <c r="Q338" t="s">
        <v>277</v>
      </c>
      <c r="R338" t="s">
        <v>226</v>
      </c>
    </row>
    <row r="339" spans="1:18" x14ac:dyDescent="0.35">
      <c r="A339" t="s">
        <v>227</v>
      </c>
      <c r="B339" t="s">
        <v>334</v>
      </c>
      <c r="C339" s="2">
        <v>0.12670000000000001</v>
      </c>
      <c r="D339" s="2">
        <v>8.4900000000000003E-2</v>
      </c>
      <c r="E339" s="2">
        <v>7.3300000000000004E-2</v>
      </c>
      <c r="F339" s="2">
        <v>8.5699999999999998E-2</v>
      </c>
      <c r="G339" s="2">
        <v>8.1500000000000003E-2</v>
      </c>
      <c r="H339" s="2">
        <v>7.4899999999999994E-2</v>
      </c>
      <c r="I339" s="2">
        <v>0.10920000000000001</v>
      </c>
      <c r="J339" s="2">
        <v>8.5199999999999998E-2</v>
      </c>
      <c r="K339" s="2">
        <v>9.6600000000000005E-2</v>
      </c>
      <c r="L339" s="2">
        <v>5.8299999999999998E-2</v>
      </c>
      <c r="M339" s="2">
        <v>2.47E-2</v>
      </c>
      <c r="N339" s="2">
        <v>4.0800000000000003E-2</v>
      </c>
      <c r="O339" s="2">
        <v>4.3400000000000001E-2</v>
      </c>
      <c r="P339" s="2">
        <v>1.35E-2</v>
      </c>
      <c r="Q339" s="2">
        <v>1.1999999999999999E-3</v>
      </c>
      <c r="R339">
        <v>290</v>
      </c>
    </row>
    <row r="340" spans="1:18" x14ac:dyDescent="0.35">
      <c r="A340" t="s">
        <v>227</v>
      </c>
      <c r="B340" t="s">
        <v>335</v>
      </c>
      <c r="C340" s="2">
        <v>0.21299999999999999</v>
      </c>
      <c r="D340" s="2">
        <v>0.1133</v>
      </c>
      <c r="E340" s="2">
        <v>8.4000000000000005E-2</v>
      </c>
      <c r="F340" s="2">
        <v>3.5200000000000002E-2</v>
      </c>
      <c r="G340" s="2">
        <v>0.1009</v>
      </c>
      <c r="H340" s="2">
        <v>6.3200000000000006E-2</v>
      </c>
      <c r="I340" s="2">
        <v>6.4899999999999999E-2</v>
      </c>
      <c r="J340" s="2">
        <v>8.1600000000000006E-2</v>
      </c>
      <c r="K340" s="2">
        <v>4.3299999999999998E-2</v>
      </c>
      <c r="L340" s="2">
        <v>3.6600000000000001E-2</v>
      </c>
      <c r="M340" s="2">
        <v>7.0599999999999996E-2</v>
      </c>
      <c r="N340" s="2">
        <v>3.44E-2</v>
      </c>
      <c r="O340" s="2">
        <v>2.92E-2</v>
      </c>
      <c r="P340" s="2">
        <v>1.11E-2</v>
      </c>
      <c r="Q340" s="2">
        <v>1.8599999999999998E-2</v>
      </c>
      <c r="R340">
        <v>156</v>
      </c>
    </row>
    <row r="341" spans="1:18" x14ac:dyDescent="0.35">
      <c r="A341" t="s">
        <v>227</v>
      </c>
      <c r="B341" t="s">
        <v>336</v>
      </c>
      <c r="C341" s="2">
        <v>0.14530000000000001</v>
      </c>
      <c r="D341" s="2">
        <v>9.8000000000000004E-2</v>
      </c>
      <c r="E341" s="2">
        <v>3.0800000000000001E-2</v>
      </c>
      <c r="F341" s="2">
        <v>0.1444</v>
      </c>
      <c r="G341" s="2">
        <v>0.11559999999999999</v>
      </c>
      <c r="H341" s="2">
        <v>6.7500000000000004E-2</v>
      </c>
      <c r="I341" s="2">
        <v>7.2400000000000006E-2</v>
      </c>
      <c r="J341" s="2">
        <v>5.6099999999999997E-2</v>
      </c>
      <c r="K341" s="2">
        <v>3.27E-2</v>
      </c>
      <c r="L341" s="2">
        <v>7.6499999999999999E-2</v>
      </c>
      <c r="M341" s="2">
        <v>0.08</v>
      </c>
      <c r="N341" s="2">
        <v>4.9399999999999999E-2</v>
      </c>
      <c r="O341" s="2">
        <v>1.9E-2</v>
      </c>
      <c r="P341" s="2">
        <v>1.2200000000000001E-2</v>
      </c>
      <c r="R341">
        <v>227</v>
      </c>
    </row>
    <row r="342" spans="1:18" x14ac:dyDescent="0.35">
      <c r="A342" t="s">
        <v>227</v>
      </c>
      <c r="B342" t="s">
        <v>337</v>
      </c>
      <c r="C342" s="2">
        <v>0.1736</v>
      </c>
      <c r="D342" s="2">
        <v>0.1164</v>
      </c>
      <c r="E342" s="2">
        <v>0.15640000000000001</v>
      </c>
      <c r="F342" s="2">
        <v>7.9799999999999996E-2</v>
      </c>
      <c r="G342" s="2">
        <v>5.0599999999999999E-2</v>
      </c>
      <c r="H342" s="2">
        <v>0.1318</v>
      </c>
      <c r="I342" s="2">
        <v>0.06</v>
      </c>
      <c r="J342" s="2">
        <v>3.9300000000000002E-2</v>
      </c>
      <c r="K342" s="2">
        <v>3.6799999999999999E-2</v>
      </c>
      <c r="L342" s="2">
        <v>2.8799999999999999E-2</v>
      </c>
      <c r="M342" s="2">
        <v>5.5599999999999997E-2</v>
      </c>
      <c r="N342" s="2">
        <v>2.6200000000000001E-2</v>
      </c>
      <c r="O342" s="2">
        <v>3.56E-2</v>
      </c>
      <c r="Q342" s="2">
        <v>9.1999999999999998E-3</v>
      </c>
      <c r="R342">
        <v>171</v>
      </c>
    </row>
    <row r="343" spans="1:18" x14ac:dyDescent="0.35">
      <c r="A343" t="s">
        <v>228</v>
      </c>
      <c r="B343" t="s">
        <v>228</v>
      </c>
      <c r="C343" s="2">
        <v>0.15359999999999999</v>
      </c>
      <c r="D343" s="2">
        <v>0.1013</v>
      </c>
      <c r="E343" s="2">
        <v>9.2399999999999996E-2</v>
      </c>
      <c r="F343" s="2">
        <v>8.9099999999999999E-2</v>
      </c>
      <c r="G343" s="2">
        <v>8.4699999999999998E-2</v>
      </c>
      <c r="H343" s="2">
        <v>0.08</v>
      </c>
      <c r="I343" s="2">
        <v>7.9899999999999999E-2</v>
      </c>
      <c r="J343" s="2">
        <v>6.5000000000000002E-2</v>
      </c>
      <c r="K343" s="2">
        <v>5.8700000000000002E-2</v>
      </c>
      <c r="L343" s="2">
        <v>5.4100000000000002E-2</v>
      </c>
      <c r="M343" s="2">
        <v>5.33E-2</v>
      </c>
      <c r="N343" s="2">
        <v>3.5999999999999997E-2</v>
      </c>
      <c r="O343" s="2">
        <v>3.5900000000000001E-2</v>
      </c>
      <c r="P343" s="2">
        <v>9.7000000000000003E-3</v>
      </c>
      <c r="Q343" s="2">
        <v>6.1999999999999998E-3</v>
      </c>
      <c r="R343">
        <v>844</v>
      </c>
    </row>
    <row r="345" spans="1:18" x14ac:dyDescent="0.35">
      <c r="A345" s="1" t="s">
        <v>393</v>
      </c>
    </row>
    <row r="346" spans="1:18" x14ac:dyDescent="0.35">
      <c r="A346" t="s">
        <v>219</v>
      </c>
      <c r="B346" t="s">
        <v>301</v>
      </c>
      <c r="C346" t="s">
        <v>375</v>
      </c>
      <c r="D346" t="s">
        <v>376</v>
      </c>
      <c r="E346" t="s">
        <v>377</v>
      </c>
      <c r="F346" t="s">
        <v>378</v>
      </c>
      <c r="G346" t="s">
        <v>379</v>
      </c>
      <c r="H346" t="s">
        <v>380</v>
      </c>
      <c r="I346" t="s">
        <v>381</v>
      </c>
      <c r="J346" t="s">
        <v>382</v>
      </c>
      <c r="K346" t="s">
        <v>383</v>
      </c>
      <c r="L346" t="s">
        <v>384</v>
      </c>
      <c r="M346" t="s">
        <v>385</v>
      </c>
      <c r="N346" t="s">
        <v>386</v>
      </c>
      <c r="O346" t="s">
        <v>387</v>
      </c>
      <c r="P346" t="s">
        <v>388</v>
      </c>
      <c r="Q346" t="s">
        <v>277</v>
      </c>
      <c r="R346" t="s">
        <v>226</v>
      </c>
    </row>
    <row r="347" spans="1:18" x14ac:dyDescent="0.35">
      <c r="A347" t="s">
        <v>227</v>
      </c>
      <c r="B347" t="s">
        <v>263</v>
      </c>
      <c r="C347" s="2">
        <v>0.1638</v>
      </c>
      <c r="D347" s="2">
        <v>0.10349999999999999</v>
      </c>
      <c r="E347" s="2">
        <v>0.126</v>
      </c>
      <c r="F347" s="2">
        <v>6.0699999999999997E-2</v>
      </c>
      <c r="G347" s="2">
        <v>5.0099999999999999E-2</v>
      </c>
      <c r="H347" s="2">
        <v>0.15179999999999999</v>
      </c>
      <c r="I347" s="2">
        <v>3.6400000000000002E-2</v>
      </c>
      <c r="J347" s="2">
        <v>2.4E-2</v>
      </c>
      <c r="K347" s="2">
        <v>4.3999999999999997E-2</v>
      </c>
      <c r="L347" s="2">
        <v>4.7300000000000002E-2</v>
      </c>
      <c r="M347" s="2">
        <v>9.64E-2</v>
      </c>
      <c r="N347" s="2">
        <v>4.8300000000000003E-2</v>
      </c>
      <c r="O347" s="2">
        <v>3.0700000000000002E-2</v>
      </c>
      <c r="P347" s="2">
        <v>1.4E-3</v>
      </c>
      <c r="Q347" s="2">
        <v>1.5699999999999999E-2</v>
      </c>
      <c r="R347">
        <v>137</v>
      </c>
    </row>
    <row r="348" spans="1:18" x14ac:dyDescent="0.35">
      <c r="A348" t="s">
        <v>227</v>
      </c>
      <c r="B348" t="s">
        <v>262</v>
      </c>
      <c r="C348" s="2">
        <v>0.14399999999999999</v>
      </c>
      <c r="D348" s="2">
        <v>9.4100000000000003E-2</v>
      </c>
      <c r="E348" s="2">
        <v>8.3000000000000004E-2</v>
      </c>
      <c r="F348" s="2">
        <v>7.8E-2</v>
      </c>
      <c r="G348" s="2">
        <v>8.2799999999999999E-2</v>
      </c>
      <c r="H348" s="2">
        <v>8.4400000000000003E-2</v>
      </c>
      <c r="I348" s="2">
        <v>0.1009</v>
      </c>
      <c r="J348" s="2">
        <v>5.7599999999999998E-2</v>
      </c>
      <c r="K348" s="2">
        <v>7.2900000000000006E-2</v>
      </c>
      <c r="L348" s="2">
        <v>5.16E-2</v>
      </c>
      <c r="M348" s="2">
        <v>3.9399999999999998E-2</v>
      </c>
      <c r="N348" s="2">
        <v>5.4100000000000002E-2</v>
      </c>
      <c r="O348" s="2">
        <v>4.6699999999999998E-2</v>
      </c>
      <c r="P348" s="2">
        <v>9.7000000000000003E-3</v>
      </c>
      <c r="Q348" s="2">
        <v>1E-3</v>
      </c>
      <c r="R348">
        <v>318</v>
      </c>
    </row>
    <row r="349" spans="1:18" x14ac:dyDescent="0.35">
      <c r="A349" t="s">
        <v>227</v>
      </c>
      <c r="B349" t="s">
        <v>261</v>
      </c>
      <c r="C349" s="2">
        <v>0.15590000000000001</v>
      </c>
      <c r="D349" s="2">
        <v>0.10440000000000001</v>
      </c>
      <c r="E349" s="2">
        <v>8.8999999999999996E-2</v>
      </c>
      <c r="F349" s="2">
        <v>0.1012</v>
      </c>
      <c r="G349" s="2">
        <v>9.3899999999999997E-2</v>
      </c>
      <c r="H349" s="2">
        <v>6.0900000000000003E-2</v>
      </c>
      <c r="I349" s="2">
        <v>0.08</v>
      </c>
      <c r="J349" s="2">
        <v>7.8299999999999995E-2</v>
      </c>
      <c r="K349" s="2">
        <v>5.5300000000000002E-2</v>
      </c>
      <c r="L349" s="2">
        <v>5.7000000000000002E-2</v>
      </c>
      <c r="M349" s="2">
        <v>4.99E-2</v>
      </c>
      <c r="N349" s="2">
        <v>2.4199999999999999E-2</v>
      </c>
      <c r="O349" s="2">
        <v>3.1800000000000002E-2</v>
      </c>
      <c r="P349" s="2">
        <v>1.17E-2</v>
      </c>
      <c r="Q349" s="2">
        <v>6.4999999999999997E-3</v>
      </c>
      <c r="R349">
        <v>512</v>
      </c>
    </row>
    <row r="350" spans="1:18" x14ac:dyDescent="0.35">
      <c r="A350" t="s">
        <v>228</v>
      </c>
      <c r="B350" t="s">
        <v>228</v>
      </c>
      <c r="C350" s="2">
        <v>0.15359999999999999</v>
      </c>
      <c r="D350" s="2">
        <v>0.1013</v>
      </c>
      <c r="E350" s="2">
        <v>9.2399999999999996E-2</v>
      </c>
      <c r="F350" s="2">
        <v>8.9099999999999999E-2</v>
      </c>
      <c r="G350" s="2">
        <v>8.4699999999999998E-2</v>
      </c>
      <c r="H350" s="2">
        <v>0.08</v>
      </c>
      <c r="I350" s="2">
        <v>7.9899999999999999E-2</v>
      </c>
      <c r="J350" s="2">
        <v>6.5000000000000002E-2</v>
      </c>
      <c r="K350" s="2">
        <v>5.8700000000000002E-2</v>
      </c>
      <c r="L350" s="2">
        <v>5.4100000000000002E-2</v>
      </c>
      <c r="M350" s="2">
        <v>5.33E-2</v>
      </c>
      <c r="N350" s="2">
        <v>3.5999999999999997E-2</v>
      </c>
      <c r="O350" s="2">
        <v>3.5900000000000001E-2</v>
      </c>
      <c r="P350" s="2">
        <v>9.7000000000000003E-3</v>
      </c>
      <c r="Q350" s="2">
        <v>6.1999999999999998E-3</v>
      </c>
      <c r="R350">
        <v>967</v>
      </c>
    </row>
    <row r="352" spans="1:18" x14ac:dyDescent="0.35">
      <c r="A352" s="1" t="s">
        <v>394</v>
      </c>
    </row>
    <row r="353" spans="1:18" x14ac:dyDescent="0.35">
      <c r="A353" t="s">
        <v>219</v>
      </c>
      <c r="B353" t="s">
        <v>301</v>
      </c>
      <c r="C353" t="s">
        <v>375</v>
      </c>
      <c r="D353" t="s">
        <v>376</v>
      </c>
      <c r="E353" t="s">
        <v>377</v>
      </c>
      <c r="F353" t="s">
        <v>378</v>
      </c>
      <c r="G353" t="s">
        <v>379</v>
      </c>
      <c r="H353" t="s">
        <v>380</v>
      </c>
      <c r="I353" t="s">
        <v>381</v>
      </c>
      <c r="J353" t="s">
        <v>382</v>
      </c>
      <c r="K353" t="s">
        <v>383</v>
      </c>
      <c r="L353" t="s">
        <v>384</v>
      </c>
      <c r="M353" t="s">
        <v>385</v>
      </c>
      <c r="N353" t="s">
        <v>386</v>
      </c>
      <c r="O353" t="s">
        <v>387</v>
      </c>
      <c r="P353" t="s">
        <v>388</v>
      </c>
      <c r="Q353" t="s">
        <v>277</v>
      </c>
      <c r="R353" t="s">
        <v>226</v>
      </c>
    </row>
    <row r="354" spans="1:18" x14ac:dyDescent="0.35">
      <c r="A354" s="3" t="s">
        <v>227</v>
      </c>
      <c r="B354" s="3" t="s">
        <v>248</v>
      </c>
      <c r="C354" s="5"/>
      <c r="D354" s="4">
        <v>0.24970000000000001</v>
      </c>
      <c r="E354" s="5"/>
      <c r="F354" s="5"/>
      <c r="G354" s="5"/>
      <c r="H354" s="4">
        <v>0.25690000000000002</v>
      </c>
      <c r="I354" s="4">
        <v>7.1999999999999998E-3</v>
      </c>
      <c r="J354" s="5"/>
      <c r="K354" s="5"/>
      <c r="L354" s="5"/>
      <c r="M354" s="5"/>
      <c r="N354" s="4">
        <v>0.34589999999999999</v>
      </c>
      <c r="O354" s="5"/>
      <c r="P354" s="4">
        <v>0.14030000000000001</v>
      </c>
      <c r="Q354" s="5"/>
      <c r="R354" s="5" t="s">
        <v>366</v>
      </c>
    </row>
    <row r="355" spans="1:18" x14ac:dyDescent="0.35">
      <c r="A355" t="s">
        <v>227</v>
      </c>
      <c r="B355" t="s">
        <v>249</v>
      </c>
      <c r="C355" s="2">
        <v>8.3699999999999997E-2</v>
      </c>
      <c r="D355" s="2">
        <v>7.4999999999999997E-2</v>
      </c>
      <c r="E355" s="2">
        <v>3.32E-2</v>
      </c>
      <c r="F355" s="2">
        <v>0.1113</v>
      </c>
      <c r="G355" s="2">
        <v>0.1159</v>
      </c>
      <c r="H355" s="2">
        <v>7.2700000000000001E-2</v>
      </c>
      <c r="I355" s="2">
        <v>7.0800000000000002E-2</v>
      </c>
      <c r="J355" s="2">
        <v>8.7599999999999997E-2</v>
      </c>
      <c r="K355" s="2">
        <v>3.78E-2</v>
      </c>
      <c r="L355" s="2">
        <v>6.93E-2</v>
      </c>
      <c r="M355" s="2">
        <v>0.1028</v>
      </c>
      <c r="N355" s="2">
        <v>5.5100000000000003E-2</v>
      </c>
      <c r="O355" s="2">
        <v>6.4600000000000005E-2</v>
      </c>
      <c r="P355" s="2">
        <v>8.9999999999999998E-4</v>
      </c>
      <c r="Q355" s="2">
        <v>1.9099999999999999E-2</v>
      </c>
      <c r="R355">
        <v>205</v>
      </c>
    </row>
    <row r="356" spans="1:18" x14ac:dyDescent="0.35">
      <c r="A356" t="s">
        <v>227</v>
      </c>
      <c r="B356" t="s">
        <v>247</v>
      </c>
      <c r="C356" s="2">
        <v>0.17480000000000001</v>
      </c>
      <c r="D356" s="2">
        <v>0.1046</v>
      </c>
      <c r="E356" s="2">
        <v>0.1094</v>
      </c>
      <c r="F356" s="2">
        <v>8.5500000000000007E-2</v>
      </c>
      <c r="G356" s="2">
        <v>7.8799999999999995E-2</v>
      </c>
      <c r="H356" s="2">
        <v>7.7799999999999994E-2</v>
      </c>
      <c r="I356" s="2">
        <v>8.3900000000000002E-2</v>
      </c>
      <c r="J356" s="2">
        <v>6.08E-2</v>
      </c>
      <c r="K356" s="2">
        <v>6.5299999999999997E-2</v>
      </c>
      <c r="L356" s="2">
        <v>5.1499999999999997E-2</v>
      </c>
      <c r="M356" s="2">
        <v>4.2000000000000003E-2</v>
      </c>
      <c r="N356" s="2">
        <v>2.41E-2</v>
      </c>
      <c r="O356" s="2">
        <v>2.9399999999999999E-2</v>
      </c>
      <c r="P356" s="2">
        <v>8.8999999999999999E-3</v>
      </c>
      <c r="Q356" s="2">
        <v>3.0999999999999999E-3</v>
      </c>
      <c r="R356">
        <v>755</v>
      </c>
    </row>
    <row r="357" spans="1:18" x14ac:dyDescent="0.35">
      <c r="A357" t="s">
        <v>228</v>
      </c>
      <c r="B357" t="s">
        <v>228</v>
      </c>
      <c r="C357" s="2">
        <v>0.15359999999999999</v>
      </c>
      <c r="D357" s="2">
        <v>0.1013</v>
      </c>
      <c r="E357" s="2">
        <v>9.2399999999999996E-2</v>
      </c>
      <c r="F357" s="2">
        <v>8.9099999999999999E-2</v>
      </c>
      <c r="G357" s="2">
        <v>8.4699999999999998E-2</v>
      </c>
      <c r="H357" s="2">
        <v>0.08</v>
      </c>
      <c r="I357" s="2">
        <v>7.9899999999999999E-2</v>
      </c>
      <c r="J357" s="2">
        <v>6.5000000000000002E-2</v>
      </c>
      <c r="K357" s="2">
        <v>5.8700000000000002E-2</v>
      </c>
      <c r="L357" s="2">
        <v>5.4100000000000002E-2</v>
      </c>
      <c r="M357" s="2">
        <v>5.33E-2</v>
      </c>
      <c r="N357" s="2">
        <v>3.5999999999999997E-2</v>
      </c>
      <c r="O357" s="2">
        <v>3.5900000000000001E-2</v>
      </c>
      <c r="P357" s="2">
        <v>9.7000000000000003E-3</v>
      </c>
      <c r="Q357" s="2">
        <v>6.1999999999999998E-3</v>
      </c>
      <c r="R357">
        <v>967</v>
      </c>
    </row>
    <row r="359" spans="1:18" x14ac:dyDescent="0.35">
      <c r="A359" s="1" t="s">
        <v>395</v>
      </c>
    </row>
    <row r="360" spans="1:18" x14ac:dyDescent="0.35">
      <c r="A360" t="s">
        <v>219</v>
      </c>
      <c r="B360" t="s">
        <v>301</v>
      </c>
      <c r="C360" t="s">
        <v>375</v>
      </c>
      <c r="D360" t="s">
        <v>376</v>
      </c>
      <c r="E360" t="s">
        <v>377</v>
      </c>
      <c r="F360" t="s">
        <v>378</v>
      </c>
      <c r="G360" t="s">
        <v>379</v>
      </c>
      <c r="H360" t="s">
        <v>380</v>
      </c>
      <c r="I360" t="s">
        <v>381</v>
      </c>
      <c r="J360" t="s">
        <v>382</v>
      </c>
      <c r="K360" t="s">
        <v>383</v>
      </c>
      <c r="L360" t="s">
        <v>384</v>
      </c>
      <c r="M360" t="s">
        <v>385</v>
      </c>
      <c r="N360" t="s">
        <v>386</v>
      </c>
      <c r="O360" t="s">
        <v>387</v>
      </c>
      <c r="P360" t="s">
        <v>388</v>
      </c>
      <c r="Q360" t="s">
        <v>277</v>
      </c>
      <c r="R360" t="s">
        <v>226</v>
      </c>
    </row>
    <row r="361" spans="1:18" x14ac:dyDescent="0.35">
      <c r="A361" s="3" t="s">
        <v>227</v>
      </c>
      <c r="B361" s="3" t="s">
        <v>259</v>
      </c>
      <c r="C361" s="4">
        <v>0.20949999999999999</v>
      </c>
      <c r="D361" s="4">
        <v>1.9800000000000002E-2</v>
      </c>
      <c r="E361" s="4">
        <v>3.0800000000000001E-2</v>
      </c>
      <c r="F361" s="4">
        <v>0.308</v>
      </c>
      <c r="G361" s="4">
        <v>0.13719999999999999</v>
      </c>
      <c r="H361" s="4">
        <v>7.3300000000000004E-2</v>
      </c>
      <c r="I361" s="4">
        <v>2.1600000000000001E-2</v>
      </c>
      <c r="J361" s="4">
        <v>3.3399999999999999E-2</v>
      </c>
      <c r="K361" s="4">
        <v>3.3700000000000001E-2</v>
      </c>
      <c r="L361" s="4">
        <v>3.0000000000000001E-3</v>
      </c>
      <c r="M361" s="4">
        <v>0.1295</v>
      </c>
      <c r="N361" s="5"/>
      <c r="O361" s="5"/>
      <c r="P361" s="5"/>
      <c r="Q361" s="5"/>
      <c r="R361" s="5" t="s">
        <v>368</v>
      </c>
    </row>
    <row r="362" spans="1:18" x14ac:dyDescent="0.35">
      <c r="A362" t="s">
        <v>227</v>
      </c>
      <c r="B362" t="s">
        <v>257</v>
      </c>
      <c r="C362" s="2">
        <v>0.122</v>
      </c>
      <c r="D362" s="2">
        <v>9.4200000000000006E-2</v>
      </c>
      <c r="E362" s="2">
        <v>5.3699999999999998E-2</v>
      </c>
      <c r="F362" s="2">
        <v>5.62E-2</v>
      </c>
      <c r="G362" s="2">
        <v>0.1633</v>
      </c>
      <c r="H362" s="2">
        <v>7.0499999999999993E-2</v>
      </c>
      <c r="I362" s="2">
        <v>8.0699999999999994E-2</v>
      </c>
      <c r="J362" s="2">
        <v>5.2400000000000002E-2</v>
      </c>
      <c r="K362" s="2">
        <v>8.9800000000000005E-2</v>
      </c>
      <c r="L362" s="2">
        <v>6.6100000000000006E-2</v>
      </c>
      <c r="M362" s="2">
        <v>3.9899999999999998E-2</v>
      </c>
      <c r="N362" s="2">
        <v>3.5400000000000001E-2</v>
      </c>
      <c r="O362" s="2">
        <v>4.2900000000000001E-2</v>
      </c>
      <c r="P362" s="2">
        <v>1.7000000000000001E-2</v>
      </c>
      <c r="Q362" s="2">
        <v>1.5699999999999999E-2</v>
      </c>
      <c r="R362">
        <v>159</v>
      </c>
    </row>
    <row r="363" spans="1:18" x14ac:dyDescent="0.35">
      <c r="A363" t="s">
        <v>227</v>
      </c>
      <c r="B363" t="s">
        <v>256</v>
      </c>
      <c r="C363" s="2">
        <v>0.14219999999999999</v>
      </c>
      <c r="D363" s="2">
        <v>0.10639999999999999</v>
      </c>
      <c r="E363" s="2">
        <v>0.1077</v>
      </c>
      <c r="F363" s="2">
        <v>9.5299999999999996E-2</v>
      </c>
      <c r="G363" s="2">
        <v>6.6199999999999995E-2</v>
      </c>
      <c r="H363" s="2">
        <v>6.7799999999999999E-2</v>
      </c>
      <c r="I363" s="2">
        <v>8.3099999999999993E-2</v>
      </c>
      <c r="J363" s="2">
        <v>6.4799999999999996E-2</v>
      </c>
      <c r="K363" s="2">
        <v>5.2900000000000003E-2</v>
      </c>
      <c r="L363" s="2">
        <v>5.2999999999999999E-2</v>
      </c>
      <c r="M363" s="2">
        <v>6.0199999999999997E-2</v>
      </c>
      <c r="N363" s="2">
        <v>4.4299999999999999E-2</v>
      </c>
      <c r="O363" s="2">
        <v>3.7699999999999997E-2</v>
      </c>
      <c r="P363" s="2">
        <v>1.1900000000000001E-2</v>
      </c>
      <c r="Q363" s="2">
        <v>6.4000000000000003E-3</v>
      </c>
      <c r="R363">
        <v>516</v>
      </c>
    </row>
    <row r="364" spans="1:18" x14ac:dyDescent="0.35">
      <c r="A364" s="3" t="s">
        <v>227</v>
      </c>
      <c r="B364" s="3" t="s">
        <v>232</v>
      </c>
      <c r="C364" s="5"/>
      <c r="D364" s="5"/>
      <c r="E364" s="5"/>
      <c r="F364" s="4">
        <v>0.1242</v>
      </c>
      <c r="G364" s="4">
        <v>0.42620000000000002</v>
      </c>
      <c r="H364" s="4">
        <v>0.2248</v>
      </c>
      <c r="I364" s="5"/>
      <c r="J364" s="5"/>
      <c r="K364" s="5"/>
      <c r="L364" s="5"/>
      <c r="M364" s="4">
        <v>0.2248</v>
      </c>
      <c r="N364" s="5"/>
      <c r="O364" s="5"/>
      <c r="P364" s="5"/>
      <c r="Q364" s="5"/>
      <c r="R364" s="5" t="s">
        <v>341</v>
      </c>
    </row>
    <row r="365" spans="1:18" x14ac:dyDescent="0.35">
      <c r="A365" t="s">
        <v>227</v>
      </c>
      <c r="B365" t="s">
        <v>258</v>
      </c>
      <c r="C365" s="2">
        <v>0.2006</v>
      </c>
      <c r="D365" s="2">
        <v>0.1014</v>
      </c>
      <c r="E365" s="2">
        <v>8.3400000000000002E-2</v>
      </c>
      <c r="F365" s="2">
        <v>7.0599999999999996E-2</v>
      </c>
      <c r="G365" s="2">
        <v>7.5600000000000001E-2</v>
      </c>
      <c r="H365" s="2">
        <v>0.1197</v>
      </c>
      <c r="I365" s="2">
        <v>7.7399999999999997E-2</v>
      </c>
      <c r="J365" s="2">
        <v>7.7399999999999997E-2</v>
      </c>
      <c r="K365" s="2">
        <v>5.6599999999999998E-2</v>
      </c>
      <c r="L365" s="2">
        <v>5.5E-2</v>
      </c>
      <c r="M365" s="2">
        <v>3.4500000000000003E-2</v>
      </c>
      <c r="N365" s="2">
        <v>1.77E-2</v>
      </c>
      <c r="O365" s="2">
        <v>3.0099999999999998E-2</v>
      </c>
      <c r="R365">
        <v>264</v>
      </c>
    </row>
    <row r="366" spans="1:18" x14ac:dyDescent="0.35">
      <c r="A366" t="s">
        <v>228</v>
      </c>
      <c r="B366" t="s">
        <v>228</v>
      </c>
      <c r="C366" s="2">
        <v>0.15359999999999999</v>
      </c>
      <c r="D366" s="2">
        <v>0.1013</v>
      </c>
      <c r="E366" s="2">
        <v>9.2399999999999996E-2</v>
      </c>
      <c r="F366" s="2">
        <v>8.9099999999999999E-2</v>
      </c>
      <c r="G366" s="2">
        <v>8.4699999999999998E-2</v>
      </c>
      <c r="H366" s="2">
        <v>0.08</v>
      </c>
      <c r="I366" s="2">
        <v>7.9899999999999999E-2</v>
      </c>
      <c r="J366" s="2">
        <v>6.5000000000000002E-2</v>
      </c>
      <c r="K366" s="2">
        <v>5.8700000000000002E-2</v>
      </c>
      <c r="L366" s="2">
        <v>5.4100000000000002E-2</v>
      </c>
      <c r="M366" s="2">
        <v>5.33E-2</v>
      </c>
      <c r="N366" s="2">
        <v>3.5999999999999997E-2</v>
      </c>
      <c r="O366" s="2">
        <v>3.5900000000000001E-2</v>
      </c>
      <c r="P366" s="2">
        <v>9.7000000000000003E-3</v>
      </c>
      <c r="Q366" s="2">
        <v>6.1999999999999998E-3</v>
      </c>
      <c r="R366">
        <v>967</v>
      </c>
    </row>
    <row r="368" spans="1:18" x14ac:dyDescent="0.35">
      <c r="A368" s="1" t="s">
        <v>396</v>
      </c>
    </row>
    <row r="369" spans="1:18" x14ac:dyDescent="0.35">
      <c r="A369" t="s">
        <v>219</v>
      </c>
      <c r="B369" t="s">
        <v>301</v>
      </c>
      <c r="C369" t="s">
        <v>375</v>
      </c>
      <c r="D369" t="s">
        <v>376</v>
      </c>
      <c r="E369" t="s">
        <v>377</v>
      </c>
      <c r="F369" t="s">
        <v>378</v>
      </c>
      <c r="G369" t="s">
        <v>379</v>
      </c>
      <c r="H369" t="s">
        <v>380</v>
      </c>
      <c r="I369" t="s">
        <v>381</v>
      </c>
      <c r="J369" t="s">
        <v>382</v>
      </c>
      <c r="K369" t="s">
        <v>383</v>
      </c>
      <c r="L369" t="s">
        <v>384</v>
      </c>
      <c r="M369" t="s">
        <v>385</v>
      </c>
      <c r="N369" t="s">
        <v>386</v>
      </c>
      <c r="O369" t="s">
        <v>387</v>
      </c>
      <c r="P369" t="s">
        <v>388</v>
      </c>
      <c r="Q369" t="s">
        <v>277</v>
      </c>
      <c r="R369" t="s">
        <v>226</v>
      </c>
    </row>
    <row r="370" spans="1:18" x14ac:dyDescent="0.35">
      <c r="A370" t="s">
        <v>227</v>
      </c>
      <c r="B370" t="s">
        <v>343</v>
      </c>
      <c r="C370" s="2">
        <v>0.122</v>
      </c>
      <c r="D370" s="2">
        <v>9.4200000000000006E-2</v>
      </c>
      <c r="E370" s="2">
        <v>5.3699999999999998E-2</v>
      </c>
      <c r="F370" s="2">
        <v>5.62E-2</v>
      </c>
      <c r="G370" s="2">
        <v>0.1633</v>
      </c>
      <c r="H370" s="2">
        <v>7.0499999999999993E-2</v>
      </c>
      <c r="I370" s="2">
        <v>8.0699999999999994E-2</v>
      </c>
      <c r="J370" s="2">
        <v>5.2400000000000002E-2</v>
      </c>
      <c r="K370" s="2">
        <v>8.9800000000000005E-2</v>
      </c>
      <c r="L370" s="2">
        <v>6.6100000000000006E-2</v>
      </c>
      <c r="M370" s="2">
        <v>3.9899999999999998E-2</v>
      </c>
      <c r="N370" s="2">
        <v>3.5400000000000001E-2</v>
      </c>
      <c r="O370" s="2">
        <v>4.2900000000000001E-2</v>
      </c>
      <c r="P370" s="2">
        <v>1.7000000000000001E-2</v>
      </c>
      <c r="Q370" s="2">
        <v>1.5699999999999999E-2</v>
      </c>
      <c r="R370">
        <v>159</v>
      </c>
    </row>
    <row r="371" spans="1:18" x14ac:dyDescent="0.35">
      <c r="A371" t="s">
        <v>227</v>
      </c>
      <c r="B371" t="s">
        <v>344</v>
      </c>
      <c r="C371" s="2">
        <v>0.15909999999999999</v>
      </c>
      <c r="D371" s="2">
        <v>0.1026</v>
      </c>
      <c r="E371" s="2">
        <v>9.9099999999999994E-2</v>
      </c>
      <c r="F371" s="2">
        <v>9.4799999999999995E-2</v>
      </c>
      <c r="G371" s="2">
        <v>7.1099999999999997E-2</v>
      </c>
      <c r="H371" s="2">
        <v>8.1699999999999995E-2</v>
      </c>
      <c r="I371" s="2">
        <v>7.9799999999999996E-2</v>
      </c>
      <c r="J371" s="2">
        <v>6.7199999999999996E-2</v>
      </c>
      <c r="K371" s="2">
        <v>5.33E-2</v>
      </c>
      <c r="L371" s="2">
        <v>5.1999999999999998E-2</v>
      </c>
      <c r="M371" s="2">
        <v>5.5599999999999997E-2</v>
      </c>
      <c r="N371" s="2">
        <v>3.61E-2</v>
      </c>
      <c r="O371" s="2">
        <v>3.4599999999999999E-2</v>
      </c>
      <c r="P371" s="2">
        <v>8.5000000000000006E-3</v>
      </c>
      <c r="Q371" s="2">
        <v>4.5999999999999999E-3</v>
      </c>
      <c r="R371">
        <v>808</v>
      </c>
    </row>
    <row r="372" spans="1:18" x14ac:dyDescent="0.35">
      <c r="A372" t="s">
        <v>228</v>
      </c>
      <c r="B372" t="s">
        <v>228</v>
      </c>
      <c r="C372" s="2">
        <v>0.15359999999999999</v>
      </c>
      <c r="D372" s="2">
        <v>0.1013</v>
      </c>
      <c r="E372" s="2">
        <v>9.2399999999999996E-2</v>
      </c>
      <c r="F372" s="2">
        <v>8.9099999999999999E-2</v>
      </c>
      <c r="G372" s="2">
        <v>8.4699999999999998E-2</v>
      </c>
      <c r="H372" s="2">
        <v>0.08</v>
      </c>
      <c r="I372" s="2">
        <v>7.9899999999999999E-2</v>
      </c>
      <c r="J372" s="2">
        <v>6.5000000000000002E-2</v>
      </c>
      <c r="K372" s="2">
        <v>5.8700000000000002E-2</v>
      </c>
      <c r="L372" s="2">
        <v>5.4100000000000002E-2</v>
      </c>
      <c r="M372" s="2">
        <v>5.33E-2</v>
      </c>
      <c r="N372" s="2">
        <v>3.5999999999999997E-2</v>
      </c>
      <c r="O372" s="2">
        <v>3.5900000000000001E-2</v>
      </c>
      <c r="P372" s="2">
        <v>9.7000000000000003E-3</v>
      </c>
      <c r="Q372" s="2">
        <v>6.1999999999999998E-3</v>
      </c>
      <c r="R372">
        <v>967</v>
      </c>
    </row>
    <row r="374" spans="1:18" x14ac:dyDescent="0.35">
      <c r="A374" s="1" t="s">
        <v>397</v>
      </c>
    </row>
    <row r="375" spans="1:18" x14ac:dyDescent="0.35">
      <c r="A375" t="s">
        <v>219</v>
      </c>
      <c r="B375" t="s">
        <v>301</v>
      </c>
      <c r="C375" t="s">
        <v>375</v>
      </c>
      <c r="D375" t="s">
        <v>376</v>
      </c>
      <c r="E375" t="s">
        <v>377</v>
      </c>
      <c r="F375" t="s">
        <v>378</v>
      </c>
      <c r="G375" t="s">
        <v>379</v>
      </c>
      <c r="H375" t="s">
        <v>380</v>
      </c>
      <c r="I375" t="s">
        <v>381</v>
      </c>
      <c r="J375" t="s">
        <v>382</v>
      </c>
      <c r="K375" t="s">
        <v>383</v>
      </c>
      <c r="L375" t="s">
        <v>384</v>
      </c>
      <c r="M375" t="s">
        <v>385</v>
      </c>
      <c r="N375" t="s">
        <v>386</v>
      </c>
      <c r="O375" t="s">
        <v>387</v>
      </c>
      <c r="P375" t="s">
        <v>388</v>
      </c>
      <c r="Q375" t="s">
        <v>277</v>
      </c>
      <c r="R375" t="s">
        <v>226</v>
      </c>
    </row>
    <row r="376" spans="1:18" x14ac:dyDescent="0.35">
      <c r="A376" t="s">
        <v>227</v>
      </c>
      <c r="B376" t="s">
        <v>346</v>
      </c>
      <c r="C376" s="2">
        <v>0.1573</v>
      </c>
      <c r="D376" s="2">
        <v>0.1002</v>
      </c>
      <c r="E376" s="2">
        <v>9.4100000000000003E-2</v>
      </c>
      <c r="F376" s="2">
        <v>9.1800000000000007E-2</v>
      </c>
      <c r="G376" s="2">
        <v>8.5599999999999996E-2</v>
      </c>
      <c r="H376" s="2">
        <v>8.0500000000000002E-2</v>
      </c>
      <c r="I376" s="2">
        <v>7.8600000000000003E-2</v>
      </c>
      <c r="J376" s="2">
        <v>6.2799999999999995E-2</v>
      </c>
      <c r="K376" s="2">
        <v>5.5399999999999998E-2</v>
      </c>
      <c r="L376" s="2">
        <v>5.1499999999999997E-2</v>
      </c>
      <c r="M376" s="2">
        <v>5.33E-2</v>
      </c>
      <c r="N376" s="2">
        <v>3.78E-2</v>
      </c>
      <c r="O376" s="2">
        <v>3.4099999999999998E-2</v>
      </c>
      <c r="P376" s="2">
        <v>1.06E-2</v>
      </c>
      <c r="Q376" s="2">
        <v>6.4999999999999997E-3</v>
      </c>
      <c r="R376">
        <v>570</v>
      </c>
    </row>
    <row r="377" spans="1:18" x14ac:dyDescent="0.35">
      <c r="A377" t="s">
        <v>227</v>
      </c>
      <c r="B377" t="s">
        <v>347</v>
      </c>
      <c r="C377" s="2">
        <v>0.17510000000000001</v>
      </c>
      <c r="D377" s="2">
        <v>8.2500000000000004E-2</v>
      </c>
      <c r="E377" s="2">
        <v>4.9500000000000002E-2</v>
      </c>
      <c r="F377" s="2">
        <v>7.8E-2</v>
      </c>
      <c r="G377" s="2">
        <v>8.4900000000000003E-2</v>
      </c>
      <c r="H377" s="2">
        <v>9.2200000000000004E-2</v>
      </c>
      <c r="I377" s="2">
        <v>6.8099999999999994E-2</v>
      </c>
      <c r="J377" s="2">
        <v>9.7900000000000001E-2</v>
      </c>
      <c r="K377" s="2">
        <v>5.0900000000000001E-2</v>
      </c>
      <c r="L377" s="2">
        <v>9.1999999999999998E-2</v>
      </c>
      <c r="M377" s="2">
        <v>7.3700000000000002E-2</v>
      </c>
      <c r="N377" s="2">
        <v>1.7899999999999999E-2</v>
      </c>
      <c r="O377" s="2">
        <v>2.9700000000000001E-2</v>
      </c>
      <c r="P377" s="2">
        <v>7.6E-3</v>
      </c>
      <c r="R377">
        <v>166</v>
      </c>
    </row>
    <row r="378" spans="1:18" x14ac:dyDescent="0.35">
      <c r="A378" t="s">
        <v>227</v>
      </c>
      <c r="B378" t="s">
        <v>348</v>
      </c>
      <c r="C378" s="2">
        <v>0.10009999999999999</v>
      </c>
      <c r="D378" s="2">
        <v>0.1231</v>
      </c>
      <c r="E378" s="2">
        <v>8.8999999999999996E-2</v>
      </c>
      <c r="F378" s="2">
        <v>6.0100000000000001E-2</v>
      </c>
      <c r="G378" s="2">
        <v>7.3999999999999996E-2</v>
      </c>
      <c r="H378" s="2">
        <v>6.9800000000000001E-2</v>
      </c>
      <c r="I378" s="2">
        <v>0.1014</v>
      </c>
      <c r="J378" s="2">
        <v>7.8E-2</v>
      </c>
      <c r="K378" s="2">
        <v>0.1013</v>
      </c>
      <c r="L378" s="2">
        <v>7.0800000000000002E-2</v>
      </c>
      <c r="M378" s="2">
        <v>4.4999999999999998E-2</v>
      </c>
      <c r="N378" s="2">
        <v>2.18E-2</v>
      </c>
      <c r="O378" s="2">
        <v>6.0100000000000001E-2</v>
      </c>
      <c r="Q378" s="2">
        <v>5.5999999999999999E-3</v>
      </c>
      <c r="R378">
        <v>231</v>
      </c>
    </row>
    <row r="379" spans="1:18" x14ac:dyDescent="0.35">
      <c r="A379" t="s">
        <v>228</v>
      </c>
      <c r="B379" t="s">
        <v>228</v>
      </c>
      <c r="C379" s="2">
        <v>0.15359999999999999</v>
      </c>
      <c r="D379" s="2">
        <v>0.1013</v>
      </c>
      <c r="E379" s="2">
        <v>9.2399999999999996E-2</v>
      </c>
      <c r="F379" s="2">
        <v>8.9099999999999999E-2</v>
      </c>
      <c r="G379" s="2">
        <v>8.4699999999999998E-2</v>
      </c>
      <c r="H379" s="2">
        <v>0.08</v>
      </c>
      <c r="I379" s="2">
        <v>7.9899999999999999E-2</v>
      </c>
      <c r="J379" s="2">
        <v>6.5000000000000002E-2</v>
      </c>
      <c r="K379" s="2">
        <v>5.8700000000000002E-2</v>
      </c>
      <c r="L379" s="2">
        <v>5.4100000000000002E-2</v>
      </c>
      <c r="M379" s="2">
        <v>5.33E-2</v>
      </c>
      <c r="N379" s="2">
        <v>3.5999999999999997E-2</v>
      </c>
      <c r="O379" s="2">
        <v>3.5900000000000001E-2</v>
      </c>
      <c r="P379" s="2">
        <v>9.7000000000000003E-3</v>
      </c>
      <c r="Q379" s="2">
        <v>6.1999999999999998E-3</v>
      </c>
      <c r="R379">
        <v>967</v>
      </c>
    </row>
    <row r="381" spans="1:18" x14ac:dyDescent="0.35">
      <c r="A381" s="1" t="s">
        <v>398</v>
      </c>
    </row>
    <row r="382" spans="1:18" x14ac:dyDescent="0.35">
      <c r="A382" t="s">
        <v>219</v>
      </c>
      <c r="B382" t="s">
        <v>301</v>
      </c>
      <c r="C382" t="s">
        <v>375</v>
      </c>
      <c r="D382" t="s">
        <v>376</v>
      </c>
      <c r="E382" t="s">
        <v>377</v>
      </c>
      <c r="F382" t="s">
        <v>378</v>
      </c>
      <c r="G382" t="s">
        <v>379</v>
      </c>
      <c r="H382" t="s">
        <v>380</v>
      </c>
      <c r="I382" t="s">
        <v>381</v>
      </c>
      <c r="J382" t="s">
        <v>382</v>
      </c>
      <c r="K382" t="s">
        <v>383</v>
      </c>
      <c r="L382" t="s">
        <v>384</v>
      </c>
      <c r="M382" t="s">
        <v>385</v>
      </c>
      <c r="N382" t="s">
        <v>386</v>
      </c>
      <c r="O382" t="s">
        <v>387</v>
      </c>
      <c r="P382" t="s">
        <v>388</v>
      </c>
      <c r="Q382" t="s">
        <v>277</v>
      </c>
      <c r="R382" t="s">
        <v>226</v>
      </c>
    </row>
    <row r="383" spans="1:18" x14ac:dyDescent="0.35">
      <c r="A383" t="s">
        <v>227</v>
      </c>
      <c r="B383" t="s">
        <v>350</v>
      </c>
      <c r="D383" s="2">
        <v>0.21709999999999999</v>
      </c>
      <c r="E383" s="2">
        <v>7.9000000000000008E-3</v>
      </c>
      <c r="F383" s="2">
        <v>2.0299999999999999E-2</v>
      </c>
      <c r="G383" s="2">
        <v>0.2117</v>
      </c>
      <c r="H383" s="2">
        <v>0.20610000000000001</v>
      </c>
      <c r="I383" s="2">
        <v>0.158</v>
      </c>
      <c r="J383" s="2">
        <v>0.16739999999999999</v>
      </c>
      <c r="L383" s="2">
        <v>2.0000000000000001E-4</v>
      </c>
      <c r="M383" s="2">
        <v>1.4E-3</v>
      </c>
      <c r="Q383" s="2">
        <v>0.01</v>
      </c>
      <c r="R383">
        <v>398</v>
      </c>
    </row>
    <row r="384" spans="1:18" x14ac:dyDescent="0.35">
      <c r="A384" t="s">
        <v>227</v>
      </c>
      <c r="B384" t="s">
        <v>351</v>
      </c>
      <c r="F384" s="2">
        <v>0.34010000000000001</v>
      </c>
      <c r="G384" s="2">
        <v>1.06E-2</v>
      </c>
      <c r="I384" s="2">
        <v>7.7899999999999997E-2</v>
      </c>
      <c r="M384" s="2">
        <v>0.221</v>
      </c>
      <c r="N384" s="2">
        <v>0.15079999999999999</v>
      </c>
      <c r="O384" s="2">
        <v>0.15029999999999999</v>
      </c>
      <c r="P384" s="2">
        <v>4.07E-2</v>
      </c>
      <c r="Q384" s="2">
        <v>8.6E-3</v>
      </c>
      <c r="R384">
        <v>217</v>
      </c>
    </row>
    <row r="385" spans="1:19" x14ac:dyDescent="0.35">
      <c r="A385" t="s">
        <v>227</v>
      </c>
      <c r="B385" t="s">
        <v>352</v>
      </c>
      <c r="C385" s="2">
        <v>0.99739999999999995</v>
      </c>
      <c r="Q385" s="2">
        <v>2.5999999999999999E-3</v>
      </c>
      <c r="R385">
        <v>93</v>
      </c>
    </row>
    <row r="386" spans="1:19" x14ac:dyDescent="0.35">
      <c r="A386" t="s">
        <v>227</v>
      </c>
      <c r="B386" t="s">
        <v>353</v>
      </c>
      <c r="C386" s="2">
        <v>0.17349999999999999</v>
      </c>
      <c r="D386" s="2">
        <v>6.4199999999999993E-2</v>
      </c>
      <c r="E386" s="2">
        <v>0.33689999999999998</v>
      </c>
      <c r="K386" s="2">
        <v>0.22140000000000001</v>
      </c>
      <c r="L386" s="2">
        <v>0.2039</v>
      </c>
      <c r="R386">
        <v>259</v>
      </c>
    </row>
    <row r="387" spans="1:19" x14ac:dyDescent="0.35">
      <c r="A387" t="s">
        <v>228</v>
      </c>
      <c r="B387" t="s">
        <v>228</v>
      </c>
      <c r="C387" s="2">
        <v>0.15359999999999999</v>
      </c>
      <c r="D387" s="2">
        <v>0.1013</v>
      </c>
      <c r="E387" s="2">
        <v>9.2399999999999996E-2</v>
      </c>
      <c r="F387" s="2">
        <v>8.9099999999999999E-2</v>
      </c>
      <c r="G387" s="2">
        <v>8.4699999999999998E-2</v>
      </c>
      <c r="H387" s="2">
        <v>0.08</v>
      </c>
      <c r="I387" s="2">
        <v>7.9899999999999999E-2</v>
      </c>
      <c r="J387" s="2">
        <v>6.5000000000000002E-2</v>
      </c>
      <c r="K387" s="2">
        <v>5.8700000000000002E-2</v>
      </c>
      <c r="L387" s="2">
        <v>5.4100000000000002E-2</v>
      </c>
      <c r="M387" s="2">
        <v>5.33E-2</v>
      </c>
      <c r="N387" s="2">
        <v>3.5999999999999997E-2</v>
      </c>
      <c r="O387" s="2">
        <v>3.5900000000000001E-2</v>
      </c>
      <c r="P387" s="2">
        <v>9.7000000000000003E-3</v>
      </c>
      <c r="Q387" s="2">
        <v>6.1999999999999998E-3</v>
      </c>
      <c r="R387">
        <v>967</v>
      </c>
    </row>
    <row r="389" spans="1:19" x14ac:dyDescent="0.35">
      <c r="A389" s="1" t="s">
        <v>399</v>
      </c>
    </row>
    <row r="390" spans="1:19" x14ac:dyDescent="0.35">
      <c r="A390" t="s">
        <v>219</v>
      </c>
      <c r="B390" t="s">
        <v>301</v>
      </c>
      <c r="C390" t="s">
        <v>375</v>
      </c>
      <c r="D390" t="s">
        <v>376</v>
      </c>
      <c r="E390" t="s">
        <v>377</v>
      </c>
      <c r="F390" t="s">
        <v>378</v>
      </c>
      <c r="G390" t="s">
        <v>379</v>
      </c>
      <c r="H390" t="s">
        <v>380</v>
      </c>
      <c r="I390" t="s">
        <v>381</v>
      </c>
      <c r="J390" t="s">
        <v>382</v>
      </c>
      <c r="K390" t="s">
        <v>383</v>
      </c>
      <c r="L390" t="s">
        <v>384</v>
      </c>
      <c r="M390" t="s">
        <v>385</v>
      </c>
      <c r="N390" t="s">
        <v>386</v>
      </c>
      <c r="O390" t="s">
        <v>387</v>
      </c>
      <c r="P390" t="s">
        <v>388</v>
      </c>
      <c r="Q390" t="s">
        <v>277</v>
      </c>
      <c r="R390" t="s">
        <v>226</v>
      </c>
    </row>
    <row r="391" spans="1:19" x14ac:dyDescent="0.35">
      <c r="A391" t="s">
        <v>227</v>
      </c>
      <c r="B391" t="s">
        <v>231</v>
      </c>
      <c r="C391" s="2">
        <v>0.14149999999999999</v>
      </c>
      <c r="D391" s="2">
        <v>9.1700000000000004E-2</v>
      </c>
      <c r="E391" s="2">
        <v>9.6600000000000005E-2</v>
      </c>
      <c r="F391" s="2">
        <v>8.3099999999999993E-2</v>
      </c>
      <c r="G391" s="2">
        <v>9.74E-2</v>
      </c>
      <c r="H391" s="2">
        <v>8.7400000000000005E-2</v>
      </c>
      <c r="I391" s="2">
        <v>6.7799999999999999E-2</v>
      </c>
      <c r="J391" s="2">
        <v>8.4400000000000003E-2</v>
      </c>
      <c r="K391" s="2">
        <v>5.5599999999999997E-2</v>
      </c>
      <c r="L391" s="2">
        <v>5.04E-2</v>
      </c>
      <c r="M391" s="2">
        <v>6.6100000000000006E-2</v>
      </c>
      <c r="N391" s="2">
        <v>3.9300000000000002E-2</v>
      </c>
      <c r="O391" s="2">
        <v>2.4199999999999999E-2</v>
      </c>
      <c r="P391" s="2">
        <v>1.43E-2</v>
      </c>
      <c r="R391">
        <v>482</v>
      </c>
    </row>
    <row r="392" spans="1:19" x14ac:dyDescent="0.35">
      <c r="A392" s="3" t="s">
        <v>227</v>
      </c>
      <c r="B392" s="3" t="s">
        <v>232</v>
      </c>
      <c r="C392" s="5"/>
      <c r="D392" s="5"/>
      <c r="E392" s="5"/>
      <c r="F392" s="5"/>
      <c r="G392" s="5"/>
      <c r="H392" s="4">
        <v>1</v>
      </c>
      <c r="I392" s="5"/>
      <c r="J392" s="5"/>
      <c r="K392" s="5"/>
      <c r="L392" s="5"/>
      <c r="M392" s="5"/>
      <c r="N392" s="5"/>
      <c r="O392" s="5"/>
      <c r="P392" s="5"/>
      <c r="Q392" s="5"/>
      <c r="R392" s="5" t="s">
        <v>323</v>
      </c>
    </row>
    <row r="393" spans="1:19" x14ac:dyDescent="0.35">
      <c r="A393" t="s">
        <v>227</v>
      </c>
      <c r="B393" t="s">
        <v>230</v>
      </c>
      <c r="C393" s="2">
        <v>0.16589999999999999</v>
      </c>
      <c r="D393" s="2">
        <v>0.1111</v>
      </c>
      <c r="E393" s="2">
        <v>8.8200000000000001E-2</v>
      </c>
      <c r="F393" s="2">
        <v>9.5100000000000004E-2</v>
      </c>
      <c r="G393" s="2">
        <v>7.1900000000000006E-2</v>
      </c>
      <c r="H393" s="2">
        <v>7.2099999999999997E-2</v>
      </c>
      <c r="I393" s="2">
        <v>9.2200000000000004E-2</v>
      </c>
      <c r="J393" s="2">
        <v>4.5400000000000003E-2</v>
      </c>
      <c r="K393" s="2">
        <v>6.1800000000000001E-2</v>
      </c>
      <c r="L393" s="2">
        <v>5.79E-2</v>
      </c>
      <c r="M393" s="2">
        <v>4.0300000000000002E-2</v>
      </c>
      <c r="N393" s="2">
        <v>3.27E-2</v>
      </c>
      <c r="O393" s="2">
        <v>4.7699999999999999E-2</v>
      </c>
      <c r="P393" s="2">
        <v>5.1000000000000004E-3</v>
      </c>
      <c r="Q393" s="2">
        <v>1.2500000000000001E-2</v>
      </c>
      <c r="R393">
        <v>484</v>
      </c>
    </row>
    <row r="394" spans="1:19" x14ac:dyDescent="0.35">
      <c r="A394" t="s">
        <v>228</v>
      </c>
      <c r="B394" t="s">
        <v>228</v>
      </c>
      <c r="C394" s="2">
        <v>0.15359999999999999</v>
      </c>
      <c r="D394" s="2">
        <v>0.1013</v>
      </c>
      <c r="E394" s="2">
        <v>9.2399999999999996E-2</v>
      </c>
      <c r="F394" s="2">
        <v>8.9099999999999999E-2</v>
      </c>
      <c r="G394" s="2">
        <v>8.4699999999999998E-2</v>
      </c>
      <c r="H394" s="2">
        <v>0.08</v>
      </c>
      <c r="I394" s="2">
        <v>7.9899999999999999E-2</v>
      </c>
      <c r="J394" s="2">
        <v>6.5000000000000002E-2</v>
      </c>
      <c r="K394" s="2">
        <v>5.8700000000000002E-2</v>
      </c>
      <c r="L394" s="2">
        <v>5.4100000000000002E-2</v>
      </c>
      <c r="M394" s="2">
        <v>5.33E-2</v>
      </c>
      <c r="N394" s="2">
        <v>3.5999999999999997E-2</v>
      </c>
      <c r="O394" s="2">
        <v>3.5900000000000001E-2</v>
      </c>
      <c r="P394" s="2">
        <v>9.7000000000000003E-3</v>
      </c>
      <c r="Q394" s="2">
        <v>6.1999999999999998E-3</v>
      </c>
      <c r="R394">
        <v>967</v>
      </c>
    </row>
    <row r="396" spans="1:19" x14ac:dyDescent="0.35">
      <c r="A396" s="1" t="s">
        <v>400</v>
      </c>
    </row>
    <row r="397" spans="1:19" x14ac:dyDescent="0.35">
      <c r="A397" t="s">
        <v>219</v>
      </c>
      <c r="B397" t="s">
        <v>301</v>
      </c>
      <c r="C397" t="s">
        <v>325</v>
      </c>
      <c r="D397" t="s">
        <v>375</v>
      </c>
      <c r="E397" t="s">
        <v>376</v>
      </c>
      <c r="F397" t="s">
        <v>377</v>
      </c>
      <c r="G397" t="s">
        <v>378</v>
      </c>
      <c r="H397" t="s">
        <v>379</v>
      </c>
      <c r="I397" t="s">
        <v>380</v>
      </c>
      <c r="J397" t="s">
        <v>381</v>
      </c>
      <c r="K397" t="s">
        <v>382</v>
      </c>
      <c r="L397" t="s">
        <v>383</v>
      </c>
      <c r="M397" t="s">
        <v>384</v>
      </c>
      <c r="N397" t="s">
        <v>385</v>
      </c>
      <c r="O397" t="s">
        <v>386</v>
      </c>
      <c r="P397" t="s">
        <v>387</v>
      </c>
      <c r="Q397" t="s">
        <v>388</v>
      </c>
      <c r="R397" t="s">
        <v>277</v>
      </c>
      <c r="S397" t="s">
        <v>226</v>
      </c>
    </row>
    <row r="398" spans="1:19" x14ac:dyDescent="0.35">
      <c r="A398" t="s">
        <v>227</v>
      </c>
      <c r="B398" t="s">
        <v>231</v>
      </c>
      <c r="C398" t="s">
        <v>350</v>
      </c>
      <c r="E398" s="2">
        <v>0.21360000000000001</v>
      </c>
      <c r="F398" s="2">
        <v>9.2999999999999992E-3</v>
      </c>
      <c r="G398" s="2">
        <v>2.1499999999999998E-2</v>
      </c>
      <c r="H398" s="2">
        <v>0.21970000000000001</v>
      </c>
      <c r="I398" s="2">
        <v>0.20780000000000001</v>
      </c>
      <c r="J398" s="2">
        <v>0.12720000000000001</v>
      </c>
      <c r="K398" s="2">
        <v>0.20069999999999999</v>
      </c>
      <c r="M398" s="2">
        <v>2.9999999999999997E-4</v>
      </c>
      <c r="S398">
        <v>210</v>
      </c>
    </row>
    <row r="399" spans="1:19" x14ac:dyDescent="0.35">
      <c r="A399" t="s">
        <v>227</v>
      </c>
      <c r="B399" t="s">
        <v>231</v>
      </c>
      <c r="C399" t="s">
        <v>351</v>
      </c>
      <c r="G399" s="2">
        <v>0.31209999999999999</v>
      </c>
      <c r="H399" s="2">
        <v>2.12E-2</v>
      </c>
      <c r="J399" s="2">
        <v>6.0400000000000002E-2</v>
      </c>
      <c r="N399" s="2">
        <v>0.27850000000000003</v>
      </c>
      <c r="O399" s="2">
        <v>0.1656</v>
      </c>
      <c r="P399" s="2">
        <v>0.1019</v>
      </c>
      <c r="Q399" s="2">
        <v>6.0400000000000002E-2</v>
      </c>
      <c r="S399">
        <v>115</v>
      </c>
    </row>
    <row r="400" spans="1:19" x14ac:dyDescent="0.35">
      <c r="A400" t="s">
        <v>227</v>
      </c>
      <c r="B400" t="s">
        <v>231</v>
      </c>
      <c r="C400" t="s">
        <v>352</v>
      </c>
      <c r="D400" s="2">
        <v>1</v>
      </c>
      <c r="S400">
        <v>45</v>
      </c>
    </row>
    <row r="401" spans="1:19" x14ac:dyDescent="0.35">
      <c r="A401" t="s">
        <v>227</v>
      </c>
      <c r="B401" t="s">
        <v>231</v>
      </c>
      <c r="C401" t="s">
        <v>353</v>
      </c>
      <c r="D401" s="2">
        <v>0.12809999999999999</v>
      </c>
      <c r="E401" s="2">
        <v>7.9000000000000008E-3</v>
      </c>
      <c r="F401" s="2">
        <v>0.4032</v>
      </c>
      <c r="L401" s="2">
        <v>0.24199999999999999</v>
      </c>
      <c r="M401" s="2">
        <v>0.21870000000000001</v>
      </c>
      <c r="S401">
        <v>112</v>
      </c>
    </row>
    <row r="402" spans="1:19" x14ac:dyDescent="0.35">
      <c r="A402" s="3" t="s">
        <v>227</v>
      </c>
      <c r="B402" s="3" t="s">
        <v>232</v>
      </c>
      <c r="C402" s="3" t="s">
        <v>350</v>
      </c>
      <c r="D402" s="5"/>
      <c r="E402" s="5"/>
      <c r="F402" s="5"/>
      <c r="G402" s="5"/>
      <c r="H402" s="5"/>
      <c r="I402" s="4">
        <v>1</v>
      </c>
      <c r="J402" s="5"/>
      <c r="K402" s="5"/>
      <c r="L402" s="5"/>
      <c r="M402" s="5"/>
      <c r="N402" s="5"/>
      <c r="O402" s="5"/>
      <c r="P402" s="5"/>
      <c r="Q402" s="5"/>
      <c r="R402" s="5"/>
      <c r="S402" s="5" t="s">
        <v>323</v>
      </c>
    </row>
    <row r="403" spans="1:19" x14ac:dyDescent="0.35">
      <c r="A403" t="s">
        <v>227</v>
      </c>
      <c r="B403" t="s">
        <v>230</v>
      </c>
      <c r="C403" t="s">
        <v>350</v>
      </c>
      <c r="E403" s="2">
        <v>0.22159999999999999</v>
      </c>
      <c r="F403" s="2">
        <v>6.1999999999999998E-3</v>
      </c>
      <c r="G403" s="2">
        <v>1.89E-2</v>
      </c>
      <c r="H403" s="2">
        <v>0.20250000000000001</v>
      </c>
      <c r="I403" s="2">
        <v>0.2031</v>
      </c>
      <c r="J403" s="2">
        <v>0.19500000000000001</v>
      </c>
      <c r="K403" s="2">
        <v>0.12770000000000001</v>
      </c>
      <c r="N403" s="2">
        <v>3.0000000000000001E-3</v>
      </c>
      <c r="R403" s="2">
        <v>2.1999999999999999E-2</v>
      </c>
      <c r="S403">
        <v>187</v>
      </c>
    </row>
    <row r="404" spans="1:19" x14ac:dyDescent="0.35">
      <c r="A404" t="s">
        <v>227</v>
      </c>
      <c r="B404" t="s">
        <v>230</v>
      </c>
      <c r="C404" t="s">
        <v>351</v>
      </c>
      <c r="G404" s="2">
        <v>0.36809999999999998</v>
      </c>
      <c r="J404" s="2">
        <v>9.5399999999999999E-2</v>
      </c>
      <c r="N404" s="2">
        <v>0.16350000000000001</v>
      </c>
      <c r="O404" s="2">
        <v>0.1361</v>
      </c>
      <c r="P404" s="2">
        <v>0.1986</v>
      </c>
      <c r="Q404" s="2">
        <v>2.1100000000000001E-2</v>
      </c>
      <c r="R404" s="2">
        <v>1.7100000000000001E-2</v>
      </c>
      <c r="S404">
        <v>102</v>
      </c>
    </row>
    <row r="405" spans="1:19" x14ac:dyDescent="0.35">
      <c r="A405" t="s">
        <v>227</v>
      </c>
      <c r="B405" t="s">
        <v>230</v>
      </c>
      <c r="C405" t="s">
        <v>352</v>
      </c>
      <c r="D405" s="2">
        <v>0.99450000000000005</v>
      </c>
      <c r="R405" s="2">
        <v>5.4999999999999997E-3</v>
      </c>
      <c r="S405">
        <v>48</v>
      </c>
    </row>
    <row r="406" spans="1:19" x14ac:dyDescent="0.35">
      <c r="A406" t="s">
        <v>227</v>
      </c>
      <c r="B406" t="s">
        <v>230</v>
      </c>
      <c r="C406" t="s">
        <v>353</v>
      </c>
      <c r="D406" s="2">
        <v>0.20849999999999999</v>
      </c>
      <c r="E406" s="2">
        <v>0.1077</v>
      </c>
      <c r="F406" s="2">
        <v>0.28570000000000001</v>
      </c>
      <c r="L406" s="2">
        <v>0.20549999999999999</v>
      </c>
      <c r="M406" s="2">
        <v>0.1925</v>
      </c>
      <c r="S406">
        <v>147</v>
      </c>
    </row>
    <row r="407" spans="1:19" x14ac:dyDescent="0.35">
      <c r="A407" t="s">
        <v>228</v>
      </c>
      <c r="B407" t="s">
        <v>228</v>
      </c>
      <c r="C407" t="s">
        <v>228</v>
      </c>
      <c r="D407" s="2">
        <v>0.15359999999999999</v>
      </c>
      <c r="E407" s="2">
        <v>0.1013</v>
      </c>
      <c r="F407" s="2">
        <v>9.2399999999999996E-2</v>
      </c>
      <c r="G407" s="2">
        <v>8.9099999999999999E-2</v>
      </c>
      <c r="H407" s="2">
        <v>8.4699999999999998E-2</v>
      </c>
      <c r="I407" s="2">
        <v>0.08</v>
      </c>
      <c r="J407" s="2">
        <v>7.9899999999999999E-2</v>
      </c>
      <c r="K407" s="2">
        <v>6.5000000000000002E-2</v>
      </c>
      <c r="L407" s="2">
        <v>5.8700000000000002E-2</v>
      </c>
      <c r="M407" s="2">
        <v>5.4100000000000002E-2</v>
      </c>
      <c r="N407" s="2">
        <v>5.33E-2</v>
      </c>
      <c r="O407" s="2">
        <v>3.5999999999999997E-2</v>
      </c>
      <c r="P407" s="2">
        <v>3.5900000000000001E-2</v>
      </c>
      <c r="Q407" s="2">
        <v>9.7000000000000003E-3</v>
      </c>
      <c r="R407" s="2">
        <v>6.1999999999999998E-3</v>
      </c>
      <c r="S407">
        <v>967</v>
      </c>
    </row>
    <row r="409" spans="1:19" x14ac:dyDescent="0.35">
      <c r="A409" s="1" t="s">
        <v>401</v>
      </c>
    </row>
    <row r="410" spans="1:19" x14ac:dyDescent="0.35">
      <c r="A410" t="s">
        <v>219</v>
      </c>
      <c r="B410" t="s">
        <v>402</v>
      </c>
      <c r="C410" t="s">
        <v>403</v>
      </c>
      <c r="D410" t="s">
        <v>404</v>
      </c>
      <c r="E410" t="s">
        <v>405</v>
      </c>
      <c r="F410" t="s">
        <v>406</v>
      </c>
      <c r="G410" t="s">
        <v>407</v>
      </c>
      <c r="H410" t="s">
        <v>408</v>
      </c>
      <c r="I410" t="s">
        <v>409</v>
      </c>
      <c r="J410" t="s">
        <v>410</v>
      </c>
      <c r="K410" t="s">
        <v>411</v>
      </c>
      <c r="L410" t="s">
        <v>412</v>
      </c>
      <c r="M410" t="s">
        <v>413</v>
      </c>
      <c r="N410" t="s">
        <v>414</v>
      </c>
      <c r="O410" t="s">
        <v>415</v>
      </c>
      <c r="P410" t="s">
        <v>416</v>
      </c>
      <c r="Q410" t="s">
        <v>226</v>
      </c>
    </row>
    <row r="411" spans="1:19" x14ac:dyDescent="0.35">
      <c r="A411" t="s">
        <v>227</v>
      </c>
      <c r="B411" s="2">
        <v>0.29580000000000001</v>
      </c>
      <c r="C411" s="2">
        <v>0.19600000000000001</v>
      </c>
      <c r="D411" s="2">
        <v>0.1573</v>
      </c>
      <c r="E411" s="2">
        <v>6.08E-2</v>
      </c>
      <c r="F411" s="2">
        <v>5.3900000000000003E-2</v>
      </c>
      <c r="G411" s="2">
        <v>5.16E-2</v>
      </c>
      <c r="H411" s="2">
        <v>5.16E-2</v>
      </c>
      <c r="I411" s="2">
        <v>4.5699999999999998E-2</v>
      </c>
      <c r="J411" s="2">
        <v>4.2999999999999997E-2</v>
      </c>
      <c r="K411" s="2">
        <v>3.4000000000000002E-2</v>
      </c>
      <c r="L411" s="2">
        <v>1.9900000000000001E-2</v>
      </c>
      <c r="M411" s="2">
        <v>1.5599999999999999E-2</v>
      </c>
      <c r="N411" s="2">
        <v>6.8999999999999999E-3</v>
      </c>
      <c r="O411" s="2">
        <v>4.5999999999999999E-3</v>
      </c>
      <c r="P411" s="2">
        <v>3.5000000000000001E-3</v>
      </c>
      <c r="Q411">
        <v>87</v>
      </c>
    </row>
    <row r="412" spans="1:19" x14ac:dyDescent="0.35">
      <c r="A412" t="s">
        <v>228</v>
      </c>
      <c r="B412" s="2">
        <v>0.29580000000000001</v>
      </c>
      <c r="C412" s="2">
        <v>0.19600000000000001</v>
      </c>
      <c r="D412" s="2">
        <v>0.1573</v>
      </c>
      <c r="E412" s="2">
        <v>6.08E-2</v>
      </c>
      <c r="F412" s="2">
        <v>5.3900000000000003E-2</v>
      </c>
      <c r="G412" s="2">
        <v>5.16E-2</v>
      </c>
      <c r="H412" s="2">
        <v>5.16E-2</v>
      </c>
      <c r="I412" s="2">
        <v>4.5699999999999998E-2</v>
      </c>
      <c r="J412" s="2">
        <v>4.2999999999999997E-2</v>
      </c>
      <c r="K412" s="2">
        <v>3.4000000000000002E-2</v>
      </c>
      <c r="L412" s="2">
        <v>1.9900000000000001E-2</v>
      </c>
      <c r="M412" s="2">
        <v>1.5599999999999999E-2</v>
      </c>
      <c r="N412" s="2">
        <v>6.8999999999999999E-3</v>
      </c>
      <c r="O412" s="2">
        <v>4.5999999999999999E-3</v>
      </c>
      <c r="P412" s="2">
        <v>3.5000000000000001E-3</v>
      </c>
      <c r="Q412">
        <v>87</v>
      </c>
    </row>
    <row r="414" spans="1:19" x14ac:dyDescent="0.35">
      <c r="A414" s="1" t="s">
        <v>417</v>
      </c>
    </row>
    <row r="415" spans="1:19" x14ac:dyDescent="0.35">
      <c r="A415" t="s">
        <v>219</v>
      </c>
      <c r="B415" t="s">
        <v>301</v>
      </c>
      <c r="C415" t="s">
        <v>402</v>
      </c>
      <c r="D415" t="s">
        <v>403</v>
      </c>
      <c r="E415" t="s">
        <v>404</v>
      </c>
      <c r="F415" t="s">
        <v>405</v>
      </c>
      <c r="G415" t="s">
        <v>406</v>
      </c>
      <c r="H415" t="s">
        <v>407</v>
      </c>
      <c r="I415" t="s">
        <v>408</v>
      </c>
      <c r="J415" t="s">
        <v>409</v>
      </c>
      <c r="K415" t="s">
        <v>410</v>
      </c>
      <c r="L415" t="s">
        <v>411</v>
      </c>
      <c r="M415" t="s">
        <v>412</v>
      </c>
      <c r="N415" t="s">
        <v>413</v>
      </c>
      <c r="O415" t="s">
        <v>414</v>
      </c>
      <c r="P415" t="s">
        <v>415</v>
      </c>
      <c r="Q415" t="s">
        <v>416</v>
      </c>
      <c r="R415" t="s">
        <v>226</v>
      </c>
    </row>
    <row r="416" spans="1:19" x14ac:dyDescent="0.35">
      <c r="A416" s="3" t="s">
        <v>227</v>
      </c>
      <c r="B416" s="3" t="s">
        <v>238</v>
      </c>
      <c r="C416" s="4">
        <v>0.16719999999999999</v>
      </c>
      <c r="D416" s="4">
        <v>0.31369999999999998</v>
      </c>
      <c r="E416" s="5"/>
      <c r="F416" s="4">
        <v>0.27410000000000001</v>
      </c>
      <c r="G416" s="4">
        <v>1.11E-2</v>
      </c>
      <c r="H416" s="5"/>
      <c r="I416" s="5"/>
      <c r="J416" s="4">
        <v>2.6800000000000001E-2</v>
      </c>
      <c r="K416" s="4">
        <v>0.1186</v>
      </c>
      <c r="L416" s="4">
        <v>7.5399999999999995E-2</v>
      </c>
      <c r="M416" s="5"/>
      <c r="N416" s="4">
        <v>1.5900000000000001E-2</v>
      </c>
      <c r="O416" s="4">
        <v>9.7000000000000003E-3</v>
      </c>
      <c r="P416" s="4">
        <v>9.7000000000000003E-3</v>
      </c>
      <c r="Q416" s="5"/>
      <c r="R416" s="5" t="s">
        <v>418</v>
      </c>
    </row>
    <row r="417" spans="1:18" x14ac:dyDescent="0.35">
      <c r="A417" t="s">
        <v>227</v>
      </c>
      <c r="B417" t="s">
        <v>237</v>
      </c>
      <c r="C417" s="2">
        <v>0.33250000000000002</v>
      </c>
      <c r="D417" s="2">
        <v>0.16239999999999999</v>
      </c>
      <c r="E417" s="2">
        <v>0.20219999999999999</v>
      </c>
      <c r="G417" s="2">
        <v>6.6100000000000006E-2</v>
      </c>
      <c r="H417" s="2">
        <v>6.6299999999999998E-2</v>
      </c>
      <c r="I417" s="2">
        <v>6.6299999999999998E-2</v>
      </c>
      <c r="J417" s="2">
        <v>5.11E-2</v>
      </c>
      <c r="K417" s="2">
        <v>2.1499999999999998E-2</v>
      </c>
      <c r="L417" s="2">
        <v>2.2100000000000002E-2</v>
      </c>
      <c r="M417" s="2">
        <v>2.5499999999999998E-2</v>
      </c>
      <c r="N417" s="2">
        <v>1.55E-2</v>
      </c>
      <c r="O417" s="2">
        <v>6.1000000000000004E-3</v>
      </c>
      <c r="P417" s="2">
        <v>3.2000000000000002E-3</v>
      </c>
      <c r="Q417" s="2">
        <v>4.4000000000000003E-3</v>
      </c>
      <c r="R417">
        <v>64</v>
      </c>
    </row>
    <row r="418" spans="1:18" x14ac:dyDescent="0.35">
      <c r="A418" t="s">
        <v>228</v>
      </c>
      <c r="B418" t="s">
        <v>228</v>
      </c>
      <c r="C418" s="2">
        <v>0.29580000000000001</v>
      </c>
      <c r="D418" s="2">
        <v>0.19600000000000001</v>
      </c>
      <c r="E418" s="2">
        <v>0.1573</v>
      </c>
      <c r="F418" s="2">
        <v>6.08E-2</v>
      </c>
      <c r="G418" s="2">
        <v>5.3900000000000003E-2</v>
      </c>
      <c r="H418" s="2">
        <v>5.16E-2</v>
      </c>
      <c r="I418" s="2">
        <v>5.16E-2</v>
      </c>
      <c r="J418" s="2">
        <v>4.5699999999999998E-2</v>
      </c>
      <c r="K418" s="2">
        <v>4.2999999999999997E-2</v>
      </c>
      <c r="L418" s="2">
        <v>3.4000000000000002E-2</v>
      </c>
      <c r="M418" s="2">
        <v>1.9900000000000001E-2</v>
      </c>
      <c r="N418" s="2">
        <v>1.5599999999999999E-2</v>
      </c>
      <c r="O418" s="2">
        <v>6.8999999999999999E-3</v>
      </c>
      <c r="P418" s="2">
        <v>4.5999999999999999E-3</v>
      </c>
      <c r="Q418" s="2">
        <v>3.5000000000000001E-3</v>
      </c>
      <c r="R418">
        <v>87</v>
      </c>
    </row>
    <row r="420" spans="1:18" x14ac:dyDescent="0.35">
      <c r="A420" s="1" t="s">
        <v>419</v>
      </c>
    </row>
    <row r="421" spans="1:18" x14ac:dyDescent="0.35">
      <c r="A421" t="s">
        <v>219</v>
      </c>
      <c r="B421" t="s">
        <v>301</v>
      </c>
      <c r="C421" t="s">
        <v>402</v>
      </c>
      <c r="D421" t="s">
        <v>403</v>
      </c>
      <c r="E421" t="s">
        <v>404</v>
      </c>
      <c r="F421" t="s">
        <v>405</v>
      </c>
      <c r="G421" t="s">
        <v>406</v>
      </c>
      <c r="H421" t="s">
        <v>407</v>
      </c>
      <c r="I421" t="s">
        <v>408</v>
      </c>
      <c r="J421" t="s">
        <v>409</v>
      </c>
      <c r="K421" t="s">
        <v>410</v>
      </c>
      <c r="L421" t="s">
        <v>411</v>
      </c>
      <c r="M421" t="s">
        <v>412</v>
      </c>
      <c r="N421" t="s">
        <v>413</v>
      </c>
      <c r="O421" t="s">
        <v>414</v>
      </c>
      <c r="P421" t="s">
        <v>415</v>
      </c>
      <c r="Q421" t="s">
        <v>416</v>
      </c>
      <c r="R421" t="s">
        <v>226</v>
      </c>
    </row>
    <row r="422" spans="1:18" x14ac:dyDescent="0.35">
      <c r="A422" t="s">
        <v>227</v>
      </c>
      <c r="B422" t="s">
        <v>235</v>
      </c>
      <c r="C422" s="2">
        <v>0.30859999999999999</v>
      </c>
      <c r="D422" s="2">
        <v>7.2300000000000003E-2</v>
      </c>
      <c r="E422" s="2">
        <v>0.24479999999999999</v>
      </c>
      <c r="F422" s="2">
        <v>9.4700000000000006E-2</v>
      </c>
      <c r="G422" s="2">
        <v>5.3100000000000001E-2</v>
      </c>
      <c r="H422" s="2">
        <v>8.0299999999999996E-2</v>
      </c>
      <c r="I422" s="2">
        <v>8.0299999999999996E-2</v>
      </c>
      <c r="J422" s="2">
        <v>2.63E-2</v>
      </c>
      <c r="K422" s="2">
        <v>1.2999999999999999E-3</v>
      </c>
      <c r="L422" s="2">
        <v>2.7099999999999999E-2</v>
      </c>
      <c r="N422" s="2">
        <v>1.38E-2</v>
      </c>
      <c r="O422" s="2">
        <v>3.3E-3</v>
      </c>
      <c r="P422" s="2">
        <v>3.8E-3</v>
      </c>
      <c r="Q422" s="2">
        <v>5.4000000000000003E-3</v>
      </c>
      <c r="R422">
        <v>44</v>
      </c>
    </row>
    <row r="423" spans="1:18" x14ac:dyDescent="0.35">
      <c r="A423" t="s">
        <v>227</v>
      </c>
      <c r="B423" t="s">
        <v>234</v>
      </c>
      <c r="C423" s="2">
        <v>0.27289999999999998</v>
      </c>
      <c r="D423" s="2">
        <v>0.41839999999999999</v>
      </c>
      <c r="G423" s="2">
        <v>5.5399999999999998E-2</v>
      </c>
      <c r="J423" s="2">
        <v>8.0699999999999994E-2</v>
      </c>
      <c r="K423" s="2">
        <v>0.1182</v>
      </c>
      <c r="L423" s="2">
        <v>4.6399999999999997E-2</v>
      </c>
      <c r="M423" s="2">
        <v>5.5599999999999997E-2</v>
      </c>
      <c r="N423" s="2">
        <v>1.8800000000000001E-2</v>
      </c>
      <c r="O423" s="2">
        <v>1.32E-2</v>
      </c>
      <c r="P423" s="2">
        <v>6.0000000000000001E-3</v>
      </c>
      <c r="R423">
        <v>43</v>
      </c>
    </row>
    <row r="424" spans="1:18" x14ac:dyDescent="0.35">
      <c r="A424" t="s">
        <v>228</v>
      </c>
      <c r="B424" t="s">
        <v>228</v>
      </c>
      <c r="C424" s="2">
        <v>0.29580000000000001</v>
      </c>
      <c r="D424" s="2">
        <v>0.19600000000000001</v>
      </c>
      <c r="E424" s="2">
        <v>0.1573</v>
      </c>
      <c r="F424" s="2">
        <v>6.08E-2</v>
      </c>
      <c r="G424" s="2">
        <v>5.3900000000000003E-2</v>
      </c>
      <c r="H424" s="2">
        <v>5.16E-2</v>
      </c>
      <c r="I424" s="2">
        <v>5.16E-2</v>
      </c>
      <c r="J424" s="2">
        <v>4.5699999999999998E-2</v>
      </c>
      <c r="K424" s="2">
        <v>4.2999999999999997E-2</v>
      </c>
      <c r="L424" s="2">
        <v>3.4000000000000002E-2</v>
      </c>
      <c r="M424" s="2">
        <v>1.9900000000000001E-2</v>
      </c>
      <c r="N424" s="2">
        <v>1.5599999999999999E-2</v>
      </c>
      <c r="O424" s="2">
        <v>6.8999999999999999E-3</v>
      </c>
      <c r="P424" s="2">
        <v>4.5999999999999999E-3</v>
      </c>
      <c r="Q424" s="2">
        <v>3.5000000000000001E-3</v>
      </c>
      <c r="R424">
        <v>87</v>
      </c>
    </row>
    <row r="426" spans="1:18" x14ac:dyDescent="0.35">
      <c r="A426" s="1" t="s">
        <v>420</v>
      </c>
    </row>
    <row r="427" spans="1:18" x14ac:dyDescent="0.35">
      <c r="A427" t="s">
        <v>219</v>
      </c>
      <c r="B427" t="s">
        <v>301</v>
      </c>
      <c r="C427" t="s">
        <v>402</v>
      </c>
      <c r="D427" t="s">
        <v>403</v>
      </c>
      <c r="E427" t="s">
        <v>404</v>
      </c>
      <c r="F427" t="s">
        <v>405</v>
      </c>
      <c r="G427" t="s">
        <v>406</v>
      </c>
      <c r="H427" t="s">
        <v>407</v>
      </c>
      <c r="I427" t="s">
        <v>408</v>
      </c>
      <c r="J427" t="s">
        <v>409</v>
      </c>
      <c r="K427" t="s">
        <v>410</v>
      </c>
      <c r="L427" t="s">
        <v>411</v>
      </c>
      <c r="M427" t="s">
        <v>412</v>
      </c>
      <c r="N427" t="s">
        <v>413</v>
      </c>
      <c r="O427" t="s">
        <v>414</v>
      </c>
      <c r="P427" t="s">
        <v>415</v>
      </c>
      <c r="Q427" t="s">
        <v>416</v>
      </c>
      <c r="R427" t="s">
        <v>226</v>
      </c>
    </row>
    <row r="428" spans="1:18" x14ac:dyDescent="0.35">
      <c r="A428" t="s">
        <v>227</v>
      </c>
      <c r="B428" t="s">
        <v>240</v>
      </c>
      <c r="C428" s="2">
        <v>0.27239999999999998</v>
      </c>
      <c r="D428" s="2">
        <v>0.28289999999999998</v>
      </c>
      <c r="G428" s="2">
        <v>0.1008</v>
      </c>
      <c r="J428" s="2">
        <v>7.8700000000000006E-2</v>
      </c>
      <c r="K428" s="2">
        <v>0.1192</v>
      </c>
      <c r="L428" s="2">
        <v>7.0599999999999996E-2</v>
      </c>
      <c r="M428" s="2">
        <v>5.5E-2</v>
      </c>
      <c r="N428" s="2">
        <v>4.3099999999999999E-2</v>
      </c>
      <c r="O428" s="2">
        <v>5.8999999999999999E-3</v>
      </c>
      <c r="P428" s="2">
        <v>5.8999999999999999E-3</v>
      </c>
      <c r="Q428" s="2">
        <v>7.3000000000000001E-3</v>
      </c>
      <c r="R428">
        <v>50</v>
      </c>
    </row>
    <row r="429" spans="1:18" x14ac:dyDescent="0.35">
      <c r="A429" t="s">
        <v>227</v>
      </c>
      <c r="B429" t="s">
        <v>242</v>
      </c>
      <c r="C429" s="2">
        <v>0.309</v>
      </c>
      <c r="D429" s="2">
        <v>0.1469</v>
      </c>
      <c r="E429" s="2">
        <v>0.24629999999999999</v>
      </c>
      <c r="F429" s="2">
        <v>9.5200000000000007E-2</v>
      </c>
      <c r="G429" s="2">
        <v>2.7400000000000001E-2</v>
      </c>
      <c r="H429" s="2">
        <v>8.0699999999999994E-2</v>
      </c>
      <c r="I429" s="2">
        <v>8.0699999999999994E-2</v>
      </c>
      <c r="J429" s="2">
        <v>2.7099999999999999E-2</v>
      </c>
      <c r="L429" s="2">
        <v>1.3299999999999999E-2</v>
      </c>
      <c r="O429" s="2">
        <v>7.4000000000000003E-3</v>
      </c>
      <c r="P429" s="2">
        <v>3.8999999999999998E-3</v>
      </c>
      <c r="Q429" s="2">
        <v>1.2999999999999999E-3</v>
      </c>
      <c r="R429">
        <v>37</v>
      </c>
    </row>
    <row r="430" spans="1:18" x14ac:dyDescent="0.35">
      <c r="A430" t="s">
        <v>228</v>
      </c>
      <c r="B430" t="s">
        <v>228</v>
      </c>
      <c r="C430" s="2">
        <v>0.29580000000000001</v>
      </c>
      <c r="D430" s="2">
        <v>0.19600000000000001</v>
      </c>
      <c r="E430" s="2">
        <v>0.1573</v>
      </c>
      <c r="F430" s="2">
        <v>6.08E-2</v>
      </c>
      <c r="G430" s="2">
        <v>5.3900000000000003E-2</v>
      </c>
      <c r="H430" s="2">
        <v>5.16E-2</v>
      </c>
      <c r="I430" s="2">
        <v>5.16E-2</v>
      </c>
      <c r="J430" s="2">
        <v>4.5699999999999998E-2</v>
      </c>
      <c r="K430" s="2">
        <v>4.2999999999999997E-2</v>
      </c>
      <c r="L430" s="2">
        <v>3.4000000000000002E-2</v>
      </c>
      <c r="M430" s="2">
        <v>1.9900000000000001E-2</v>
      </c>
      <c r="N430" s="2">
        <v>1.5599999999999999E-2</v>
      </c>
      <c r="O430" s="2">
        <v>6.8999999999999999E-3</v>
      </c>
      <c r="P430" s="2">
        <v>4.5999999999999999E-3</v>
      </c>
      <c r="Q430" s="2">
        <v>3.5000000000000001E-3</v>
      </c>
      <c r="R430">
        <v>87</v>
      </c>
    </row>
    <row r="432" spans="1:18" x14ac:dyDescent="0.35">
      <c r="A432" s="1" t="s">
        <v>421</v>
      </c>
    </row>
    <row r="433" spans="1:18" x14ac:dyDescent="0.35">
      <c r="A433" t="s">
        <v>219</v>
      </c>
      <c r="B433" t="s">
        <v>301</v>
      </c>
      <c r="C433" t="s">
        <v>402</v>
      </c>
      <c r="D433" t="s">
        <v>403</v>
      </c>
      <c r="E433" t="s">
        <v>404</v>
      </c>
      <c r="F433" t="s">
        <v>405</v>
      </c>
      <c r="G433" t="s">
        <v>406</v>
      </c>
      <c r="H433" t="s">
        <v>407</v>
      </c>
      <c r="I433" t="s">
        <v>408</v>
      </c>
      <c r="J433" t="s">
        <v>409</v>
      </c>
      <c r="K433" t="s">
        <v>410</v>
      </c>
      <c r="L433" t="s">
        <v>411</v>
      </c>
      <c r="M433" t="s">
        <v>412</v>
      </c>
      <c r="N433" t="s">
        <v>413</v>
      </c>
      <c r="O433" t="s">
        <v>414</v>
      </c>
      <c r="P433" t="s">
        <v>415</v>
      </c>
      <c r="Q433" t="s">
        <v>416</v>
      </c>
      <c r="R433" t="s">
        <v>226</v>
      </c>
    </row>
    <row r="434" spans="1:18" x14ac:dyDescent="0.35">
      <c r="A434" t="s">
        <v>227</v>
      </c>
      <c r="B434" t="s">
        <v>334</v>
      </c>
      <c r="C434" s="2">
        <v>0.25540000000000002</v>
      </c>
      <c r="D434" s="2">
        <v>5.9499999999999997E-2</v>
      </c>
      <c r="E434" s="2">
        <v>0.28360000000000002</v>
      </c>
      <c r="F434" s="2">
        <v>0.1115</v>
      </c>
      <c r="G434" s="2">
        <v>1.9300000000000001E-2</v>
      </c>
      <c r="H434" s="2">
        <v>9.4500000000000001E-2</v>
      </c>
      <c r="I434" s="2">
        <v>9.4500000000000001E-2</v>
      </c>
      <c r="J434" s="2">
        <v>2.3800000000000002E-2</v>
      </c>
      <c r="K434" s="2">
        <v>1.5E-3</v>
      </c>
      <c r="L434" s="2">
        <v>8.0000000000000002E-3</v>
      </c>
      <c r="M434" s="2">
        <v>3.6400000000000002E-2</v>
      </c>
      <c r="O434" s="2">
        <v>9.9000000000000008E-3</v>
      </c>
      <c r="P434" s="2">
        <v>8.5000000000000006E-3</v>
      </c>
      <c r="Q434" s="2">
        <v>6.3E-3</v>
      </c>
      <c r="R434">
        <v>39</v>
      </c>
    </row>
    <row r="435" spans="1:18" x14ac:dyDescent="0.35">
      <c r="A435" s="3" t="s">
        <v>227</v>
      </c>
      <c r="B435" s="3" t="s">
        <v>335</v>
      </c>
      <c r="C435" s="4">
        <v>0.30470000000000003</v>
      </c>
      <c r="D435" s="4">
        <v>0.2883</v>
      </c>
      <c r="E435" s="5"/>
      <c r="F435" s="5"/>
      <c r="G435" s="5"/>
      <c r="H435" s="5"/>
      <c r="I435" s="5"/>
      <c r="J435" s="5"/>
      <c r="K435" s="4">
        <v>0.23849999999999999</v>
      </c>
      <c r="L435" s="4">
        <v>0.14419999999999999</v>
      </c>
      <c r="M435" s="5"/>
      <c r="N435" s="4">
        <v>2.4299999999999999E-2</v>
      </c>
      <c r="O435" s="5"/>
      <c r="P435" s="5"/>
      <c r="Q435" s="5"/>
      <c r="R435" s="5" t="s">
        <v>326</v>
      </c>
    </row>
    <row r="436" spans="1:18" x14ac:dyDescent="0.35">
      <c r="A436" s="3" t="s">
        <v>227</v>
      </c>
      <c r="B436" s="3" t="s">
        <v>336</v>
      </c>
      <c r="C436" s="4">
        <v>0.21429999999999999</v>
      </c>
      <c r="D436" s="4">
        <v>0.5292</v>
      </c>
      <c r="E436" s="4">
        <v>1.9699999999999999E-2</v>
      </c>
      <c r="F436" s="5"/>
      <c r="G436" s="4">
        <v>5.2499999999999998E-2</v>
      </c>
      <c r="H436" s="5"/>
      <c r="I436" s="5"/>
      <c r="J436" s="4">
        <v>3.9899999999999998E-2</v>
      </c>
      <c r="K436" s="4">
        <v>0.1197</v>
      </c>
      <c r="L436" s="5"/>
      <c r="M436" s="5"/>
      <c r="N436" s="4">
        <v>4.4299999999999999E-2</v>
      </c>
      <c r="O436" s="4">
        <v>1.09E-2</v>
      </c>
      <c r="P436" s="5"/>
      <c r="Q436" s="5"/>
      <c r="R436" s="5" t="s">
        <v>422</v>
      </c>
    </row>
    <row r="437" spans="1:18" x14ac:dyDescent="0.35">
      <c r="A437" s="3" t="s">
        <v>227</v>
      </c>
      <c r="B437" s="3" t="s">
        <v>337</v>
      </c>
      <c r="C437" s="4">
        <v>0.4466</v>
      </c>
      <c r="D437" s="4">
        <v>0.217</v>
      </c>
      <c r="E437" s="5"/>
      <c r="F437" s="5"/>
      <c r="G437" s="4">
        <v>0.2031</v>
      </c>
      <c r="H437" s="5"/>
      <c r="I437" s="5"/>
      <c r="J437" s="4">
        <v>0.1822</v>
      </c>
      <c r="K437" s="5"/>
      <c r="L437" s="4">
        <v>5.4800000000000001E-2</v>
      </c>
      <c r="M437" s="5"/>
      <c r="N437" s="4">
        <v>4.9099999999999998E-2</v>
      </c>
      <c r="O437" s="5"/>
      <c r="P437" s="5"/>
      <c r="Q437" s="5"/>
      <c r="R437" s="5" t="s">
        <v>423</v>
      </c>
    </row>
    <row r="438" spans="1:18" x14ac:dyDescent="0.35">
      <c r="A438" t="s">
        <v>228</v>
      </c>
      <c r="B438" t="s">
        <v>228</v>
      </c>
      <c r="C438" s="2">
        <v>0.29580000000000001</v>
      </c>
      <c r="D438" s="2">
        <v>0.19600000000000001</v>
      </c>
      <c r="E438" s="2">
        <v>0.1573</v>
      </c>
      <c r="F438" s="2">
        <v>6.08E-2</v>
      </c>
      <c r="G438" s="2">
        <v>5.3900000000000003E-2</v>
      </c>
      <c r="H438" s="2">
        <v>5.16E-2</v>
      </c>
      <c r="I438" s="2">
        <v>5.16E-2</v>
      </c>
      <c r="J438" s="2">
        <v>4.5699999999999998E-2</v>
      </c>
      <c r="K438" s="2">
        <v>4.2999999999999997E-2</v>
      </c>
      <c r="L438" s="2">
        <v>3.4000000000000002E-2</v>
      </c>
      <c r="M438" s="2">
        <v>1.9900000000000001E-2</v>
      </c>
      <c r="N438" s="2">
        <v>1.5599999999999999E-2</v>
      </c>
      <c r="O438" s="2">
        <v>6.8999999999999999E-3</v>
      </c>
      <c r="P438" s="2">
        <v>4.5999999999999999E-3</v>
      </c>
      <c r="Q438" s="2">
        <v>3.5000000000000001E-3</v>
      </c>
      <c r="R438">
        <v>78</v>
      </c>
    </row>
    <row r="440" spans="1:18" x14ac:dyDescent="0.35">
      <c r="A440" s="1" t="s">
        <v>424</v>
      </c>
    </row>
    <row r="441" spans="1:18" x14ac:dyDescent="0.35">
      <c r="A441" t="s">
        <v>219</v>
      </c>
      <c r="B441" t="s">
        <v>301</v>
      </c>
      <c r="C441" t="s">
        <v>402</v>
      </c>
      <c r="D441" t="s">
        <v>403</v>
      </c>
      <c r="E441" t="s">
        <v>404</v>
      </c>
      <c r="F441" t="s">
        <v>405</v>
      </c>
      <c r="G441" t="s">
        <v>406</v>
      </c>
      <c r="H441" t="s">
        <v>407</v>
      </c>
      <c r="I441" t="s">
        <v>408</v>
      </c>
      <c r="J441" t="s">
        <v>409</v>
      </c>
      <c r="K441" t="s">
        <v>410</v>
      </c>
      <c r="L441" t="s">
        <v>411</v>
      </c>
      <c r="M441" t="s">
        <v>412</v>
      </c>
      <c r="N441" t="s">
        <v>413</v>
      </c>
      <c r="O441" t="s">
        <v>414</v>
      </c>
      <c r="P441" t="s">
        <v>415</v>
      </c>
      <c r="Q441" t="s">
        <v>416</v>
      </c>
      <c r="R441" t="s">
        <v>226</v>
      </c>
    </row>
    <row r="442" spans="1:18" x14ac:dyDescent="0.35">
      <c r="A442" s="3" t="s">
        <v>227</v>
      </c>
      <c r="B442" s="3" t="s">
        <v>263</v>
      </c>
      <c r="C442" s="4">
        <v>0.55449999999999999</v>
      </c>
      <c r="D442" s="4">
        <v>0.31309999999999999</v>
      </c>
      <c r="E442" s="5"/>
      <c r="F442" s="5"/>
      <c r="G442" s="5"/>
      <c r="H442" s="5"/>
      <c r="I442" s="5"/>
      <c r="J442" s="4">
        <v>4.4600000000000001E-2</v>
      </c>
      <c r="K442" s="4">
        <v>0.1062</v>
      </c>
      <c r="L442" s="5"/>
      <c r="M442" s="5"/>
      <c r="N442" s="4">
        <v>1.84E-2</v>
      </c>
      <c r="O442" s="4">
        <v>9.1999999999999998E-3</v>
      </c>
      <c r="P442" s="5"/>
      <c r="Q442" s="5"/>
      <c r="R442" s="5" t="s">
        <v>425</v>
      </c>
    </row>
    <row r="443" spans="1:18" x14ac:dyDescent="0.35">
      <c r="A443" s="3" t="s">
        <v>227</v>
      </c>
      <c r="B443" s="3" t="s">
        <v>262</v>
      </c>
      <c r="C443" s="4">
        <v>0.17399999999999999</v>
      </c>
      <c r="D443" s="4">
        <v>8.8400000000000006E-2</v>
      </c>
      <c r="E443" s="5"/>
      <c r="F443" s="4">
        <v>0.32140000000000002</v>
      </c>
      <c r="G443" s="4">
        <v>2.86E-2</v>
      </c>
      <c r="H443" s="5"/>
      <c r="I443" s="5"/>
      <c r="J443" s="4">
        <v>4.9299999999999997E-2</v>
      </c>
      <c r="K443" s="4">
        <v>0.14599999999999999</v>
      </c>
      <c r="L443" s="4">
        <v>1.61E-2</v>
      </c>
      <c r="M443" s="4">
        <v>0.1101</v>
      </c>
      <c r="N443" s="4">
        <v>4.7600000000000003E-2</v>
      </c>
      <c r="O443" s="5"/>
      <c r="P443" s="4">
        <v>1.1900000000000001E-2</v>
      </c>
      <c r="Q443" s="4">
        <v>1.4500000000000001E-2</v>
      </c>
      <c r="R443" s="5" t="s">
        <v>418</v>
      </c>
    </row>
    <row r="444" spans="1:18" x14ac:dyDescent="0.35">
      <c r="A444" t="s">
        <v>227</v>
      </c>
      <c r="B444" t="s">
        <v>261</v>
      </c>
      <c r="C444" s="2">
        <v>0.26750000000000002</v>
      </c>
      <c r="D444" s="2">
        <v>0.19750000000000001</v>
      </c>
      <c r="E444" s="2">
        <v>0.23749999999999999</v>
      </c>
      <c r="F444" s="2">
        <v>4.4000000000000003E-3</v>
      </c>
      <c r="G444" s="2">
        <v>7.3599999999999999E-2</v>
      </c>
      <c r="H444" s="2">
        <v>7.7899999999999997E-2</v>
      </c>
      <c r="I444" s="2">
        <v>7.7899999999999997E-2</v>
      </c>
      <c r="J444" s="2">
        <v>4.4999999999999998E-2</v>
      </c>
      <c r="L444" s="2">
        <v>4.6899999999999997E-2</v>
      </c>
      <c r="N444" s="2">
        <v>6.1999999999999998E-3</v>
      </c>
      <c r="O444" s="2">
        <v>8.2000000000000007E-3</v>
      </c>
      <c r="P444" s="2">
        <v>3.7000000000000002E-3</v>
      </c>
      <c r="Q444" s="2">
        <v>1.2999999999999999E-3</v>
      </c>
      <c r="R444">
        <v>46</v>
      </c>
    </row>
    <row r="445" spans="1:18" x14ac:dyDescent="0.35">
      <c r="A445" t="s">
        <v>228</v>
      </c>
      <c r="B445" t="s">
        <v>228</v>
      </c>
      <c r="C445" s="2">
        <v>0.29580000000000001</v>
      </c>
      <c r="D445" s="2">
        <v>0.19600000000000001</v>
      </c>
      <c r="E445" s="2">
        <v>0.1573</v>
      </c>
      <c r="F445" s="2">
        <v>6.08E-2</v>
      </c>
      <c r="G445" s="2">
        <v>5.3900000000000003E-2</v>
      </c>
      <c r="H445" s="2">
        <v>5.16E-2</v>
      </c>
      <c r="I445" s="2">
        <v>5.16E-2</v>
      </c>
      <c r="J445" s="2">
        <v>4.5699999999999998E-2</v>
      </c>
      <c r="K445" s="2">
        <v>4.2999999999999997E-2</v>
      </c>
      <c r="L445" s="2">
        <v>3.4000000000000002E-2</v>
      </c>
      <c r="M445" s="2">
        <v>1.9900000000000001E-2</v>
      </c>
      <c r="N445" s="2">
        <v>1.5599999999999999E-2</v>
      </c>
      <c r="O445" s="2">
        <v>6.8999999999999999E-3</v>
      </c>
      <c r="P445" s="2">
        <v>4.5999999999999999E-3</v>
      </c>
      <c r="Q445" s="2">
        <v>3.5000000000000001E-3</v>
      </c>
      <c r="R445">
        <v>87</v>
      </c>
    </row>
    <row r="447" spans="1:18" x14ac:dyDescent="0.35">
      <c r="A447" s="1" t="s">
        <v>426</v>
      </c>
    </row>
    <row r="448" spans="1:18" x14ac:dyDescent="0.35">
      <c r="A448" t="s">
        <v>219</v>
      </c>
      <c r="B448" t="s">
        <v>301</v>
      </c>
      <c r="C448" t="s">
        <v>402</v>
      </c>
      <c r="D448" t="s">
        <v>403</v>
      </c>
      <c r="E448" t="s">
        <v>404</v>
      </c>
      <c r="F448" t="s">
        <v>405</v>
      </c>
      <c r="G448" t="s">
        <v>406</v>
      </c>
      <c r="H448" t="s">
        <v>407</v>
      </c>
      <c r="I448" t="s">
        <v>408</v>
      </c>
      <c r="J448" t="s">
        <v>409</v>
      </c>
      <c r="K448" t="s">
        <v>410</v>
      </c>
      <c r="L448" t="s">
        <v>411</v>
      </c>
      <c r="M448" t="s">
        <v>412</v>
      </c>
      <c r="N448" t="s">
        <v>413</v>
      </c>
      <c r="O448" t="s">
        <v>414</v>
      </c>
      <c r="P448" t="s">
        <v>415</v>
      </c>
      <c r="Q448" t="s">
        <v>416</v>
      </c>
      <c r="R448" t="s">
        <v>226</v>
      </c>
    </row>
    <row r="449" spans="1:18" x14ac:dyDescent="0.35">
      <c r="A449" s="3" t="s">
        <v>227</v>
      </c>
      <c r="B449" s="3" t="s">
        <v>248</v>
      </c>
      <c r="C449" s="5"/>
      <c r="D449" s="5"/>
      <c r="E449" s="5"/>
      <c r="F449" s="5"/>
      <c r="G449" s="5"/>
      <c r="H449" s="5"/>
      <c r="I449" s="5"/>
      <c r="J449" s="5"/>
      <c r="K449" s="5"/>
      <c r="L449" s="4">
        <v>1</v>
      </c>
      <c r="M449" s="5"/>
      <c r="N449" s="5"/>
      <c r="O449" s="5"/>
      <c r="P449" s="5"/>
      <c r="Q449" s="5"/>
      <c r="R449" s="5" t="s">
        <v>323</v>
      </c>
    </row>
    <row r="450" spans="1:18" x14ac:dyDescent="0.35">
      <c r="A450" s="3" t="s">
        <v>227</v>
      </c>
      <c r="B450" s="3" t="s">
        <v>249</v>
      </c>
      <c r="C450" s="4">
        <v>0.41909999999999997</v>
      </c>
      <c r="D450" s="4">
        <v>0.40860000000000002</v>
      </c>
      <c r="E450" s="5"/>
      <c r="F450" s="4">
        <v>2.1000000000000001E-2</v>
      </c>
      <c r="G450" s="4">
        <v>8.8200000000000001E-2</v>
      </c>
      <c r="H450" s="5"/>
      <c r="I450" s="5"/>
      <c r="J450" s="4">
        <v>7.4499999999999997E-2</v>
      </c>
      <c r="K450" s="5"/>
      <c r="L450" s="4">
        <v>5.6800000000000003E-2</v>
      </c>
      <c r="M450" s="5"/>
      <c r="N450" s="4">
        <v>2.9899999999999999E-2</v>
      </c>
      <c r="O450" s="4">
        <v>2.3800000000000002E-2</v>
      </c>
      <c r="P450" s="4">
        <v>1.5599999999999999E-2</v>
      </c>
      <c r="Q450" s="5"/>
      <c r="R450" s="5" t="s">
        <v>427</v>
      </c>
    </row>
    <row r="451" spans="1:18" x14ac:dyDescent="0.35">
      <c r="A451" t="s">
        <v>227</v>
      </c>
      <c r="B451" t="s">
        <v>247</v>
      </c>
      <c r="C451" s="2">
        <v>0.27660000000000001</v>
      </c>
      <c r="D451" s="2">
        <v>0.16239999999999999</v>
      </c>
      <c r="E451" s="2">
        <v>0.18279999999999999</v>
      </c>
      <c r="F451" s="2">
        <v>6.7299999999999999E-2</v>
      </c>
      <c r="G451" s="2">
        <v>4.8500000000000001E-2</v>
      </c>
      <c r="H451" s="2">
        <v>5.9900000000000002E-2</v>
      </c>
      <c r="I451" s="2">
        <v>5.9900000000000002E-2</v>
      </c>
      <c r="J451" s="2">
        <v>4.1200000000000001E-2</v>
      </c>
      <c r="K451" s="2">
        <v>0.05</v>
      </c>
      <c r="L451" s="2">
        <v>2.87E-2</v>
      </c>
      <c r="M451" s="2">
        <v>2.3099999999999999E-2</v>
      </c>
      <c r="N451" s="2">
        <v>1.3299999999999999E-2</v>
      </c>
      <c r="O451" s="2">
        <v>4.1999999999999997E-3</v>
      </c>
      <c r="P451" s="2">
        <v>2.8999999999999998E-3</v>
      </c>
      <c r="Q451" s="2">
        <v>4.0000000000000001E-3</v>
      </c>
      <c r="R451">
        <v>66</v>
      </c>
    </row>
    <row r="452" spans="1:18" x14ac:dyDescent="0.35">
      <c r="A452" t="s">
        <v>228</v>
      </c>
      <c r="B452" t="s">
        <v>228</v>
      </c>
      <c r="C452" s="2">
        <v>0.29580000000000001</v>
      </c>
      <c r="D452" s="2">
        <v>0.19600000000000001</v>
      </c>
      <c r="E452" s="2">
        <v>0.1573</v>
      </c>
      <c r="F452" s="2">
        <v>6.08E-2</v>
      </c>
      <c r="G452" s="2">
        <v>5.3900000000000003E-2</v>
      </c>
      <c r="H452" s="2">
        <v>5.16E-2</v>
      </c>
      <c r="I452" s="2">
        <v>5.16E-2</v>
      </c>
      <c r="J452" s="2">
        <v>4.5699999999999998E-2</v>
      </c>
      <c r="K452" s="2">
        <v>4.2999999999999997E-2</v>
      </c>
      <c r="L452" s="2">
        <v>3.4000000000000002E-2</v>
      </c>
      <c r="M452" s="2">
        <v>1.9900000000000001E-2</v>
      </c>
      <c r="N452" s="2">
        <v>1.5599999999999999E-2</v>
      </c>
      <c r="O452" s="2">
        <v>6.8999999999999999E-3</v>
      </c>
      <c r="P452" s="2">
        <v>4.5999999999999999E-3</v>
      </c>
      <c r="Q452" s="2">
        <v>3.5000000000000001E-3</v>
      </c>
      <c r="R452">
        <v>87</v>
      </c>
    </row>
    <row r="454" spans="1:18" x14ac:dyDescent="0.35">
      <c r="A454" s="1" t="s">
        <v>428</v>
      </c>
    </row>
    <row r="455" spans="1:18" x14ac:dyDescent="0.35">
      <c r="A455" t="s">
        <v>219</v>
      </c>
      <c r="B455" t="s">
        <v>301</v>
      </c>
      <c r="C455" t="s">
        <v>402</v>
      </c>
      <c r="D455" t="s">
        <v>403</v>
      </c>
      <c r="E455" t="s">
        <v>404</v>
      </c>
      <c r="F455" t="s">
        <v>405</v>
      </c>
      <c r="G455" t="s">
        <v>406</v>
      </c>
      <c r="H455" t="s">
        <v>407</v>
      </c>
      <c r="I455" t="s">
        <v>408</v>
      </c>
      <c r="J455" t="s">
        <v>409</v>
      </c>
      <c r="K455" t="s">
        <v>410</v>
      </c>
      <c r="L455" t="s">
        <v>411</v>
      </c>
      <c r="M455" t="s">
        <v>412</v>
      </c>
      <c r="N455" t="s">
        <v>413</v>
      </c>
      <c r="O455" t="s">
        <v>414</v>
      </c>
      <c r="P455" t="s">
        <v>415</v>
      </c>
      <c r="Q455" t="s">
        <v>416</v>
      </c>
      <c r="R455" t="s">
        <v>226</v>
      </c>
    </row>
    <row r="456" spans="1:18" x14ac:dyDescent="0.35">
      <c r="A456" s="3" t="s">
        <v>227</v>
      </c>
      <c r="B456" s="3" t="s">
        <v>259</v>
      </c>
      <c r="C456" s="5"/>
      <c r="D456" s="5"/>
      <c r="E456" s="5"/>
      <c r="F456" s="5"/>
      <c r="G456" s="4">
        <v>1</v>
      </c>
      <c r="H456" s="5"/>
      <c r="I456" s="5"/>
      <c r="J456" s="5"/>
      <c r="K456" s="5"/>
      <c r="L456" s="5"/>
      <c r="M456" s="5"/>
      <c r="N456" s="5"/>
      <c r="O456" s="5"/>
      <c r="P456" s="5"/>
      <c r="Q456" s="5"/>
      <c r="R456" s="5" t="s">
        <v>323</v>
      </c>
    </row>
    <row r="457" spans="1:18" x14ac:dyDescent="0.35">
      <c r="A457" s="3" t="s">
        <v>227</v>
      </c>
      <c r="B457" s="3" t="s">
        <v>257</v>
      </c>
      <c r="C457" s="4">
        <v>4.99E-2</v>
      </c>
      <c r="D457" s="4">
        <v>0.53129999999999999</v>
      </c>
      <c r="E457" s="5"/>
      <c r="F457" s="5"/>
      <c r="G457" s="4">
        <v>5.3699999999999998E-2</v>
      </c>
      <c r="H457" s="5"/>
      <c r="I457" s="5"/>
      <c r="J457" s="4">
        <v>0.15740000000000001</v>
      </c>
      <c r="K457" s="5"/>
      <c r="L457" s="5"/>
      <c r="M457" s="4">
        <v>0.15279999999999999</v>
      </c>
      <c r="N457" s="4">
        <v>4.7399999999999998E-2</v>
      </c>
      <c r="O457" s="4">
        <v>1.6500000000000001E-2</v>
      </c>
      <c r="P457" s="4">
        <v>3.5499999999999997E-2</v>
      </c>
      <c r="Q457" s="5"/>
      <c r="R457" s="5" t="s">
        <v>429</v>
      </c>
    </row>
    <row r="458" spans="1:18" x14ac:dyDescent="0.35">
      <c r="A458" t="s">
        <v>227</v>
      </c>
      <c r="B458" t="s">
        <v>256</v>
      </c>
      <c r="C458" s="2">
        <v>0.29920000000000002</v>
      </c>
      <c r="D458" s="2">
        <v>9.5699999999999993E-2</v>
      </c>
      <c r="E458" s="2">
        <v>0.2228</v>
      </c>
      <c r="F458" s="2">
        <v>8.7599999999999997E-2</v>
      </c>
      <c r="G458" s="2">
        <v>6.0199999999999997E-2</v>
      </c>
      <c r="H458" s="2">
        <v>7.4300000000000005E-2</v>
      </c>
      <c r="I458" s="2">
        <v>7.4300000000000005E-2</v>
      </c>
      <c r="J458" s="2">
        <v>2.0500000000000001E-2</v>
      </c>
      <c r="K458" s="2">
        <v>2.41E-2</v>
      </c>
      <c r="L458" s="2">
        <v>2.92E-2</v>
      </c>
      <c r="N458" s="2">
        <v>8.5000000000000006E-3</v>
      </c>
      <c r="O458" s="2">
        <v>6.7999999999999996E-3</v>
      </c>
      <c r="Q458" s="2">
        <v>5.0000000000000001E-3</v>
      </c>
      <c r="R458">
        <v>49</v>
      </c>
    </row>
    <row r="459" spans="1:18" x14ac:dyDescent="0.35">
      <c r="A459" s="3" t="s">
        <v>227</v>
      </c>
      <c r="B459" s="3" t="s">
        <v>258</v>
      </c>
      <c r="C459" s="4">
        <v>0.47110000000000002</v>
      </c>
      <c r="D459" s="4">
        <v>0.34949999999999998</v>
      </c>
      <c r="E459" s="4">
        <v>1.5100000000000001E-2</v>
      </c>
      <c r="F459" s="5"/>
      <c r="G459" s="4">
        <v>1.55E-2</v>
      </c>
      <c r="H459" s="5"/>
      <c r="I459" s="5"/>
      <c r="J459" s="4">
        <v>6.3899999999999998E-2</v>
      </c>
      <c r="K459" s="4">
        <v>0.15210000000000001</v>
      </c>
      <c r="L459" s="4">
        <v>7.9000000000000001E-2</v>
      </c>
      <c r="M459" s="5"/>
      <c r="N459" s="4">
        <v>2.0299999999999999E-2</v>
      </c>
      <c r="O459" s="5"/>
      <c r="P459" s="5"/>
      <c r="Q459" s="5"/>
      <c r="R459" s="5" t="s">
        <v>425</v>
      </c>
    </row>
    <row r="460" spans="1:18" x14ac:dyDescent="0.35">
      <c r="A460" t="s">
        <v>228</v>
      </c>
      <c r="B460" t="s">
        <v>228</v>
      </c>
      <c r="C460" s="2">
        <v>0.29580000000000001</v>
      </c>
      <c r="D460" s="2">
        <v>0.19600000000000001</v>
      </c>
      <c r="E460" s="2">
        <v>0.1573</v>
      </c>
      <c r="F460" s="2">
        <v>6.08E-2</v>
      </c>
      <c r="G460" s="2">
        <v>5.3900000000000003E-2</v>
      </c>
      <c r="H460" s="2">
        <v>5.16E-2</v>
      </c>
      <c r="I460" s="2">
        <v>5.16E-2</v>
      </c>
      <c r="J460" s="2">
        <v>4.5699999999999998E-2</v>
      </c>
      <c r="K460" s="2">
        <v>4.2999999999999997E-2</v>
      </c>
      <c r="L460" s="2">
        <v>3.4000000000000002E-2</v>
      </c>
      <c r="M460" s="2">
        <v>1.9900000000000001E-2</v>
      </c>
      <c r="N460" s="2">
        <v>1.5599999999999999E-2</v>
      </c>
      <c r="O460" s="2">
        <v>6.8999999999999999E-3</v>
      </c>
      <c r="P460" s="2">
        <v>4.5999999999999999E-3</v>
      </c>
      <c r="Q460" s="2">
        <v>3.5000000000000001E-3</v>
      </c>
      <c r="R460">
        <v>87</v>
      </c>
    </row>
    <row r="462" spans="1:18" x14ac:dyDescent="0.35">
      <c r="A462" s="1" t="s">
        <v>430</v>
      </c>
    </row>
    <row r="463" spans="1:18" x14ac:dyDescent="0.35">
      <c r="A463" t="s">
        <v>219</v>
      </c>
      <c r="B463" t="s">
        <v>301</v>
      </c>
      <c r="C463" t="s">
        <v>402</v>
      </c>
      <c r="D463" t="s">
        <v>403</v>
      </c>
      <c r="E463" t="s">
        <v>404</v>
      </c>
      <c r="F463" t="s">
        <v>405</v>
      </c>
      <c r="G463" t="s">
        <v>406</v>
      </c>
      <c r="H463" t="s">
        <v>407</v>
      </c>
      <c r="I463" t="s">
        <v>408</v>
      </c>
      <c r="J463" t="s">
        <v>409</v>
      </c>
      <c r="K463" t="s">
        <v>410</v>
      </c>
      <c r="L463" t="s">
        <v>411</v>
      </c>
      <c r="M463" t="s">
        <v>412</v>
      </c>
      <c r="N463" t="s">
        <v>413</v>
      </c>
      <c r="O463" t="s">
        <v>414</v>
      </c>
      <c r="P463" t="s">
        <v>415</v>
      </c>
      <c r="Q463" t="s">
        <v>416</v>
      </c>
      <c r="R463" t="s">
        <v>226</v>
      </c>
    </row>
    <row r="464" spans="1:18" x14ac:dyDescent="0.35">
      <c r="A464" s="3" t="s">
        <v>227</v>
      </c>
      <c r="B464" s="3" t="s">
        <v>343</v>
      </c>
      <c r="C464" s="4">
        <v>4.99E-2</v>
      </c>
      <c r="D464" s="4">
        <v>0.53129999999999999</v>
      </c>
      <c r="E464" s="5"/>
      <c r="F464" s="5"/>
      <c r="G464" s="4">
        <v>5.3699999999999998E-2</v>
      </c>
      <c r="H464" s="5"/>
      <c r="I464" s="5"/>
      <c r="J464" s="4">
        <v>0.15740000000000001</v>
      </c>
      <c r="K464" s="5"/>
      <c r="L464" s="5"/>
      <c r="M464" s="4">
        <v>0.15279999999999999</v>
      </c>
      <c r="N464" s="4">
        <v>4.7399999999999998E-2</v>
      </c>
      <c r="O464" s="4">
        <v>1.6500000000000001E-2</v>
      </c>
      <c r="P464" s="4">
        <v>3.5499999999999997E-2</v>
      </c>
      <c r="Q464" s="5"/>
      <c r="R464" s="5" t="s">
        <v>429</v>
      </c>
    </row>
    <row r="465" spans="1:18" x14ac:dyDescent="0.35">
      <c r="A465" t="s">
        <v>227</v>
      </c>
      <c r="B465" t="s">
        <v>344</v>
      </c>
      <c r="C465" s="2">
        <v>0.33250000000000002</v>
      </c>
      <c r="D465" s="2">
        <v>0.1459</v>
      </c>
      <c r="E465" s="2">
        <v>0.18090000000000001</v>
      </c>
      <c r="F465" s="2">
        <v>6.9900000000000004E-2</v>
      </c>
      <c r="G465" s="2">
        <v>5.3999999999999999E-2</v>
      </c>
      <c r="H465" s="2">
        <v>5.9299999999999999E-2</v>
      </c>
      <c r="I465" s="2">
        <v>5.9299999999999999E-2</v>
      </c>
      <c r="J465" s="2">
        <v>2.9100000000000001E-2</v>
      </c>
      <c r="K465" s="2">
        <v>4.9500000000000002E-2</v>
      </c>
      <c r="L465" s="2">
        <v>3.9E-2</v>
      </c>
      <c r="N465" s="2">
        <v>1.0800000000000001E-2</v>
      </c>
      <c r="O465" s="2">
        <v>5.4000000000000003E-3</v>
      </c>
      <c r="Q465" s="2">
        <v>4.0000000000000001E-3</v>
      </c>
      <c r="R465">
        <v>68</v>
      </c>
    </row>
    <row r="466" spans="1:18" x14ac:dyDescent="0.35">
      <c r="A466" t="s">
        <v>228</v>
      </c>
      <c r="B466" t="s">
        <v>228</v>
      </c>
      <c r="C466" s="2">
        <v>0.29580000000000001</v>
      </c>
      <c r="D466" s="2">
        <v>0.19600000000000001</v>
      </c>
      <c r="E466" s="2">
        <v>0.1573</v>
      </c>
      <c r="F466" s="2">
        <v>6.08E-2</v>
      </c>
      <c r="G466" s="2">
        <v>5.3900000000000003E-2</v>
      </c>
      <c r="H466" s="2">
        <v>5.16E-2</v>
      </c>
      <c r="I466" s="2">
        <v>5.16E-2</v>
      </c>
      <c r="J466" s="2">
        <v>4.5699999999999998E-2</v>
      </c>
      <c r="K466" s="2">
        <v>4.2999999999999997E-2</v>
      </c>
      <c r="L466" s="2">
        <v>3.4000000000000002E-2</v>
      </c>
      <c r="M466" s="2">
        <v>1.9900000000000001E-2</v>
      </c>
      <c r="N466" s="2">
        <v>1.5599999999999999E-2</v>
      </c>
      <c r="O466" s="2">
        <v>6.8999999999999999E-3</v>
      </c>
      <c r="P466" s="2">
        <v>4.5999999999999999E-3</v>
      </c>
      <c r="Q466" s="2">
        <v>3.5000000000000001E-3</v>
      </c>
      <c r="R466">
        <v>87</v>
      </c>
    </row>
    <row r="468" spans="1:18" x14ac:dyDescent="0.35">
      <c r="A468" s="1" t="s">
        <v>431</v>
      </c>
    </row>
    <row r="469" spans="1:18" x14ac:dyDescent="0.35">
      <c r="A469" t="s">
        <v>219</v>
      </c>
      <c r="B469" t="s">
        <v>301</v>
      </c>
      <c r="C469" t="s">
        <v>402</v>
      </c>
      <c r="D469" t="s">
        <v>403</v>
      </c>
      <c r="E469" t="s">
        <v>404</v>
      </c>
      <c r="F469" t="s">
        <v>405</v>
      </c>
      <c r="G469" t="s">
        <v>406</v>
      </c>
      <c r="H469" t="s">
        <v>407</v>
      </c>
      <c r="I469" t="s">
        <v>408</v>
      </c>
      <c r="J469" t="s">
        <v>409</v>
      </c>
      <c r="K469" t="s">
        <v>410</v>
      </c>
      <c r="L469" t="s">
        <v>411</v>
      </c>
      <c r="M469" t="s">
        <v>412</v>
      </c>
      <c r="N469" t="s">
        <v>413</v>
      </c>
      <c r="O469" t="s">
        <v>414</v>
      </c>
      <c r="P469" t="s">
        <v>415</v>
      </c>
      <c r="Q469" t="s">
        <v>416</v>
      </c>
      <c r="R469" t="s">
        <v>226</v>
      </c>
    </row>
    <row r="470" spans="1:18" x14ac:dyDescent="0.35">
      <c r="A470" t="s">
        <v>227</v>
      </c>
      <c r="B470" t="s">
        <v>346</v>
      </c>
      <c r="C470" s="2">
        <v>0.31490000000000001</v>
      </c>
      <c r="D470" s="2">
        <v>0.18129999999999999</v>
      </c>
      <c r="E470" s="2">
        <v>0.17549999999999999</v>
      </c>
      <c r="F470" s="2">
        <v>6.5699999999999995E-2</v>
      </c>
      <c r="G470" s="2">
        <v>4.2000000000000003E-2</v>
      </c>
      <c r="H470" s="2">
        <v>5.8500000000000003E-2</v>
      </c>
      <c r="I470" s="2">
        <v>5.8500000000000003E-2</v>
      </c>
      <c r="J470" s="2">
        <v>5.4999999999999997E-3</v>
      </c>
      <c r="K470" s="2">
        <v>4.7899999999999998E-2</v>
      </c>
      <c r="L470" s="2">
        <v>2.64E-2</v>
      </c>
      <c r="M470" s="2">
        <v>2.2499999999999999E-2</v>
      </c>
      <c r="N470" s="2">
        <v>3.0000000000000001E-3</v>
      </c>
      <c r="O470" s="2">
        <v>2.3999999999999998E-3</v>
      </c>
      <c r="P470" s="2">
        <v>2.3999999999999998E-3</v>
      </c>
      <c r="R470">
        <v>49</v>
      </c>
    </row>
    <row r="471" spans="1:18" x14ac:dyDescent="0.35">
      <c r="A471" s="3" t="s">
        <v>227</v>
      </c>
      <c r="B471" s="3" t="s">
        <v>347</v>
      </c>
      <c r="C471" s="4">
        <v>0.38979999999999998</v>
      </c>
      <c r="D471" s="4">
        <v>0.1673</v>
      </c>
      <c r="E471" s="5"/>
      <c r="F471" s="5"/>
      <c r="G471" s="4">
        <v>0.111</v>
      </c>
      <c r="H471" s="5"/>
      <c r="I471" s="5"/>
      <c r="J471" s="4">
        <v>0.14849999999999999</v>
      </c>
      <c r="K471" s="4">
        <v>3.6200000000000003E-2</v>
      </c>
      <c r="L471" s="4">
        <v>3.7499999999999999E-2</v>
      </c>
      <c r="M471" s="5"/>
      <c r="N471" s="4">
        <v>0.18459999999999999</v>
      </c>
      <c r="O471" s="5"/>
      <c r="P471" s="5"/>
      <c r="Q471" s="4">
        <v>3.7499999999999999E-2</v>
      </c>
      <c r="R471" s="5" t="s">
        <v>307</v>
      </c>
    </row>
    <row r="472" spans="1:18" x14ac:dyDescent="0.35">
      <c r="A472" s="3" t="s">
        <v>227</v>
      </c>
      <c r="B472" s="3" t="s">
        <v>348</v>
      </c>
      <c r="C472" s="4">
        <v>9.8299999999999998E-2</v>
      </c>
      <c r="D472" s="4">
        <v>0.33760000000000001</v>
      </c>
      <c r="E472" s="4">
        <v>2.7300000000000001E-2</v>
      </c>
      <c r="F472" s="4">
        <v>3.0099999999999998E-2</v>
      </c>
      <c r="G472" s="4">
        <v>0.1502</v>
      </c>
      <c r="H472" s="5"/>
      <c r="I472" s="5"/>
      <c r="J472" s="4">
        <v>0.39140000000000003</v>
      </c>
      <c r="K472" s="5"/>
      <c r="L472" s="4">
        <v>0.10290000000000001</v>
      </c>
      <c r="M472" s="5"/>
      <c r="N472" s="4">
        <v>9.1399999999999995E-2</v>
      </c>
      <c r="O472" s="4">
        <v>4.9099999999999998E-2</v>
      </c>
      <c r="P472" s="4">
        <v>2.5700000000000001E-2</v>
      </c>
      <c r="Q472" s="4">
        <v>2.7300000000000001E-2</v>
      </c>
      <c r="R472" s="5" t="s">
        <v>432</v>
      </c>
    </row>
    <row r="473" spans="1:18" x14ac:dyDescent="0.35">
      <c r="A473" t="s">
        <v>228</v>
      </c>
      <c r="B473" t="s">
        <v>228</v>
      </c>
      <c r="C473" s="2">
        <v>0.29580000000000001</v>
      </c>
      <c r="D473" s="2">
        <v>0.19600000000000001</v>
      </c>
      <c r="E473" s="2">
        <v>0.1573</v>
      </c>
      <c r="F473" s="2">
        <v>6.08E-2</v>
      </c>
      <c r="G473" s="2">
        <v>5.3900000000000003E-2</v>
      </c>
      <c r="H473" s="2">
        <v>5.16E-2</v>
      </c>
      <c r="I473" s="2">
        <v>5.16E-2</v>
      </c>
      <c r="J473" s="2">
        <v>4.5699999999999998E-2</v>
      </c>
      <c r="K473" s="2">
        <v>4.2999999999999997E-2</v>
      </c>
      <c r="L473" s="2">
        <v>3.4000000000000002E-2</v>
      </c>
      <c r="M473" s="2">
        <v>1.9900000000000001E-2</v>
      </c>
      <c r="N473" s="2">
        <v>1.5599999999999999E-2</v>
      </c>
      <c r="O473" s="2">
        <v>6.8999999999999999E-3</v>
      </c>
      <c r="P473" s="2">
        <v>4.5999999999999999E-3</v>
      </c>
      <c r="Q473" s="2">
        <v>3.5000000000000001E-3</v>
      </c>
      <c r="R473">
        <v>87</v>
      </c>
    </row>
    <row r="475" spans="1:18" x14ac:dyDescent="0.35">
      <c r="A475" s="1" t="s">
        <v>433</v>
      </c>
    </row>
    <row r="476" spans="1:18" x14ac:dyDescent="0.35">
      <c r="A476" t="s">
        <v>219</v>
      </c>
      <c r="B476" t="s">
        <v>301</v>
      </c>
      <c r="C476" t="s">
        <v>402</v>
      </c>
      <c r="D476" t="s">
        <v>403</v>
      </c>
      <c r="E476" t="s">
        <v>404</v>
      </c>
      <c r="F476" t="s">
        <v>405</v>
      </c>
      <c r="G476" t="s">
        <v>406</v>
      </c>
      <c r="H476" t="s">
        <v>407</v>
      </c>
      <c r="I476" t="s">
        <v>408</v>
      </c>
      <c r="J476" t="s">
        <v>409</v>
      </c>
      <c r="K476" t="s">
        <v>410</v>
      </c>
      <c r="L476" t="s">
        <v>411</v>
      </c>
      <c r="M476" t="s">
        <v>412</v>
      </c>
      <c r="N476" t="s">
        <v>413</v>
      </c>
      <c r="O476" t="s">
        <v>414</v>
      </c>
      <c r="P476" t="s">
        <v>415</v>
      </c>
      <c r="Q476" t="s">
        <v>416</v>
      </c>
      <c r="R476" t="s">
        <v>226</v>
      </c>
    </row>
    <row r="477" spans="1:18" x14ac:dyDescent="0.35">
      <c r="A477" s="3" t="s">
        <v>227</v>
      </c>
      <c r="B477" s="3" t="s">
        <v>350</v>
      </c>
      <c r="C477" s="5"/>
      <c r="D477" s="4">
        <v>0.85560000000000003</v>
      </c>
      <c r="E477" s="5"/>
      <c r="F477" s="5"/>
      <c r="G477" s="5"/>
      <c r="H477" s="5"/>
      <c r="I477" s="5"/>
      <c r="J477" s="5"/>
      <c r="K477" s="5"/>
      <c r="L477" s="5"/>
      <c r="M477" s="5"/>
      <c r="N477" s="4">
        <v>0.1444</v>
      </c>
      <c r="O477" s="5"/>
      <c r="P477" s="5"/>
      <c r="Q477" s="5"/>
      <c r="R477" s="5" t="s">
        <v>434</v>
      </c>
    </row>
    <row r="478" spans="1:18" x14ac:dyDescent="0.35">
      <c r="A478" s="3" t="s">
        <v>227</v>
      </c>
      <c r="B478" s="3" t="s">
        <v>351</v>
      </c>
      <c r="C478" s="5"/>
      <c r="D478" s="5"/>
      <c r="E478" s="4">
        <v>0.25340000000000001</v>
      </c>
      <c r="F478" s="4">
        <v>1.4200000000000001E-2</v>
      </c>
      <c r="G478" s="5"/>
      <c r="H478" s="4">
        <v>0.25340000000000001</v>
      </c>
      <c r="I478" s="4">
        <v>0.25340000000000001</v>
      </c>
      <c r="J478" s="4">
        <v>1.4200000000000001E-2</v>
      </c>
      <c r="K478" s="4">
        <v>0.21149999999999999</v>
      </c>
      <c r="L478" s="5"/>
      <c r="M478" s="5"/>
      <c r="N478" s="4">
        <v>1.4200000000000001E-2</v>
      </c>
      <c r="O478" s="5"/>
      <c r="P478" s="5"/>
      <c r="Q478" s="5"/>
      <c r="R478" s="5" t="s">
        <v>326</v>
      </c>
    </row>
    <row r="479" spans="1:18" x14ac:dyDescent="0.35">
      <c r="A479" t="s">
        <v>227</v>
      </c>
      <c r="B479" t="s">
        <v>352</v>
      </c>
      <c r="C479" s="2">
        <v>0.40329999999999999</v>
      </c>
      <c r="D479" s="2">
        <v>0.1948</v>
      </c>
      <c r="E479" s="2">
        <v>0.151</v>
      </c>
      <c r="F479" s="2">
        <v>8.2699999999999996E-2</v>
      </c>
      <c r="G479" s="2">
        <v>6.9900000000000004E-2</v>
      </c>
      <c r="J479" s="2">
        <v>4.4699999999999997E-2</v>
      </c>
      <c r="L479" s="2">
        <v>4.8500000000000001E-2</v>
      </c>
      <c r="M479" s="2">
        <v>2.8400000000000002E-2</v>
      </c>
      <c r="N479" s="2">
        <v>9.5999999999999992E-3</v>
      </c>
      <c r="O479" s="2">
        <v>9.7999999999999997E-3</v>
      </c>
      <c r="P479" s="2">
        <v>3.5000000000000001E-3</v>
      </c>
      <c r="Q479" s="2">
        <v>4.8999999999999998E-3</v>
      </c>
      <c r="R479">
        <v>63</v>
      </c>
    </row>
    <row r="480" spans="1:18" x14ac:dyDescent="0.35">
      <c r="A480" s="3" t="s">
        <v>227</v>
      </c>
      <c r="B480" s="3" t="s">
        <v>353</v>
      </c>
      <c r="C480" s="4">
        <v>0.1724</v>
      </c>
      <c r="D480" s="4">
        <v>0.56289999999999996</v>
      </c>
      <c r="E480" s="5"/>
      <c r="F480" s="5"/>
      <c r="G480" s="4">
        <v>6.4100000000000004E-2</v>
      </c>
      <c r="H480" s="5"/>
      <c r="I480" s="5"/>
      <c r="J480" s="4">
        <v>0.14929999999999999</v>
      </c>
      <c r="K480" s="5"/>
      <c r="L480" s="5"/>
      <c r="M480" s="5"/>
      <c r="N480" s="4">
        <v>4.2200000000000001E-2</v>
      </c>
      <c r="O480" s="5"/>
      <c r="P480" s="4">
        <v>2.7699999999999999E-2</v>
      </c>
      <c r="Q480" s="5"/>
      <c r="R480" s="5" t="s">
        <v>423</v>
      </c>
    </row>
    <row r="481" spans="1:19" x14ac:dyDescent="0.35">
      <c r="A481" t="s">
        <v>228</v>
      </c>
      <c r="B481" t="s">
        <v>228</v>
      </c>
      <c r="C481" s="2">
        <v>0.29580000000000001</v>
      </c>
      <c r="D481" s="2">
        <v>0.19600000000000001</v>
      </c>
      <c r="E481" s="2">
        <v>0.1573</v>
      </c>
      <c r="F481" s="2">
        <v>6.08E-2</v>
      </c>
      <c r="G481" s="2">
        <v>5.3900000000000003E-2</v>
      </c>
      <c r="H481" s="2">
        <v>5.16E-2</v>
      </c>
      <c r="I481" s="2">
        <v>5.16E-2</v>
      </c>
      <c r="J481" s="2">
        <v>4.5699999999999998E-2</v>
      </c>
      <c r="K481" s="2">
        <v>4.2999999999999997E-2</v>
      </c>
      <c r="L481" s="2">
        <v>3.4000000000000002E-2</v>
      </c>
      <c r="M481" s="2">
        <v>1.9900000000000001E-2</v>
      </c>
      <c r="N481" s="2">
        <v>1.5599999999999999E-2</v>
      </c>
      <c r="O481" s="2">
        <v>6.8999999999999999E-3</v>
      </c>
      <c r="P481" s="2">
        <v>4.5999999999999999E-3</v>
      </c>
      <c r="Q481" s="2">
        <v>3.5000000000000001E-3</v>
      </c>
      <c r="R481">
        <v>87</v>
      </c>
    </row>
    <row r="483" spans="1:19" x14ac:dyDescent="0.35">
      <c r="A483" s="1" t="s">
        <v>435</v>
      </c>
    </row>
    <row r="484" spans="1:19" x14ac:dyDescent="0.35">
      <c r="A484" t="s">
        <v>219</v>
      </c>
      <c r="B484" t="s">
        <v>301</v>
      </c>
      <c r="C484" t="s">
        <v>402</v>
      </c>
      <c r="D484" t="s">
        <v>403</v>
      </c>
      <c r="E484" t="s">
        <v>404</v>
      </c>
      <c r="F484" t="s">
        <v>405</v>
      </c>
      <c r="G484" t="s">
        <v>406</v>
      </c>
      <c r="H484" t="s">
        <v>407</v>
      </c>
      <c r="I484" t="s">
        <v>408</v>
      </c>
      <c r="J484" t="s">
        <v>409</v>
      </c>
      <c r="K484" t="s">
        <v>410</v>
      </c>
      <c r="L484" t="s">
        <v>411</v>
      </c>
      <c r="M484" t="s">
        <v>412</v>
      </c>
      <c r="N484" t="s">
        <v>413</v>
      </c>
      <c r="O484" t="s">
        <v>414</v>
      </c>
      <c r="P484" t="s">
        <v>415</v>
      </c>
      <c r="Q484" t="s">
        <v>416</v>
      </c>
      <c r="R484" t="s">
        <v>226</v>
      </c>
    </row>
    <row r="485" spans="1:19" x14ac:dyDescent="0.35">
      <c r="A485" t="s">
        <v>227</v>
      </c>
      <c r="B485" t="s">
        <v>231</v>
      </c>
      <c r="C485" s="2">
        <v>0.45440000000000003</v>
      </c>
      <c r="D485" s="2">
        <v>0.2296</v>
      </c>
      <c r="E485" s="2">
        <v>0.1255</v>
      </c>
      <c r="G485" s="2">
        <v>2.3400000000000001E-2</v>
      </c>
      <c r="J485" s="2">
        <v>5.4399999999999997E-2</v>
      </c>
      <c r="K485" s="2">
        <v>3.8699999999999998E-2</v>
      </c>
      <c r="L485" s="2">
        <v>5.6399999999999999E-2</v>
      </c>
      <c r="M485" s="2">
        <v>4.5999999999999999E-2</v>
      </c>
      <c r="N485" s="2">
        <v>1.52E-2</v>
      </c>
      <c r="O485" s="2">
        <v>5.0000000000000001E-3</v>
      </c>
      <c r="P485" s="2">
        <v>5.0000000000000001E-3</v>
      </c>
      <c r="Q485" s="2">
        <v>1.9E-3</v>
      </c>
      <c r="R485">
        <v>41</v>
      </c>
    </row>
    <row r="486" spans="1:19" x14ac:dyDescent="0.35">
      <c r="A486" t="s">
        <v>227</v>
      </c>
      <c r="B486" t="s">
        <v>230</v>
      </c>
      <c r="C486" s="2">
        <v>0.17519999999999999</v>
      </c>
      <c r="D486" s="2">
        <v>0.1704</v>
      </c>
      <c r="E486" s="2">
        <v>0.18160000000000001</v>
      </c>
      <c r="F486" s="2">
        <v>0.1071</v>
      </c>
      <c r="G486" s="2">
        <v>7.7100000000000002E-2</v>
      </c>
      <c r="H486" s="2">
        <v>9.0800000000000006E-2</v>
      </c>
      <c r="I486" s="2">
        <v>9.0800000000000006E-2</v>
      </c>
      <c r="J486" s="2">
        <v>3.9100000000000003E-2</v>
      </c>
      <c r="K486" s="2">
        <v>4.6300000000000001E-2</v>
      </c>
      <c r="L486" s="2">
        <v>1.6899999999999998E-2</v>
      </c>
      <c r="N486" s="2">
        <v>1.5900000000000001E-2</v>
      </c>
      <c r="O486" s="2">
        <v>8.3000000000000001E-3</v>
      </c>
      <c r="P486" s="2">
        <v>4.4000000000000003E-3</v>
      </c>
      <c r="Q486" s="2">
        <v>4.5999999999999999E-3</v>
      </c>
      <c r="R486">
        <v>46</v>
      </c>
    </row>
    <row r="487" spans="1:19" x14ac:dyDescent="0.35">
      <c r="A487" t="s">
        <v>228</v>
      </c>
      <c r="B487" t="s">
        <v>228</v>
      </c>
      <c r="C487" s="2">
        <v>0.29580000000000001</v>
      </c>
      <c r="D487" s="2">
        <v>0.19600000000000001</v>
      </c>
      <c r="E487" s="2">
        <v>0.1573</v>
      </c>
      <c r="F487" s="2">
        <v>6.08E-2</v>
      </c>
      <c r="G487" s="2">
        <v>5.3900000000000003E-2</v>
      </c>
      <c r="H487" s="2">
        <v>5.16E-2</v>
      </c>
      <c r="I487" s="2">
        <v>5.16E-2</v>
      </c>
      <c r="J487" s="2">
        <v>4.5699999999999998E-2</v>
      </c>
      <c r="K487" s="2">
        <v>4.2999999999999997E-2</v>
      </c>
      <c r="L487" s="2">
        <v>3.4000000000000002E-2</v>
      </c>
      <c r="M487" s="2">
        <v>1.9900000000000001E-2</v>
      </c>
      <c r="N487" s="2">
        <v>1.5599999999999999E-2</v>
      </c>
      <c r="O487" s="2">
        <v>6.8999999999999999E-3</v>
      </c>
      <c r="P487" s="2">
        <v>4.5999999999999999E-3</v>
      </c>
      <c r="Q487" s="2">
        <v>3.5000000000000001E-3</v>
      </c>
      <c r="R487">
        <v>87</v>
      </c>
    </row>
    <row r="489" spans="1:19" x14ac:dyDescent="0.35">
      <c r="A489" s="1" t="s">
        <v>436</v>
      </c>
    </row>
    <row r="490" spans="1:19" x14ac:dyDescent="0.35">
      <c r="A490" t="s">
        <v>219</v>
      </c>
      <c r="B490" t="s">
        <v>301</v>
      </c>
      <c r="C490" t="s">
        <v>325</v>
      </c>
      <c r="D490" t="s">
        <v>402</v>
      </c>
      <c r="E490" t="s">
        <v>403</v>
      </c>
      <c r="F490" t="s">
        <v>404</v>
      </c>
      <c r="G490" t="s">
        <v>405</v>
      </c>
      <c r="H490" t="s">
        <v>406</v>
      </c>
      <c r="I490" t="s">
        <v>407</v>
      </c>
      <c r="J490" t="s">
        <v>408</v>
      </c>
      <c r="K490" t="s">
        <v>409</v>
      </c>
      <c r="L490" t="s">
        <v>410</v>
      </c>
      <c r="M490" t="s">
        <v>411</v>
      </c>
      <c r="N490" t="s">
        <v>412</v>
      </c>
      <c r="O490" t="s">
        <v>413</v>
      </c>
      <c r="P490" t="s">
        <v>414</v>
      </c>
      <c r="Q490" t="s">
        <v>415</v>
      </c>
      <c r="R490" t="s">
        <v>416</v>
      </c>
      <c r="S490" t="s">
        <v>226</v>
      </c>
    </row>
    <row r="491" spans="1:19" x14ac:dyDescent="0.35">
      <c r="A491" s="3" t="s">
        <v>227</v>
      </c>
      <c r="B491" s="3" t="s">
        <v>231</v>
      </c>
      <c r="C491" s="3" t="s">
        <v>350</v>
      </c>
      <c r="D491" s="5"/>
      <c r="E491" s="4">
        <v>1</v>
      </c>
      <c r="F491" s="5"/>
      <c r="G491" s="5"/>
      <c r="H491" s="5"/>
      <c r="I491" s="5"/>
      <c r="J491" s="5"/>
      <c r="K491" s="5"/>
      <c r="L491" s="5"/>
      <c r="M491" s="5"/>
      <c r="N491" s="5"/>
      <c r="O491" s="5"/>
      <c r="P491" s="5"/>
      <c r="Q491" s="5"/>
      <c r="R491" s="5"/>
      <c r="S491" s="5" t="s">
        <v>323</v>
      </c>
    </row>
    <row r="492" spans="1:19" x14ac:dyDescent="0.35">
      <c r="A492" s="3" t="s">
        <v>227</v>
      </c>
      <c r="B492" s="3" t="s">
        <v>231</v>
      </c>
      <c r="C492" s="3" t="s">
        <v>351</v>
      </c>
      <c r="D492" s="5"/>
      <c r="E492" s="5"/>
      <c r="F492" s="5"/>
      <c r="G492" s="5"/>
      <c r="H492" s="5"/>
      <c r="I492" s="5"/>
      <c r="J492" s="5"/>
      <c r="K492" s="5"/>
      <c r="L492" s="4">
        <v>1</v>
      </c>
      <c r="M492" s="5"/>
      <c r="N492" s="5"/>
      <c r="O492" s="5"/>
      <c r="P492" s="5"/>
      <c r="Q492" s="5"/>
      <c r="R492" s="5"/>
      <c r="S492" s="5" t="s">
        <v>434</v>
      </c>
    </row>
    <row r="493" spans="1:19" x14ac:dyDescent="0.35">
      <c r="A493" s="3" t="s">
        <v>227</v>
      </c>
      <c r="B493" s="3" t="s">
        <v>231</v>
      </c>
      <c r="C493" s="3" t="s">
        <v>352</v>
      </c>
      <c r="D493" s="4">
        <v>0.52929999999999999</v>
      </c>
      <c r="E493" s="4">
        <v>0.1764</v>
      </c>
      <c r="F493" s="4">
        <v>0.15679999999999999</v>
      </c>
      <c r="G493" s="5"/>
      <c r="H493" s="4">
        <v>1.49E-2</v>
      </c>
      <c r="I493" s="5"/>
      <c r="J493" s="5"/>
      <c r="K493" s="4">
        <v>4.5900000000000003E-2</v>
      </c>
      <c r="L493" s="5"/>
      <c r="M493" s="4">
        <v>7.0499999999999993E-2</v>
      </c>
      <c r="N493" s="4">
        <v>5.74E-2</v>
      </c>
      <c r="O493" s="4">
        <v>9.4999999999999998E-3</v>
      </c>
      <c r="P493" s="4">
        <v>6.1999999999999998E-3</v>
      </c>
      <c r="Q493" s="5"/>
      <c r="R493" s="4">
        <v>2.3999999999999998E-3</v>
      </c>
      <c r="S493" s="5" t="s">
        <v>432</v>
      </c>
    </row>
    <row r="494" spans="1:19" x14ac:dyDescent="0.35">
      <c r="A494" s="3" t="s">
        <v>227</v>
      </c>
      <c r="B494" s="3" t="s">
        <v>231</v>
      </c>
      <c r="C494" s="3" t="s">
        <v>353</v>
      </c>
      <c r="D494" s="4">
        <v>0.2487</v>
      </c>
      <c r="E494" s="4">
        <v>0.41549999999999998</v>
      </c>
      <c r="F494" s="5"/>
      <c r="G494" s="5"/>
      <c r="H494" s="4">
        <v>9.2499999999999999E-2</v>
      </c>
      <c r="I494" s="5"/>
      <c r="J494" s="5"/>
      <c r="K494" s="4">
        <v>0.1424</v>
      </c>
      <c r="L494" s="5"/>
      <c r="M494" s="5"/>
      <c r="N494" s="5"/>
      <c r="O494" s="4">
        <v>6.0900000000000003E-2</v>
      </c>
      <c r="P494" s="5"/>
      <c r="Q494" s="4">
        <v>0.04</v>
      </c>
      <c r="R494" s="5"/>
      <c r="S494" s="5" t="s">
        <v>307</v>
      </c>
    </row>
    <row r="495" spans="1:19" x14ac:dyDescent="0.35">
      <c r="A495" s="3" t="s">
        <v>227</v>
      </c>
      <c r="B495" s="3" t="s">
        <v>230</v>
      </c>
      <c r="C495" s="3" t="s">
        <v>350</v>
      </c>
      <c r="D495" s="5"/>
      <c r="E495" s="5"/>
      <c r="F495" s="5"/>
      <c r="G495" s="5"/>
      <c r="H495" s="5"/>
      <c r="I495" s="5"/>
      <c r="J495" s="5"/>
      <c r="K495" s="5"/>
      <c r="L495" s="5"/>
      <c r="M495" s="5"/>
      <c r="N495" s="5"/>
      <c r="O495" s="4">
        <v>1</v>
      </c>
      <c r="P495" s="5"/>
      <c r="Q495" s="5"/>
      <c r="R495" s="5"/>
      <c r="S495" s="5" t="s">
        <v>323</v>
      </c>
    </row>
    <row r="496" spans="1:19" x14ac:dyDescent="0.35">
      <c r="A496" s="3" t="s">
        <v>227</v>
      </c>
      <c r="B496" s="3" t="s">
        <v>230</v>
      </c>
      <c r="C496" s="3" t="s">
        <v>351</v>
      </c>
      <c r="D496" s="5"/>
      <c r="E496" s="5"/>
      <c r="F496" s="4">
        <v>0.27610000000000001</v>
      </c>
      <c r="G496" s="4">
        <v>1.55E-2</v>
      </c>
      <c r="H496" s="5"/>
      <c r="I496" s="4">
        <v>0.27610000000000001</v>
      </c>
      <c r="J496" s="4">
        <v>0.27610000000000001</v>
      </c>
      <c r="K496" s="4">
        <v>1.55E-2</v>
      </c>
      <c r="L496" s="4">
        <v>0.1409</v>
      </c>
      <c r="M496" s="5"/>
      <c r="N496" s="5"/>
      <c r="O496" s="4">
        <v>1.55E-2</v>
      </c>
      <c r="P496" s="5"/>
      <c r="Q496" s="5"/>
      <c r="R496" s="5"/>
      <c r="S496" s="5" t="s">
        <v>437</v>
      </c>
    </row>
    <row r="497" spans="1:19" x14ac:dyDescent="0.35">
      <c r="A497" t="s">
        <v>227</v>
      </c>
      <c r="B497" t="s">
        <v>230</v>
      </c>
      <c r="C497" t="s">
        <v>352</v>
      </c>
      <c r="D497" s="2">
        <v>0.28050000000000003</v>
      </c>
      <c r="E497" s="2">
        <v>0.21279999999999999</v>
      </c>
      <c r="F497" s="2">
        <v>0.1454</v>
      </c>
      <c r="G497" s="2">
        <v>0.16339999999999999</v>
      </c>
      <c r="H497" s="2">
        <v>0.1235</v>
      </c>
      <c r="K497" s="2">
        <v>4.3499999999999997E-2</v>
      </c>
      <c r="M497" s="2">
        <v>2.7E-2</v>
      </c>
      <c r="O497" s="2">
        <v>9.7000000000000003E-3</v>
      </c>
      <c r="P497" s="2">
        <v>1.3299999999999999E-2</v>
      </c>
      <c r="Q497" s="2">
        <v>7.0000000000000001E-3</v>
      </c>
      <c r="R497" s="2">
        <v>7.4000000000000003E-3</v>
      </c>
      <c r="S497">
        <v>36</v>
      </c>
    </row>
    <row r="498" spans="1:19" x14ac:dyDescent="0.35">
      <c r="A498" s="3" t="s">
        <v>227</v>
      </c>
      <c r="B498" s="3" t="s">
        <v>230</v>
      </c>
      <c r="C498" s="3" t="s">
        <v>353</v>
      </c>
      <c r="D498" s="5"/>
      <c r="E498" s="4">
        <v>0.89610000000000001</v>
      </c>
      <c r="F498" s="5"/>
      <c r="G498" s="5"/>
      <c r="H498" s="5"/>
      <c r="I498" s="5"/>
      <c r="J498" s="5"/>
      <c r="K498" s="4">
        <v>0.16489999999999999</v>
      </c>
      <c r="L498" s="5"/>
      <c r="M498" s="5"/>
      <c r="N498" s="5"/>
      <c r="O498" s="5"/>
      <c r="P498" s="5"/>
      <c r="Q498" s="5"/>
      <c r="R498" s="5"/>
      <c r="S498" s="5" t="s">
        <v>438</v>
      </c>
    </row>
    <row r="499" spans="1:19" x14ac:dyDescent="0.35">
      <c r="A499" t="s">
        <v>228</v>
      </c>
      <c r="B499" t="s">
        <v>228</v>
      </c>
      <c r="C499" t="s">
        <v>228</v>
      </c>
      <c r="D499" s="2">
        <v>0.29580000000000001</v>
      </c>
      <c r="E499" s="2">
        <v>0.19600000000000001</v>
      </c>
      <c r="F499" s="2">
        <v>0.1573</v>
      </c>
      <c r="G499" s="2">
        <v>6.08E-2</v>
      </c>
      <c r="H499" s="2">
        <v>5.3900000000000003E-2</v>
      </c>
      <c r="I499" s="2">
        <v>5.16E-2</v>
      </c>
      <c r="J499" s="2">
        <v>5.16E-2</v>
      </c>
      <c r="K499" s="2">
        <v>4.5699999999999998E-2</v>
      </c>
      <c r="L499" s="2">
        <v>4.2999999999999997E-2</v>
      </c>
      <c r="M499" s="2">
        <v>3.4000000000000002E-2</v>
      </c>
      <c r="N499" s="2">
        <v>1.9900000000000001E-2</v>
      </c>
      <c r="O499" s="2">
        <v>1.5599999999999999E-2</v>
      </c>
      <c r="P499" s="2">
        <v>6.8999999999999999E-3</v>
      </c>
      <c r="Q499" s="2">
        <v>4.5999999999999999E-3</v>
      </c>
      <c r="R499" s="2">
        <v>3.5000000000000001E-3</v>
      </c>
      <c r="S499">
        <v>87</v>
      </c>
    </row>
    <row r="501" spans="1:19" x14ac:dyDescent="0.35">
      <c r="A501" s="1" t="s">
        <v>439</v>
      </c>
    </row>
    <row r="502" spans="1:19" x14ac:dyDescent="0.35">
      <c r="A502" t="s">
        <v>219</v>
      </c>
      <c r="B502" t="s">
        <v>298</v>
      </c>
      <c r="C502" t="s">
        <v>299</v>
      </c>
      <c r="D502" t="s">
        <v>277</v>
      </c>
      <c r="E502" t="s">
        <v>282</v>
      </c>
      <c r="F502" t="s">
        <v>226</v>
      </c>
    </row>
    <row r="503" spans="1:19" x14ac:dyDescent="0.35">
      <c r="A503" t="s">
        <v>227</v>
      </c>
      <c r="B503" s="2">
        <v>0.95679999999999998</v>
      </c>
      <c r="C503" s="2">
        <v>4.1700000000000001E-2</v>
      </c>
      <c r="D503" s="2">
        <v>1.1999999999999999E-3</v>
      </c>
      <c r="E503" s="2">
        <v>2.9999999999999997E-4</v>
      </c>
      <c r="F503">
        <v>968</v>
      </c>
    </row>
    <row r="504" spans="1:19" x14ac:dyDescent="0.35">
      <c r="A504" t="s">
        <v>228</v>
      </c>
      <c r="B504" s="2">
        <v>0.95679999999999998</v>
      </c>
      <c r="C504" s="2">
        <v>4.1700000000000001E-2</v>
      </c>
      <c r="D504" s="2">
        <v>1.1999999999999999E-3</v>
      </c>
      <c r="E504" s="2">
        <v>2.9999999999999997E-4</v>
      </c>
      <c r="F504">
        <v>968</v>
      </c>
    </row>
    <row r="506" spans="1:19" x14ac:dyDescent="0.35">
      <c r="A506" s="1" t="s">
        <v>440</v>
      </c>
    </row>
    <row r="507" spans="1:19" x14ac:dyDescent="0.35">
      <c r="A507" t="s">
        <v>219</v>
      </c>
      <c r="B507" t="s">
        <v>301</v>
      </c>
      <c r="C507" t="s">
        <v>298</v>
      </c>
      <c r="D507" t="s">
        <v>299</v>
      </c>
      <c r="E507" t="s">
        <v>277</v>
      </c>
      <c r="F507" t="s">
        <v>282</v>
      </c>
      <c r="G507" t="s">
        <v>226</v>
      </c>
    </row>
    <row r="508" spans="1:19" x14ac:dyDescent="0.35">
      <c r="A508" t="s">
        <v>227</v>
      </c>
      <c r="B508" t="s">
        <v>238</v>
      </c>
      <c r="C508" s="2">
        <v>0.94069999999999998</v>
      </c>
      <c r="D508" s="2">
        <v>5.7799999999999997E-2</v>
      </c>
      <c r="E508" s="2">
        <v>1.5E-3</v>
      </c>
      <c r="G508">
        <v>280</v>
      </c>
    </row>
    <row r="509" spans="1:19" x14ac:dyDescent="0.35">
      <c r="A509" t="s">
        <v>227</v>
      </c>
      <c r="B509" t="s">
        <v>237</v>
      </c>
      <c r="C509" s="2">
        <v>0.96360000000000001</v>
      </c>
      <c r="D509" s="2">
        <v>3.5000000000000003E-2</v>
      </c>
      <c r="E509" s="2">
        <v>1.1000000000000001E-3</v>
      </c>
      <c r="F509" s="2">
        <v>4.0000000000000002E-4</v>
      </c>
      <c r="G509">
        <v>688</v>
      </c>
    </row>
    <row r="510" spans="1:19" x14ac:dyDescent="0.35">
      <c r="A510" t="s">
        <v>228</v>
      </c>
      <c r="B510" t="s">
        <v>228</v>
      </c>
      <c r="C510" s="2">
        <v>0.95679999999999998</v>
      </c>
      <c r="D510" s="2">
        <v>4.1700000000000001E-2</v>
      </c>
      <c r="E510" s="2">
        <v>1.1999999999999999E-3</v>
      </c>
      <c r="F510" s="2">
        <v>2.9999999999999997E-4</v>
      </c>
      <c r="G510">
        <v>968</v>
      </c>
    </row>
    <row r="512" spans="1:19" x14ac:dyDescent="0.35">
      <c r="A512" s="1" t="s">
        <v>441</v>
      </c>
    </row>
    <row r="513" spans="1:7" x14ac:dyDescent="0.35">
      <c r="A513" t="s">
        <v>219</v>
      </c>
      <c r="B513" t="s">
        <v>301</v>
      </c>
      <c r="C513" t="s">
        <v>298</v>
      </c>
      <c r="D513" t="s">
        <v>299</v>
      </c>
      <c r="E513" t="s">
        <v>277</v>
      </c>
      <c r="F513" t="s">
        <v>282</v>
      </c>
      <c r="G513" t="s">
        <v>226</v>
      </c>
    </row>
    <row r="514" spans="1:7" x14ac:dyDescent="0.35">
      <c r="A514" t="s">
        <v>227</v>
      </c>
      <c r="B514" t="s">
        <v>235</v>
      </c>
      <c r="C514" s="2">
        <v>0.96289999999999998</v>
      </c>
      <c r="D514" s="2">
        <v>3.61E-2</v>
      </c>
      <c r="E514" s="2">
        <v>1E-3</v>
      </c>
      <c r="G514">
        <v>409</v>
      </c>
    </row>
    <row r="515" spans="1:7" x14ac:dyDescent="0.35">
      <c r="A515" t="s">
        <v>227</v>
      </c>
      <c r="B515" t="s">
        <v>234</v>
      </c>
      <c r="C515" s="2">
        <v>0.95299999999999996</v>
      </c>
      <c r="D515" s="2">
        <v>4.53E-2</v>
      </c>
      <c r="E515" s="2">
        <v>1.2999999999999999E-3</v>
      </c>
      <c r="F515" s="2">
        <v>5.0000000000000001E-4</v>
      </c>
      <c r="G515">
        <v>559</v>
      </c>
    </row>
    <row r="516" spans="1:7" x14ac:dyDescent="0.35">
      <c r="A516" t="s">
        <v>228</v>
      </c>
      <c r="B516" t="s">
        <v>228</v>
      </c>
      <c r="C516" s="2">
        <v>0.95679999999999998</v>
      </c>
      <c r="D516" s="2">
        <v>4.1700000000000001E-2</v>
      </c>
      <c r="E516" s="2">
        <v>1.1999999999999999E-3</v>
      </c>
      <c r="F516" s="2">
        <v>2.9999999999999997E-4</v>
      </c>
      <c r="G516">
        <v>968</v>
      </c>
    </row>
    <row r="518" spans="1:7" x14ac:dyDescent="0.35">
      <c r="A518" s="1" t="s">
        <v>442</v>
      </c>
    </row>
    <row r="519" spans="1:7" x14ac:dyDescent="0.35">
      <c r="A519" t="s">
        <v>219</v>
      </c>
      <c r="B519" t="s">
        <v>301</v>
      </c>
      <c r="C519" t="s">
        <v>298</v>
      </c>
      <c r="D519" t="s">
        <v>299</v>
      </c>
      <c r="E519" t="s">
        <v>277</v>
      </c>
      <c r="F519" t="s">
        <v>282</v>
      </c>
      <c r="G519" t="s">
        <v>226</v>
      </c>
    </row>
    <row r="520" spans="1:7" x14ac:dyDescent="0.35">
      <c r="A520" t="s">
        <v>227</v>
      </c>
      <c r="B520" t="s">
        <v>240</v>
      </c>
      <c r="C520" s="2">
        <v>0.95109999999999995</v>
      </c>
      <c r="D520" s="2">
        <v>4.7399999999999998E-2</v>
      </c>
      <c r="E520" s="2">
        <v>1.1000000000000001E-3</v>
      </c>
      <c r="F520" s="2">
        <v>4.0000000000000002E-4</v>
      </c>
      <c r="G520">
        <v>695</v>
      </c>
    </row>
    <row r="521" spans="1:7" x14ac:dyDescent="0.35">
      <c r="A521" t="s">
        <v>227</v>
      </c>
      <c r="B521" t="s">
        <v>242</v>
      </c>
      <c r="C521" s="2">
        <v>0.96919999999999995</v>
      </c>
      <c r="D521" s="2">
        <v>2.9399999999999999E-2</v>
      </c>
      <c r="E521" s="2">
        <v>1.4E-3</v>
      </c>
      <c r="G521">
        <v>273</v>
      </c>
    </row>
    <row r="522" spans="1:7" x14ac:dyDescent="0.35">
      <c r="A522" t="s">
        <v>228</v>
      </c>
      <c r="B522" t="s">
        <v>228</v>
      </c>
      <c r="C522" s="2">
        <v>0.95679999999999998</v>
      </c>
      <c r="D522" s="2">
        <v>4.1700000000000001E-2</v>
      </c>
      <c r="E522" s="2">
        <v>1.1999999999999999E-3</v>
      </c>
      <c r="F522" s="2">
        <v>2.9999999999999997E-4</v>
      </c>
      <c r="G522">
        <v>968</v>
      </c>
    </row>
    <row r="524" spans="1:7" x14ac:dyDescent="0.35">
      <c r="A524" s="1" t="s">
        <v>443</v>
      </c>
    </row>
    <row r="525" spans="1:7" x14ac:dyDescent="0.35">
      <c r="A525" t="s">
        <v>219</v>
      </c>
      <c r="B525" t="s">
        <v>301</v>
      </c>
      <c r="C525" t="s">
        <v>298</v>
      </c>
      <c r="D525" t="s">
        <v>299</v>
      </c>
      <c r="E525" t="s">
        <v>277</v>
      </c>
      <c r="F525" t="s">
        <v>282</v>
      </c>
      <c r="G525" t="s">
        <v>226</v>
      </c>
    </row>
    <row r="526" spans="1:7" x14ac:dyDescent="0.35">
      <c r="A526" t="s">
        <v>227</v>
      </c>
      <c r="B526" t="s">
        <v>334</v>
      </c>
      <c r="C526" s="2">
        <v>0.94240000000000002</v>
      </c>
      <c r="D526" s="2">
        <v>5.6300000000000003E-2</v>
      </c>
      <c r="E526" s="2">
        <v>1.2999999999999999E-3</v>
      </c>
      <c r="G526">
        <v>290</v>
      </c>
    </row>
    <row r="527" spans="1:7" x14ac:dyDescent="0.35">
      <c r="A527" t="s">
        <v>227</v>
      </c>
      <c r="B527" t="s">
        <v>335</v>
      </c>
      <c r="C527" s="2">
        <v>0.93410000000000004</v>
      </c>
      <c r="D527" s="2">
        <v>6.59E-2</v>
      </c>
      <c r="G527">
        <v>157</v>
      </c>
    </row>
    <row r="528" spans="1:7" x14ac:dyDescent="0.35">
      <c r="A528" t="s">
        <v>227</v>
      </c>
      <c r="B528" t="s">
        <v>336</v>
      </c>
      <c r="C528" s="2">
        <v>0.99170000000000003</v>
      </c>
      <c r="D528" s="2">
        <v>8.3000000000000001E-3</v>
      </c>
      <c r="G528">
        <v>227</v>
      </c>
    </row>
    <row r="529" spans="1:7" x14ac:dyDescent="0.35">
      <c r="A529" t="s">
        <v>227</v>
      </c>
      <c r="B529" t="s">
        <v>337</v>
      </c>
      <c r="C529" s="2">
        <v>0.96020000000000005</v>
      </c>
      <c r="D529" s="2">
        <v>3.7499999999999999E-2</v>
      </c>
      <c r="E529" s="2">
        <v>2.3E-3</v>
      </c>
      <c r="G529">
        <v>171</v>
      </c>
    </row>
    <row r="530" spans="1:7" x14ac:dyDescent="0.35">
      <c r="A530" t="s">
        <v>228</v>
      </c>
      <c r="B530" t="s">
        <v>228</v>
      </c>
      <c r="C530" s="2">
        <v>0.95679999999999998</v>
      </c>
      <c r="D530" s="2">
        <v>4.1700000000000001E-2</v>
      </c>
      <c r="E530" s="2">
        <v>1.1999999999999999E-3</v>
      </c>
      <c r="F530" s="2">
        <v>2.9999999999999997E-4</v>
      </c>
      <c r="G530">
        <v>845</v>
      </c>
    </row>
    <row r="532" spans="1:7" x14ac:dyDescent="0.35">
      <c r="A532" s="1" t="s">
        <v>444</v>
      </c>
    </row>
    <row r="533" spans="1:7" x14ac:dyDescent="0.35">
      <c r="A533" t="s">
        <v>219</v>
      </c>
      <c r="B533" t="s">
        <v>301</v>
      </c>
      <c r="C533" t="s">
        <v>298</v>
      </c>
      <c r="D533" t="s">
        <v>299</v>
      </c>
      <c r="E533" t="s">
        <v>277</v>
      </c>
      <c r="F533" t="s">
        <v>282</v>
      </c>
      <c r="G533" t="s">
        <v>226</v>
      </c>
    </row>
    <row r="534" spans="1:7" x14ac:dyDescent="0.35">
      <c r="A534" t="s">
        <v>227</v>
      </c>
      <c r="B534" t="s">
        <v>263</v>
      </c>
      <c r="C534" s="2">
        <v>0.92130000000000001</v>
      </c>
      <c r="D534" s="2">
        <v>7.6999999999999999E-2</v>
      </c>
      <c r="E534" s="2">
        <v>1.6999999999999999E-3</v>
      </c>
      <c r="G534">
        <v>137</v>
      </c>
    </row>
    <row r="535" spans="1:7" x14ac:dyDescent="0.35">
      <c r="A535" t="s">
        <v>227</v>
      </c>
      <c r="B535" t="s">
        <v>262</v>
      </c>
      <c r="C535" s="2">
        <v>0.94199999999999995</v>
      </c>
      <c r="D535" s="2">
        <v>5.5100000000000003E-2</v>
      </c>
      <c r="E535" s="2">
        <v>2E-3</v>
      </c>
      <c r="F535" s="2">
        <v>1E-3</v>
      </c>
      <c r="G535">
        <v>318</v>
      </c>
    </row>
    <row r="536" spans="1:7" x14ac:dyDescent="0.35">
      <c r="A536" t="s">
        <v>227</v>
      </c>
      <c r="B536" t="s">
        <v>261</v>
      </c>
      <c r="C536" s="2">
        <v>0.97250000000000003</v>
      </c>
      <c r="D536" s="2">
        <v>2.69E-2</v>
      </c>
      <c r="E536" s="2">
        <v>6.9999999999999999E-4</v>
      </c>
      <c r="G536">
        <v>513</v>
      </c>
    </row>
    <row r="537" spans="1:7" x14ac:dyDescent="0.35">
      <c r="A537" t="s">
        <v>228</v>
      </c>
      <c r="B537" t="s">
        <v>228</v>
      </c>
      <c r="C537" s="2">
        <v>0.95679999999999998</v>
      </c>
      <c r="D537" s="2">
        <v>4.1700000000000001E-2</v>
      </c>
      <c r="E537" s="2">
        <v>1.1999999999999999E-3</v>
      </c>
      <c r="F537" s="2">
        <v>2.9999999999999997E-4</v>
      </c>
      <c r="G537">
        <v>968</v>
      </c>
    </row>
    <row r="539" spans="1:7" x14ac:dyDescent="0.35">
      <c r="A539" s="1" t="s">
        <v>445</v>
      </c>
    </row>
    <row r="540" spans="1:7" x14ac:dyDescent="0.35">
      <c r="A540" t="s">
        <v>219</v>
      </c>
      <c r="B540" t="s">
        <v>301</v>
      </c>
      <c r="C540" t="s">
        <v>298</v>
      </c>
      <c r="D540" t="s">
        <v>299</v>
      </c>
      <c r="E540" t="s">
        <v>277</v>
      </c>
      <c r="F540" t="s">
        <v>282</v>
      </c>
      <c r="G540" t="s">
        <v>226</v>
      </c>
    </row>
    <row r="541" spans="1:7" x14ac:dyDescent="0.35">
      <c r="A541" s="3" t="s">
        <v>227</v>
      </c>
      <c r="B541" s="3" t="s">
        <v>248</v>
      </c>
      <c r="C541" s="4">
        <v>1</v>
      </c>
      <c r="D541" s="5"/>
      <c r="E541" s="5"/>
      <c r="F541" s="5"/>
      <c r="G541" s="5" t="s">
        <v>366</v>
      </c>
    </row>
    <row r="542" spans="1:7" x14ac:dyDescent="0.35">
      <c r="A542" t="s">
        <v>227</v>
      </c>
      <c r="B542" t="s">
        <v>249</v>
      </c>
      <c r="C542" s="2">
        <v>0.94550000000000001</v>
      </c>
      <c r="D542" s="2">
        <v>5.1200000000000002E-2</v>
      </c>
      <c r="E542" s="2">
        <v>3.3E-3</v>
      </c>
      <c r="G542">
        <v>205</v>
      </c>
    </row>
    <row r="543" spans="1:7" x14ac:dyDescent="0.35">
      <c r="A543" t="s">
        <v>227</v>
      </c>
      <c r="B543" t="s">
        <v>247</v>
      </c>
      <c r="C543" s="2">
        <v>0.95860000000000001</v>
      </c>
      <c r="D543" s="2">
        <v>4.0300000000000002E-2</v>
      </c>
      <c r="E543" s="2">
        <v>6.9999999999999999E-4</v>
      </c>
      <c r="F543" s="2">
        <v>4.0000000000000002E-4</v>
      </c>
      <c r="G543">
        <v>756</v>
      </c>
    </row>
    <row r="544" spans="1:7" x14ac:dyDescent="0.35">
      <c r="A544" t="s">
        <v>228</v>
      </c>
      <c r="B544" t="s">
        <v>228</v>
      </c>
      <c r="C544" s="2">
        <v>0.95679999999999998</v>
      </c>
      <c r="D544" s="2">
        <v>4.1700000000000001E-2</v>
      </c>
      <c r="E544" s="2">
        <v>1.1999999999999999E-3</v>
      </c>
      <c r="F544" s="2">
        <v>2.9999999999999997E-4</v>
      </c>
      <c r="G544">
        <v>968</v>
      </c>
    </row>
    <row r="546" spans="1:7" x14ac:dyDescent="0.35">
      <c r="A546" s="1" t="s">
        <v>446</v>
      </c>
    </row>
    <row r="547" spans="1:7" x14ac:dyDescent="0.35">
      <c r="A547" t="s">
        <v>219</v>
      </c>
      <c r="B547" t="s">
        <v>301</v>
      </c>
      <c r="C547" t="s">
        <v>298</v>
      </c>
      <c r="D547" t="s">
        <v>299</v>
      </c>
      <c r="E547" t="s">
        <v>277</v>
      </c>
      <c r="F547" t="s">
        <v>282</v>
      </c>
      <c r="G547" t="s">
        <v>226</v>
      </c>
    </row>
    <row r="548" spans="1:7" x14ac:dyDescent="0.35">
      <c r="A548" s="3" t="s">
        <v>227</v>
      </c>
      <c r="B548" s="3" t="s">
        <v>259</v>
      </c>
      <c r="C548" s="4">
        <v>1</v>
      </c>
      <c r="D548" s="5"/>
      <c r="E548" s="5"/>
      <c r="F548" s="5"/>
      <c r="G548" s="5" t="s">
        <v>368</v>
      </c>
    </row>
    <row r="549" spans="1:7" x14ac:dyDescent="0.35">
      <c r="A549" t="s">
        <v>227</v>
      </c>
      <c r="B549" t="s">
        <v>257</v>
      </c>
      <c r="C549" s="2">
        <v>0.90500000000000003</v>
      </c>
      <c r="D549" s="2">
        <v>9.5000000000000001E-2</v>
      </c>
      <c r="G549">
        <v>159</v>
      </c>
    </row>
    <row r="550" spans="1:7" x14ac:dyDescent="0.35">
      <c r="A550" t="s">
        <v>227</v>
      </c>
      <c r="B550" t="s">
        <v>256</v>
      </c>
      <c r="C550" s="2">
        <v>0.96950000000000003</v>
      </c>
      <c r="D550" s="2">
        <v>2.9000000000000001E-2</v>
      </c>
      <c r="E550" s="2">
        <v>1E-3</v>
      </c>
      <c r="F550" s="2">
        <v>5.0000000000000001E-4</v>
      </c>
      <c r="G550">
        <v>517</v>
      </c>
    </row>
    <row r="551" spans="1:7" x14ac:dyDescent="0.35">
      <c r="A551" s="3" t="s">
        <v>227</v>
      </c>
      <c r="B551" s="3" t="s">
        <v>232</v>
      </c>
      <c r="C551" s="4">
        <v>1</v>
      </c>
      <c r="D551" s="5"/>
      <c r="E551" s="5"/>
      <c r="F551" s="5"/>
      <c r="G551" s="5" t="s">
        <v>341</v>
      </c>
    </row>
    <row r="552" spans="1:7" x14ac:dyDescent="0.35">
      <c r="A552" t="s">
        <v>227</v>
      </c>
      <c r="B552" t="s">
        <v>258</v>
      </c>
      <c r="C552" s="2">
        <v>0.95179999999999998</v>
      </c>
      <c r="D552" s="2">
        <v>4.5699999999999998E-2</v>
      </c>
      <c r="E552" s="2">
        <v>2.5000000000000001E-3</v>
      </c>
      <c r="G552">
        <v>264</v>
      </c>
    </row>
    <row r="553" spans="1:7" x14ac:dyDescent="0.35">
      <c r="A553" t="s">
        <v>228</v>
      </c>
      <c r="B553" t="s">
        <v>228</v>
      </c>
      <c r="C553" s="2">
        <v>0.95679999999999998</v>
      </c>
      <c r="D553" s="2">
        <v>4.1700000000000001E-2</v>
      </c>
      <c r="E553" s="2">
        <v>1.1999999999999999E-3</v>
      </c>
      <c r="F553" s="2">
        <v>2.9999999999999997E-4</v>
      </c>
      <c r="G553">
        <v>968</v>
      </c>
    </row>
    <row r="555" spans="1:7" x14ac:dyDescent="0.35">
      <c r="A555" s="1" t="s">
        <v>447</v>
      </c>
    </row>
    <row r="556" spans="1:7" x14ac:dyDescent="0.35">
      <c r="A556" t="s">
        <v>219</v>
      </c>
      <c r="B556" t="s">
        <v>301</v>
      </c>
      <c r="C556" t="s">
        <v>298</v>
      </c>
      <c r="D556" t="s">
        <v>299</v>
      </c>
      <c r="E556" t="s">
        <v>277</v>
      </c>
      <c r="F556" t="s">
        <v>282</v>
      </c>
      <c r="G556" t="s">
        <v>226</v>
      </c>
    </row>
    <row r="557" spans="1:7" x14ac:dyDescent="0.35">
      <c r="A557" t="s">
        <v>227</v>
      </c>
      <c r="B557" t="s">
        <v>343</v>
      </c>
      <c r="C557" s="2">
        <v>0.90500000000000003</v>
      </c>
      <c r="D557" s="2">
        <v>9.5000000000000001E-2</v>
      </c>
      <c r="G557">
        <v>159</v>
      </c>
    </row>
    <row r="558" spans="1:7" x14ac:dyDescent="0.35">
      <c r="A558" t="s">
        <v>227</v>
      </c>
      <c r="B558" t="s">
        <v>344</v>
      </c>
      <c r="C558" s="2">
        <v>0.96579999999999999</v>
      </c>
      <c r="D558" s="2">
        <v>3.2500000000000001E-2</v>
      </c>
      <c r="E558" s="2">
        <v>1.4E-3</v>
      </c>
      <c r="F558" s="2">
        <v>2.9999999999999997E-4</v>
      </c>
      <c r="G558">
        <v>809</v>
      </c>
    </row>
    <row r="559" spans="1:7" x14ac:dyDescent="0.35">
      <c r="A559" t="s">
        <v>228</v>
      </c>
      <c r="B559" t="s">
        <v>228</v>
      </c>
      <c r="C559" s="2">
        <v>0.95679999999999998</v>
      </c>
      <c r="D559" s="2">
        <v>4.1700000000000001E-2</v>
      </c>
      <c r="E559" s="2">
        <v>1.1999999999999999E-3</v>
      </c>
      <c r="F559" s="2">
        <v>2.9999999999999997E-4</v>
      </c>
      <c r="G559">
        <v>968</v>
      </c>
    </row>
    <row r="561" spans="1:7" x14ac:dyDescent="0.35">
      <c r="A561" s="1" t="s">
        <v>448</v>
      </c>
    </row>
    <row r="562" spans="1:7" x14ac:dyDescent="0.35">
      <c r="A562" t="s">
        <v>219</v>
      </c>
      <c r="B562" t="s">
        <v>301</v>
      </c>
      <c r="C562" t="s">
        <v>298</v>
      </c>
      <c r="D562" t="s">
        <v>299</v>
      </c>
      <c r="E562" t="s">
        <v>277</v>
      </c>
      <c r="F562" t="s">
        <v>282</v>
      </c>
      <c r="G562" t="s">
        <v>226</v>
      </c>
    </row>
    <row r="563" spans="1:7" x14ac:dyDescent="0.35">
      <c r="A563" t="s">
        <v>227</v>
      </c>
      <c r="B563" t="s">
        <v>346</v>
      </c>
      <c r="C563" s="2">
        <v>0.95940000000000003</v>
      </c>
      <c r="D563" s="2">
        <v>4.0399999999999998E-2</v>
      </c>
      <c r="E563" s="2">
        <v>2.0000000000000001E-4</v>
      </c>
      <c r="G563">
        <v>570</v>
      </c>
    </row>
    <row r="564" spans="1:7" x14ac:dyDescent="0.35">
      <c r="A564" t="s">
        <v>227</v>
      </c>
      <c r="B564" t="s">
        <v>347</v>
      </c>
      <c r="C564" s="2">
        <v>0.92410000000000003</v>
      </c>
      <c r="D564" s="2">
        <v>5.9299999999999999E-2</v>
      </c>
      <c r="E564" s="2">
        <v>7.1999999999999998E-3</v>
      </c>
      <c r="F564" s="2">
        <v>9.4999999999999998E-3</v>
      </c>
      <c r="G564">
        <v>167</v>
      </c>
    </row>
    <row r="565" spans="1:7" x14ac:dyDescent="0.35">
      <c r="A565" t="s">
        <v>227</v>
      </c>
      <c r="B565" t="s">
        <v>348</v>
      </c>
      <c r="C565" s="2">
        <v>0.93879999999999997</v>
      </c>
      <c r="D565" s="2">
        <v>5.0500000000000003E-2</v>
      </c>
      <c r="E565" s="2">
        <v>1.06E-2</v>
      </c>
      <c r="G565">
        <v>231</v>
      </c>
    </row>
    <row r="566" spans="1:7" x14ac:dyDescent="0.35">
      <c r="A566" t="s">
        <v>228</v>
      </c>
      <c r="B566" t="s">
        <v>228</v>
      </c>
      <c r="C566" s="2">
        <v>0.95679999999999998</v>
      </c>
      <c r="D566" s="2">
        <v>4.1700000000000001E-2</v>
      </c>
      <c r="E566" s="2">
        <v>1.1999999999999999E-3</v>
      </c>
      <c r="F566" s="2">
        <v>2.9999999999999997E-4</v>
      </c>
      <c r="G566">
        <v>968</v>
      </c>
    </row>
    <row r="568" spans="1:7" x14ac:dyDescent="0.35">
      <c r="A568" s="1" t="s">
        <v>449</v>
      </c>
    </row>
    <row r="569" spans="1:7" x14ac:dyDescent="0.35">
      <c r="A569" t="s">
        <v>219</v>
      </c>
      <c r="B569" t="s">
        <v>301</v>
      </c>
      <c r="C569" t="s">
        <v>298</v>
      </c>
      <c r="D569" t="s">
        <v>299</v>
      </c>
      <c r="E569" t="s">
        <v>277</v>
      </c>
      <c r="F569" t="s">
        <v>282</v>
      </c>
      <c r="G569" t="s">
        <v>226</v>
      </c>
    </row>
    <row r="570" spans="1:7" x14ac:dyDescent="0.35">
      <c r="A570" t="s">
        <v>227</v>
      </c>
      <c r="B570" t="s">
        <v>350</v>
      </c>
      <c r="C570" s="2">
        <v>0.95489999999999997</v>
      </c>
      <c r="D570" s="2">
        <v>4.3900000000000002E-2</v>
      </c>
      <c r="E570" s="2">
        <v>5.0000000000000001E-4</v>
      </c>
      <c r="F570" s="2">
        <v>6.9999999999999999E-4</v>
      </c>
      <c r="G570">
        <v>398</v>
      </c>
    </row>
    <row r="571" spans="1:7" x14ac:dyDescent="0.35">
      <c r="A571" t="s">
        <v>227</v>
      </c>
      <c r="B571" t="s">
        <v>351</v>
      </c>
      <c r="C571" s="2">
        <v>0.97050000000000003</v>
      </c>
      <c r="D571" s="2">
        <v>2.6200000000000001E-2</v>
      </c>
      <c r="E571" s="2">
        <v>3.3E-3</v>
      </c>
      <c r="G571">
        <v>218</v>
      </c>
    </row>
    <row r="572" spans="1:7" x14ac:dyDescent="0.35">
      <c r="A572" t="s">
        <v>227</v>
      </c>
      <c r="B572" t="s">
        <v>352</v>
      </c>
      <c r="C572" s="2">
        <v>0.9859</v>
      </c>
      <c r="D572" s="2">
        <v>1.41E-2</v>
      </c>
      <c r="G572">
        <v>93</v>
      </c>
    </row>
    <row r="573" spans="1:7" x14ac:dyDescent="0.35">
      <c r="A573" t="s">
        <v>227</v>
      </c>
      <c r="B573" t="s">
        <v>353</v>
      </c>
      <c r="C573" s="2">
        <v>0.93520000000000003</v>
      </c>
      <c r="D573" s="2">
        <v>6.3899999999999998E-2</v>
      </c>
      <c r="E573" s="2">
        <v>8.0000000000000004E-4</v>
      </c>
      <c r="G573">
        <v>259</v>
      </c>
    </row>
    <row r="574" spans="1:7" x14ac:dyDescent="0.35">
      <c r="A574" t="s">
        <v>228</v>
      </c>
      <c r="B574" t="s">
        <v>228</v>
      </c>
      <c r="C574" s="2">
        <v>0.95679999999999998</v>
      </c>
      <c r="D574" s="2">
        <v>4.1700000000000001E-2</v>
      </c>
      <c r="E574" s="2">
        <v>1.1999999999999999E-3</v>
      </c>
      <c r="F574" s="2">
        <v>2.9999999999999997E-4</v>
      </c>
      <c r="G574">
        <v>968</v>
      </c>
    </row>
    <row r="576" spans="1:7" x14ac:dyDescent="0.35">
      <c r="A576" s="1" t="s">
        <v>450</v>
      </c>
    </row>
    <row r="577" spans="1:8" x14ac:dyDescent="0.35">
      <c r="A577" t="s">
        <v>219</v>
      </c>
      <c r="B577" t="s">
        <v>301</v>
      </c>
      <c r="C577" t="s">
        <v>298</v>
      </c>
      <c r="D577" t="s">
        <v>299</v>
      </c>
      <c r="E577" t="s">
        <v>277</v>
      </c>
      <c r="F577" t="s">
        <v>282</v>
      </c>
      <c r="G577" t="s">
        <v>226</v>
      </c>
    </row>
    <row r="578" spans="1:8" x14ac:dyDescent="0.35">
      <c r="A578" t="s">
        <v>227</v>
      </c>
      <c r="B578" t="s">
        <v>231</v>
      </c>
      <c r="C578" s="2">
        <v>0.94059999999999999</v>
      </c>
      <c r="D578" s="2">
        <v>5.7200000000000001E-2</v>
      </c>
      <c r="E578" s="2">
        <v>2.0999999999999999E-3</v>
      </c>
      <c r="G578">
        <v>483</v>
      </c>
    </row>
    <row r="579" spans="1:8" x14ac:dyDescent="0.35">
      <c r="A579" s="3" t="s">
        <v>227</v>
      </c>
      <c r="B579" s="3" t="s">
        <v>232</v>
      </c>
      <c r="C579" s="4">
        <v>1</v>
      </c>
      <c r="D579" s="5"/>
      <c r="E579" s="5"/>
      <c r="F579" s="5"/>
      <c r="G579" s="5" t="s">
        <v>323</v>
      </c>
    </row>
    <row r="580" spans="1:8" x14ac:dyDescent="0.35">
      <c r="A580" t="s">
        <v>227</v>
      </c>
      <c r="B580" t="s">
        <v>230</v>
      </c>
      <c r="C580" s="2">
        <v>0.97309999999999997</v>
      </c>
      <c r="D580" s="2">
        <v>2.6100000000000002E-2</v>
      </c>
      <c r="E580" s="2">
        <v>2.9999999999999997E-4</v>
      </c>
      <c r="F580" s="2">
        <v>5.9999999999999995E-4</v>
      </c>
      <c r="G580">
        <v>484</v>
      </c>
    </row>
    <row r="581" spans="1:8" x14ac:dyDescent="0.35">
      <c r="A581" t="s">
        <v>228</v>
      </c>
      <c r="B581" t="s">
        <v>228</v>
      </c>
      <c r="C581" s="2">
        <v>0.95679999999999998</v>
      </c>
      <c r="D581" s="2">
        <v>4.1700000000000001E-2</v>
      </c>
      <c r="E581" s="2">
        <v>1.1999999999999999E-3</v>
      </c>
      <c r="F581" s="2">
        <v>2.9999999999999997E-4</v>
      </c>
      <c r="G581">
        <v>968</v>
      </c>
    </row>
    <row r="583" spans="1:8" x14ac:dyDescent="0.35">
      <c r="A583" s="1" t="s">
        <v>451</v>
      </c>
    </row>
    <row r="584" spans="1:8" x14ac:dyDescent="0.35">
      <c r="A584" t="s">
        <v>219</v>
      </c>
      <c r="B584" t="s">
        <v>301</v>
      </c>
      <c r="C584" t="s">
        <v>325</v>
      </c>
      <c r="D584" t="s">
        <v>298</v>
      </c>
      <c r="E584" t="s">
        <v>299</v>
      </c>
      <c r="F584" t="s">
        <v>277</v>
      </c>
      <c r="G584" t="s">
        <v>282</v>
      </c>
      <c r="H584" t="s">
        <v>226</v>
      </c>
    </row>
    <row r="585" spans="1:8" x14ac:dyDescent="0.35">
      <c r="A585" t="s">
        <v>227</v>
      </c>
      <c r="B585" t="s">
        <v>231</v>
      </c>
      <c r="C585" t="s">
        <v>350</v>
      </c>
      <c r="D585" s="2">
        <v>0.93010000000000004</v>
      </c>
      <c r="E585" s="2">
        <v>6.9000000000000006E-2</v>
      </c>
      <c r="F585" s="2">
        <v>8.9999999999999998E-4</v>
      </c>
      <c r="H585">
        <v>210</v>
      </c>
    </row>
    <row r="586" spans="1:8" x14ac:dyDescent="0.35">
      <c r="A586" t="s">
        <v>227</v>
      </c>
      <c r="B586" t="s">
        <v>231</v>
      </c>
      <c r="C586" t="s">
        <v>351</v>
      </c>
      <c r="D586" s="2">
        <v>0.98960000000000004</v>
      </c>
      <c r="E586" s="2">
        <v>4.7999999999999996E-3</v>
      </c>
      <c r="F586" s="2">
        <v>5.4999999999999997E-3</v>
      </c>
      <c r="H586">
        <v>116</v>
      </c>
    </row>
    <row r="587" spans="1:8" x14ac:dyDescent="0.35">
      <c r="A587" t="s">
        <v>227</v>
      </c>
      <c r="B587" t="s">
        <v>231</v>
      </c>
      <c r="C587" t="s">
        <v>352</v>
      </c>
      <c r="D587" s="2">
        <v>0.98340000000000005</v>
      </c>
      <c r="E587" s="2">
        <v>1.66E-2</v>
      </c>
      <c r="H587">
        <v>45</v>
      </c>
    </row>
    <row r="588" spans="1:8" x14ac:dyDescent="0.35">
      <c r="A588" t="s">
        <v>227</v>
      </c>
      <c r="B588" t="s">
        <v>231</v>
      </c>
      <c r="C588" t="s">
        <v>353</v>
      </c>
      <c r="D588" s="2">
        <v>0.88839999999999997</v>
      </c>
      <c r="E588" s="2">
        <v>0.10970000000000001</v>
      </c>
      <c r="F588" s="2">
        <v>1.9E-3</v>
      </c>
      <c r="H588">
        <v>112</v>
      </c>
    </row>
    <row r="589" spans="1:8" x14ac:dyDescent="0.35">
      <c r="A589" s="3" t="s">
        <v>227</v>
      </c>
      <c r="B589" s="3" t="s">
        <v>232</v>
      </c>
      <c r="C589" s="3" t="s">
        <v>350</v>
      </c>
      <c r="D589" s="4">
        <v>1</v>
      </c>
      <c r="E589" s="5"/>
      <c r="F589" s="5"/>
      <c r="G589" s="5"/>
      <c r="H589" s="5" t="s">
        <v>323</v>
      </c>
    </row>
    <row r="590" spans="1:8" x14ac:dyDescent="0.35">
      <c r="A590" t="s">
        <v>227</v>
      </c>
      <c r="B590" t="s">
        <v>230</v>
      </c>
      <c r="C590" t="s">
        <v>350</v>
      </c>
      <c r="D590" s="2">
        <v>0.98450000000000004</v>
      </c>
      <c r="E590" s="2">
        <v>1.3899999999999999E-2</v>
      </c>
      <c r="G590" s="2">
        <v>1.6000000000000001E-3</v>
      </c>
      <c r="H590">
        <v>187</v>
      </c>
    </row>
    <row r="591" spans="1:8" x14ac:dyDescent="0.35">
      <c r="A591" t="s">
        <v>227</v>
      </c>
      <c r="B591" t="s">
        <v>230</v>
      </c>
      <c r="C591" t="s">
        <v>351</v>
      </c>
      <c r="D591" s="2">
        <v>0.95140000000000002</v>
      </c>
      <c r="E591" s="2">
        <v>4.7500000000000001E-2</v>
      </c>
      <c r="F591" s="2">
        <v>1.1000000000000001E-3</v>
      </c>
      <c r="H591">
        <v>102</v>
      </c>
    </row>
    <row r="592" spans="1:8" x14ac:dyDescent="0.35">
      <c r="A592" t="s">
        <v>227</v>
      </c>
      <c r="B592" t="s">
        <v>230</v>
      </c>
      <c r="C592" t="s">
        <v>352</v>
      </c>
      <c r="D592" s="2">
        <v>0.98870000000000002</v>
      </c>
      <c r="E592" s="2">
        <v>1.1299999999999999E-2</v>
      </c>
      <c r="H592">
        <v>48</v>
      </c>
    </row>
    <row r="593" spans="1:8" x14ac:dyDescent="0.35">
      <c r="A593" t="s">
        <v>227</v>
      </c>
      <c r="B593" t="s">
        <v>230</v>
      </c>
      <c r="C593" t="s">
        <v>353</v>
      </c>
      <c r="D593" s="2">
        <v>0.97140000000000004</v>
      </c>
      <c r="E593" s="2">
        <v>2.86E-2</v>
      </c>
      <c r="H593">
        <v>147</v>
      </c>
    </row>
    <row r="594" spans="1:8" x14ac:dyDescent="0.35">
      <c r="A594" t="s">
        <v>228</v>
      </c>
      <c r="B594" t="s">
        <v>228</v>
      </c>
      <c r="C594" t="s">
        <v>228</v>
      </c>
      <c r="D594" s="2">
        <v>0.95679999999999998</v>
      </c>
      <c r="E594" s="2">
        <v>4.1700000000000001E-2</v>
      </c>
      <c r="F594" s="2">
        <v>1.1999999999999999E-3</v>
      </c>
      <c r="G594" s="2">
        <v>2.9999999999999997E-4</v>
      </c>
      <c r="H594">
        <v>968</v>
      </c>
    </row>
    <row r="596" spans="1:8" x14ac:dyDescent="0.35">
      <c r="A596" s="1" t="s">
        <v>452</v>
      </c>
    </row>
    <row r="597" spans="1:8" x14ac:dyDescent="0.35">
      <c r="A597" t="s">
        <v>219</v>
      </c>
      <c r="B597" t="s">
        <v>298</v>
      </c>
      <c r="C597" t="s">
        <v>299</v>
      </c>
      <c r="D597" t="s">
        <v>277</v>
      </c>
      <c r="E597" t="s">
        <v>226</v>
      </c>
    </row>
    <row r="598" spans="1:8" x14ac:dyDescent="0.35">
      <c r="A598" t="s">
        <v>227</v>
      </c>
      <c r="B598" s="2">
        <v>0.96530000000000005</v>
      </c>
      <c r="C598" s="2">
        <v>3.0099999999999998E-2</v>
      </c>
      <c r="D598" s="2">
        <v>4.7000000000000002E-3</v>
      </c>
      <c r="E598">
        <v>968</v>
      </c>
    </row>
    <row r="599" spans="1:8" x14ac:dyDescent="0.35">
      <c r="A599" t="s">
        <v>228</v>
      </c>
      <c r="B599" s="2">
        <v>0.96530000000000005</v>
      </c>
      <c r="C599" s="2">
        <v>3.0099999999999998E-2</v>
      </c>
      <c r="D599" s="2">
        <v>4.7000000000000002E-3</v>
      </c>
      <c r="E599">
        <v>968</v>
      </c>
    </row>
    <row r="601" spans="1:8" x14ac:dyDescent="0.35">
      <c r="A601" s="1" t="s">
        <v>453</v>
      </c>
    </row>
    <row r="602" spans="1:8" x14ac:dyDescent="0.35">
      <c r="A602" t="s">
        <v>219</v>
      </c>
      <c r="B602" t="s">
        <v>301</v>
      </c>
      <c r="C602" t="s">
        <v>298</v>
      </c>
      <c r="D602" t="s">
        <v>299</v>
      </c>
      <c r="E602" t="s">
        <v>277</v>
      </c>
      <c r="F602" t="s">
        <v>226</v>
      </c>
    </row>
    <row r="603" spans="1:8" x14ac:dyDescent="0.35">
      <c r="A603" t="s">
        <v>227</v>
      </c>
      <c r="B603" t="s">
        <v>238</v>
      </c>
      <c r="C603" s="2">
        <v>0.95250000000000001</v>
      </c>
      <c r="D603" s="2">
        <v>4.1599999999999998E-2</v>
      </c>
      <c r="E603" s="2">
        <v>5.7999999999999996E-3</v>
      </c>
      <c r="F603">
        <v>280</v>
      </c>
    </row>
    <row r="604" spans="1:8" x14ac:dyDescent="0.35">
      <c r="A604" t="s">
        <v>227</v>
      </c>
      <c r="B604" t="s">
        <v>237</v>
      </c>
      <c r="C604" s="2">
        <v>0.97060000000000002</v>
      </c>
      <c r="D604" s="2">
        <v>2.52E-2</v>
      </c>
      <c r="E604" s="2">
        <v>4.1999999999999997E-3</v>
      </c>
      <c r="F604">
        <v>688</v>
      </c>
    </row>
    <row r="605" spans="1:8" x14ac:dyDescent="0.35">
      <c r="A605" t="s">
        <v>228</v>
      </c>
      <c r="B605" t="s">
        <v>228</v>
      </c>
      <c r="C605" s="2">
        <v>0.96530000000000005</v>
      </c>
      <c r="D605" s="2">
        <v>3.0099999999999998E-2</v>
      </c>
      <c r="E605" s="2">
        <v>4.7000000000000002E-3</v>
      </c>
      <c r="F605">
        <v>968</v>
      </c>
    </row>
    <row r="607" spans="1:8" x14ac:dyDescent="0.35">
      <c r="A607" s="1" t="s">
        <v>454</v>
      </c>
    </row>
    <row r="608" spans="1:8" x14ac:dyDescent="0.35">
      <c r="A608" t="s">
        <v>219</v>
      </c>
      <c r="B608" t="s">
        <v>301</v>
      </c>
      <c r="C608" t="s">
        <v>298</v>
      </c>
      <c r="D608" t="s">
        <v>299</v>
      </c>
      <c r="E608" t="s">
        <v>277</v>
      </c>
      <c r="F608" t="s">
        <v>226</v>
      </c>
    </row>
    <row r="609" spans="1:6" x14ac:dyDescent="0.35">
      <c r="A609" t="s">
        <v>227</v>
      </c>
      <c r="B609" t="s">
        <v>235</v>
      </c>
      <c r="C609" s="2">
        <v>0.97850000000000004</v>
      </c>
      <c r="D609" s="2">
        <v>2.1499999999999998E-2</v>
      </c>
      <c r="F609">
        <v>409</v>
      </c>
    </row>
    <row r="610" spans="1:6" x14ac:dyDescent="0.35">
      <c r="A610" t="s">
        <v>227</v>
      </c>
      <c r="B610" t="s">
        <v>234</v>
      </c>
      <c r="C610" s="2">
        <v>0.95699999999999996</v>
      </c>
      <c r="D610" s="2">
        <v>3.5400000000000001E-2</v>
      </c>
      <c r="E610" s="2">
        <v>7.6E-3</v>
      </c>
      <c r="F610">
        <v>559</v>
      </c>
    </row>
    <row r="611" spans="1:6" x14ac:dyDescent="0.35">
      <c r="A611" t="s">
        <v>228</v>
      </c>
      <c r="B611" t="s">
        <v>228</v>
      </c>
      <c r="C611" s="2">
        <v>0.96530000000000005</v>
      </c>
      <c r="D611" s="2">
        <v>3.0099999999999998E-2</v>
      </c>
      <c r="E611" s="2">
        <v>4.7000000000000002E-3</v>
      </c>
      <c r="F611">
        <v>968</v>
      </c>
    </row>
    <row r="613" spans="1:6" x14ac:dyDescent="0.35">
      <c r="A613" s="1" t="s">
        <v>455</v>
      </c>
    </row>
    <row r="614" spans="1:6" x14ac:dyDescent="0.35">
      <c r="A614" t="s">
        <v>219</v>
      </c>
      <c r="B614" t="s">
        <v>301</v>
      </c>
      <c r="C614" t="s">
        <v>298</v>
      </c>
      <c r="D614" t="s">
        <v>299</v>
      </c>
      <c r="E614" t="s">
        <v>277</v>
      </c>
      <c r="F614" t="s">
        <v>226</v>
      </c>
    </row>
    <row r="615" spans="1:6" x14ac:dyDescent="0.35">
      <c r="A615" t="s">
        <v>227</v>
      </c>
      <c r="B615" t="s">
        <v>240</v>
      </c>
      <c r="C615" s="2">
        <v>0.96789999999999998</v>
      </c>
      <c r="D615" s="2">
        <v>2.7799999999999998E-2</v>
      </c>
      <c r="E615" s="2">
        <v>4.3E-3</v>
      </c>
      <c r="F615">
        <v>695</v>
      </c>
    </row>
    <row r="616" spans="1:6" x14ac:dyDescent="0.35">
      <c r="A616" t="s">
        <v>227</v>
      </c>
      <c r="B616" t="s">
        <v>242</v>
      </c>
      <c r="C616" s="2">
        <v>0.95940000000000003</v>
      </c>
      <c r="D616" s="2">
        <v>3.5099999999999999E-2</v>
      </c>
      <c r="E616" s="2">
        <v>5.4999999999999997E-3</v>
      </c>
      <c r="F616">
        <v>273</v>
      </c>
    </row>
    <row r="617" spans="1:6" x14ac:dyDescent="0.35">
      <c r="A617" t="s">
        <v>228</v>
      </c>
      <c r="B617" t="s">
        <v>228</v>
      </c>
      <c r="C617" s="2">
        <v>0.96530000000000005</v>
      </c>
      <c r="D617" s="2">
        <v>3.0099999999999998E-2</v>
      </c>
      <c r="E617" s="2">
        <v>4.7000000000000002E-3</v>
      </c>
      <c r="F617">
        <v>968</v>
      </c>
    </row>
    <row r="619" spans="1:6" x14ac:dyDescent="0.35">
      <c r="A619" s="1" t="s">
        <v>456</v>
      </c>
    </row>
    <row r="620" spans="1:6" x14ac:dyDescent="0.35">
      <c r="A620" t="s">
        <v>219</v>
      </c>
      <c r="B620" t="s">
        <v>301</v>
      </c>
      <c r="C620" t="s">
        <v>298</v>
      </c>
      <c r="D620" t="s">
        <v>299</v>
      </c>
      <c r="E620" t="s">
        <v>277</v>
      </c>
      <c r="F620" t="s">
        <v>226</v>
      </c>
    </row>
    <row r="621" spans="1:6" x14ac:dyDescent="0.35">
      <c r="A621" t="s">
        <v>227</v>
      </c>
      <c r="B621" t="s">
        <v>334</v>
      </c>
      <c r="C621" s="2">
        <v>0.97860000000000003</v>
      </c>
      <c r="D621" s="2">
        <v>2.1399999999999999E-2</v>
      </c>
      <c r="F621">
        <v>290</v>
      </c>
    </row>
    <row r="622" spans="1:6" x14ac:dyDescent="0.35">
      <c r="A622" t="s">
        <v>227</v>
      </c>
      <c r="B622" t="s">
        <v>335</v>
      </c>
      <c r="C622" s="2">
        <v>0.96499999999999997</v>
      </c>
      <c r="D622" s="2">
        <v>3.5000000000000003E-2</v>
      </c>
      <c r="F622">
        <v>157</v>
      </c>
    </row>
    <row r="623" spans="1:6" x14ac:dyDescent="0.35">
      <c r="A623" t="s">
        <v>227</v>
      </c>
      <c r="B623" t="s">
        <v>336</v>
      </c>
      <c r="C623" s="2">
        <v>0.99199999999999999</v>
      </c>
      <c r="D623" s="2">
        <v>8.0000000000000002E-3</v>
      </c>
      <c r="F623">
        <v>227</v>
      </c>
    </row>
    <row r="624" spans="1:6" x14ac:dyDescent="0.35">
      <c r="A624" t="s">
        <v>227</v>
      </c>
      <c r="B624" t="s">
        <v>337</v>
      </c>
      <c r="C624" s="2">
        <v>0.91800000000000004</v>
      </c>
      <c r="D624" s="2">
        <v>7.0599999999999996E-2</v>
      </c>
      <c r="E624" s="2">
        <v>1.15E-2</v>
      </c>
      <c r="F624">
        <v>171</v>
      </c>
    </row>
    <row r="625" spans="1:6" x14ac:dyDescent="0.35">
      <c r="A625" t="s">
        <v>228</v>
      </c>
      <c r="B625" t="s">
        <v>228</v>
      </c>
      <c r="C625" s="2">
        <v>0.96530000000000005</v>
      </c>
      <c r="D625" s="2">
        <v>3.0099999999999998E-2</v>
      </c>
      <c r="E625" s="2">
        <v>4.7000000000000002E-3</v>
      </c>
      <c r="F625">
        <v>845</v>
      </c>
    </row>
    <row r="627" spans="1:6" x14ac:dyDescent="0.35">
      <c r="A627" s="1" t="s">
        <v>457</v>
      </c>
    </row>
    <row r="628" spans="1:6" x14ac:dyDescent="0.35">
      <c r="A628" t="s">
        <v>219</v>
      </c>
      <c r="B628" t="s">
        <v>301</v>
      </c>
      <c r="C628" t="s">
        <v>298</v>
      </c>
      <c r="D628" t="s">
        <v>299</v>
      </c>
      <c r="E628" t="s">
        <v>277</v>
      </c>
      <c r="F628" t="s">
        <v>226</v>
      </c>
    </row>
    <row r="629" spans="1:6" x14ac:dyDescent="0.35">
      <c r="A629" t="s">
        <v>227</v>
      </c>
      <c r="B629" t="s">
        <v>263</v>
      </c>
      <c r="C629" s="2">
        <v>0.98419999999999996</v>
      </c>
      <c r="D629" s="2">
        <v>1.5800000000000002E-2</v>
      </c>
      <c r="F629">
        <v>137</v>
      </c>
    </row>
    <row r="630" spans="1:6" x14ac:dyDescent="0.35">
      <c r="A630" t="s">
        <v>227</v>
      </c>
      <c r="B630" t="s">
        <v>262</v>
      </c>
      <c r="C630" s="2">
        <v>0.95309999999999995</v>
      </c>
      <c r="D630" s="2">
        <v>3.6499999999999998E-2</v>
      </c>
      <c r="E630" s="2">
        <v>1.04E-2</v>
      </c>
      <c r="F630">
        <v>318</v>
      </c>
    </row>
    <row r="631" spans="1:6" x14ac:dyDescent="0.35">
      <c r="A631" t="s">
        <v>227</v>
      </c>
      <c r="B631" t="s">
        <v>261</v>
      </c>
      <c r="C631" s="2">
        <v>0.9667</v>
      </c>
      <c r="D631" s="2">
        <v>3.0300000000000001E-2</v>
      </c>
      <c r="E631" s="2">
        <v>3.0000000000000001E-3</v>
      </c>
      <c r="F631">
        <v>513</v>
      </c>
    </row>
    <row r="632" spans="1:6" x14ac:dyDescent="0.35">
      <c r="A632" t="s">
        <v>228</v>
      </c>
      <c r="B632" t="s">
        <v>228</v>
      </c>
      <c r="C632" s="2">
        <v>0.96530000000000005</v>
      </c>
      <c r="D632" s="2">
        <v>3.0099999999999998E-2</v>
      </c>
      <c r="E632" s="2">
        <v>4.7000000000000002E-3</v>
      </c>
      <c r="F632">
        <v>968</v>
      </c>
    </row>
    <row r="634" spans="1:6" x14ac:dyDescent="0.35">
      <c r="A634" s="1" t="s">
        <v>458</v>
      </c>
    </row>
    <row r="635" spans="1:6" x14ac:dyDescent="0.35">
      <c r="A635" t="s">
        <v>219</v>
      </c>
      <c r="B635" t="s">
        <v>301</v>
      </c>
      <c r="C635" t="s">
        <v>298</v>
      </c>
      <c r="D635" t="s">
        <v>299</v>
      </c>
      <c r="E635" t="s">
        <v>277</v>
      </c>
      <c r="F635" t="s">
        <v>226</v>
      </c>
    </row>
    <row r="636" spans="1:6" x14ac:dyDescent="0.35">
      <c r="A636" s="3" t="s">
        <v>227</v>
      </c>
      <c r="B636" s="3" t="s">
        <v>248</v>
      </c>
      <c r="C636" s="4">
        <v>1</v>
      </c>
      <c r="D636" s="5"/>
      <c r="E636" s="5"/>
      <c r="F636" s="5" t="s">
        <v>366</v>
      </c>
    </row>
    <row r="637" spans="1:6" x14ac:dyDescent="0.35">
      <c r="A637" t="s">
        <v>227</v>
      </c>
      <c r="B637" t="s">
        <v>249</v>
      </c>
      <c r="C637" s="2">
        <v>0.96699999999999997</v>
      </c>
      <c r="D637" s="2">
        <v>3.0800000000000001E-2</v>
      </c>
      <c r="E637" s="2">
        <v>2.2000000000000001E-3</v>
      </c>
      <c r="F637">
        <v>205</v>
      </c>
    </row>
    <row r="638" spans="1:6" x14ac:dyDescent="0.35">
      <c r="A638" t="s">
        <v>227</v>
      </c>
      <c r="B638" t="s">
        <v>247</v>
      </c>
      <c r="C638" s="2">
        <v>0.96399999999999997</v>
      </c>
      <c r="D638" s="2">
        <v>3.0599999999999999E-2</v>
      </c>
      <c r="E638" s="2">
        <v>5.4000000000000003E-3</v>
      </c>
      <c r="F638">
        <v>756</v>
      </c>
    </row>
    <row r="639" spans="1:6" x14ac:dyDescent="0.35">
      <c r="A639" t="s">
        <v>228</v>
      </c>
      <c r="B639" t="s">
        <v>228</v>
      </c>
      <c r="C639" s="2">
        <v>0.96530000000000005</v>
      </c>
      <c r="D639" s="2">
        <v>3.0099999999999998E-2</v>
      </c>
      <c r="E639" s="2">
        <v>4.7000000000000002E-3</v>
      </c>
      <c r="F639">
        <v>968</v>
      </c>
    </row>
    <row r="641" spans="1:6" x14ac:dyDescent="0.35">
      <c r="A641" s="1" t="s">
        <v>459</v>
      </c>
    </row>
    <row r="642" spans="1:6" x14ac:dyDescent="0.35">
      <c r="A642" t="s">
        <v>219</v>
      </c>
      <c r="B642" t="s">
        <v>301</v>
      </c>
      <c r="C642" t="s">
        <v>298</v>
      </c>
      <c r="D642" t="s">
        <v>299</v>
      </c>
      <c r="E642" t="s">
        <v>277</v>
      </c>
      <c r="F642" t="s">
        <v>226</v>
      </c>
    </row>
    <row r="643" spans="1:6" x14ac:dyDescent="0.35">
      <c r="A643" s="3" t="s">
        <v>227</v>
      </c>
      <c r="B643" s="3" t="s">
        <v>259</v>
      </c>
      <c r="C643" s="4">
        <v>1</v>
      </c>
      <c r="D643" s="5"/>
      <c r="E643" s="5"/>
      <c r="F643" s="5" t="s">
        <v>368</v>
      </c>
    </row>
    <row r="644" spans="1:6" x14ac:dyDescent="0.35">
      <c r="A644" t="s">
        <v>227</v>
      </c>
      <c r="B644" t="s">
        <v>257</v>
      </c>
      <c r="C644" s="2">
        <v>0.91930000000000001</v>
      </c>
      <c r="D644" s="2">
        <v>8.0699999999999994E-2</v>
      </c>
      <c r="F644">
        <v>159</v>
      </c>
    </row>
    <row r="645" spans="1:6" x14ac:dyDescent="0.35">
      <c r="A645" t="s">
        <v>227</v>
      </c>
      <c r="B645" t="s">
        <v>256</v>
      </c>
      <c r="C645" s="2">
        <v>0.98819999999999997</v>
      </c>
      <c r="D645" s="2">
        <v>4.7000000000000002E-3</v>
      </c>
      <c r="E645" s="2">
        <v>7.0000000000000001E-3</v>
      </c>
      <c r="F645">
        <v>517</v>
      </c>
    </row>
    <row r="646" spans="1:6" x14ac:dyDescent="0.35">
      <c r="A646" s="3" t="s">
        <v>227</v>
      </c>
      <c r="B646" s="3" t="s">
        <v>232</v>
      </c>
      <c r="C646" s="4">
        <v>1</v>
      </c>
      <c r="D646" s="5"/>
      <c r="E646" s="5"/>
      <c r="F646" s="5" t="s">
        <v>341</v>
      </c>
    </row>
    <row r="647" spans="1:6" x14ac:dyDescent="0.35">
      <c r="A647" t="s">
        <v>227</v>
      </c>
      <c r="B647" t="s">
        <v>258</v>
      </c>
      <c r="C647" s="2">
        <v>0.92949999999999999</v>
      </c>
      <c r="D647" s="2">
        <v>6.8599999999999994E-2</v>
      </c>
      <c r="E647" s="2">
        <v>1.9E-3</v>
      </c>
      <c r="F647">
        <v>264</v>
      </c>
    </row>
    <row r="648" spans="1:6" x14ac:dyDescent="0.35">
      <c r="A648" t="s">
        <v>228</v>
      </c>
      <c r="B648" t="s">
        <v>228</v>
      </c>
      <c r="C648" s="2">
        <v>0.96530000000000005</v>
      </c>
      <c r="D648" s="2">
        <v>3.0099999999999998E-2</v>
      </c>
      <c r="E648" s="2">
        <v>4.7000000000000002E-3</v>
      </c>
      <c r="F648">
        <v>968</v>
      </c>
    </row>
    <row r="650" spans="1:6" x14ac:dyDescent="0.35">
      <c r="A650" s="1" t="s">
        <v>460</v>
      </c>
    </row>
    <row r="651" spans="1:6" x14ac:dyDescent="0.35">
      <c r="A651" t="s">
        <v>219</v>
      </c>
      <c r="B651" t="s">
        <v>301</v>
      </c>
      <c r="C651" t="s">
        <v>298</v>
      </c>
      <c r="D651" t="s">
        <v>299</v>
      </c>
      <c r="E651" t="s">
        <v>277</v>
      </c>
      <c r="F651" t="s">
        <v>226</v>
      </c>
    </row>
    <row r="652" spans="1:6" x14ac:dyDescent="0.35">
      <c r="A652" t="s">
        <v>227</v>
      </c>
      <c r="B652" t="s">
        <v>343</v>
      </c>
      <c r="C652" s="2">
        <v>0.91930000000000001</v>
      </c>
      <c r="D652" s="2">
        <v>8.0699999999999994E-2</v>
      </c>
      <c r="F652">
        <v>159</v>
      </c>
    </row>
    <row r="653" spans="1:6" x14ac:dyDescent="0.35">
      <c r="A653" t="s">
        <v>227</v>
      </c>
      <c r="B653" t="s">
        <v>344</v>
      </c>
      <c r="C653" s="2">
        <v>0.97319999999999995</v>
      </c>
      <c r="D653" s="2">
        <v>2.1299999999999999E-2</v>
      </c>
      <c r="E653" s="2">
        <v>5.4999999999999997E-3</v>
      </c>
      <c r="F653">
        <v>809</v>
      </c>
    </row>
    <row r="654" spans="1:6" x14ac:dyDescent="0.35">
      <c r="A654" t="s">
        <v>228</v>
      </c>
      <c r="B654" t="s">
        <v>228</v>
      </c>
      <c r="C654" s="2">
        <v>0.96530000000000005</v>
      </c>
      <c r="D654" s="2">
        <v>3.0099999999999998E-2</v>
      </c>
      <c r="E654" s="2">
        <v>4.7000000000000002E-3</v>
      </c>
      <c r="F654">
        <v>968</v>
      </c>
    </row>
    <row r="656" spans="1:6" x14ac:dyDescent="0.35">
      <c r="A656" s="1" t="s">
        <v>461</v>
      </c>
    </row>
    <row r="657" spans="1:6" x14ac:dyDescent="0.35">
      <c r="A657" t="s">
        <v>219</v>
      </c>
      <c r="B657" t="s">
        <v>301</v>
      </c>
      <c r="C657" t="s">
        <v>298</v>
      </c>
      <c r="D657" t="s">
        <v>299</v>
      </c>
      <c r="E657" t="s">
        <v>277</v>
      </c>
      <c r="F657" t="s">
        <v>226</v>
      </c>
    </row>
    <row r="658" spans="1:6" x14ac:dyDescent="0.35">
      <c r="A658" t="s">
        <v>227</v>
      </c>
      <c r="B658" t="s">
        <v>346</v>
      </c>
      <c r="C658" s="2">
        <v>0.96919999999999995</v>
      </c>
      <c r="D658" s="2">
        <v>2.5999999999999999E-2</v>
      </c>
      <c r="E658" s="2">
        <v>4.7000000000000002E-3</v>
      </c>
      <c r="F658">
        <v>570</v>
      </c>
    </row>
    <row r="659" spans="1:6" x14ac:dyDescent="0.35">
      <c r="A659" t="s">
        <v>227</v>
      </c>
      <c r="B659" t="s">
        <v>347</v>
      </c>
      <c r="C659" s="2">
        <v>0.90100000000000002</v>
      </c>
      <c r="D659" s="2">
        <v>9.9000000000000005E-2</v>
      </c>
      <c r="F659">
        <v>167</v>
      </c>
    </row>
    <row r="660" spans="1:6" x14ac:dyDescent="0.35">
      <c r="A660" t="s">
        <v>227</v>
      </c>
      <c r="B660" t="s">
        <v>348</v>
      </c>
      <c r="C660" s="2">
        <v>0.94310000000000005</v>
      </c>
      <c r="D660" s="2">
        <v>5.11E-2</v>
      </c>
      <c r="E660" s="2">
        <v>5.8999999999999999E-3</v>
      </c>
      <c r="F660">
        <v>231</v>
      </c>
    </row>
    <row r="661" spans="1:6" x14ac:dyDescent="0.35">
      <c r="A661" t="s">
        <v>228</v>
      </c>
      <c r="B661" t="s">
        <v>228</v>
      </c>
      <c r="C661" s="2">
        <v>0.96530000000000005</v>
      </c>
      <c r="D661" s="2">
        <v>3.0099999999999998E-2</v>
      </c>
      <c r="E661" s="2">
        <v>4.7000000000000002E-3</v>
      </c>
      <c r="F661">
        <v>968</v>
      </c>
    </row>
    <row r="663" spans="1:6" x14ac:dyDescent="0.35">
      <c r="A663" s="1" t="s">
        <v>462</v>
      </c>
    </row>
    <row r="664" spans="1:6" x14ac:dyDescent="0.35">
      <c r="A664" t="s">
        <v>219</v>
      </c>
      <c r="B664" t="s">
        <v>301</v>
      </c>
      <c r="C664" t="s">
        <v>298</v>
      </c>
      <c r="D664" t="s">
        <v>299</v>
      </c>
      <c r="E664" t="s">
        <v>277</v>
      </c>
      <c r="F664" t="s">
        <v>226</v>
      </c>
    </row>
    <row r="665" spans="1:6" x14ac:dyDescent="0.35">
      <c r="A665" t="s">
        <v>227</v>
      </c>
      <c r="B665" t="s">
        <v>350</v>
      </c>
      <c r="C665" s="2">
        <v>0.95630000000000004</v>
      </c>
      <c r="D665" s="2">
        <v>3.7199999999999997E-2</v>
      </c>
      <c r="E665" s="2">
        <v>6.4999999999999997E-3</v>
      </c>
      <c r="F665">
        <v>398</v>
      </c>
    </row>
    <row r="666" spans="1:6" x14ac:dyDescent="0.35">
      <c r="A666" t="s">
        <v>227</v>
      </c>
      <c r="B666" t="s">
        <v>351</v>
      </c>
      <c r="C666" s="2">
        <v>0.98380000000000001</v>
      </c>
      <c r="D666" s="2">
        <v>1.44E-2</v>
      </c>
      <c r="E666" s="2">
        <v>1.8E-3</v>
      </c>
      <c r="F666">
        <v>218</v>
      </c>
    </row>
    <row r="667" spans="1:6" x14ac:dyDescent="0.35">
      <c r="A667" t="s">
        <v>227</v>
      </c>
      <c r="B667" t="s">
        <v>352</v>
      </c>
      <c r="C667" s="2">
        <v>0.96379999999999999</v>
      </c>
      <c r="D667" s="2">
        <v>3.6200000000000003E-2</v>
      </c>
      <c r="F667">
        <v>93</v>
      </c>
    </row>
    <row r="668" spans="1:6" x14ac:dyDescent="0.35">
      <c r="A668" t="s">
        <v>227</v>
      </c>
      <c r="B668" t="s">
        <v>353</v>
      </c>
      <c r="C668" s="2">
        <v>0.96230000000000004</v>
      </c>
      <c r="D668" s="2">
        <v>3.1199999999999999E-2</v>
      </c>
      <c r="E668" s="2">
        <v>6.4999999999999997E-3</v>
      </c>
      <c r="F668">
        <v>259</v>
      </c>
    </row>
    <row r="669" spans="1:6" x14ac:dyDescent="0.35">
      <c r="A669" t="s">
        <v>228</v>
      </c>
      <c r="B669" t="s">
        <v>228</v>
      </c>
      <c r="C669" s="2">
        <v>0.96530000000000005</v>
      </c>
      <c r="D669" s="2">
        <v>3.0099999999999998E-2</v>
      </c>
      <c r="E669" s="2">
        <v>4.7000000000000002E-3</v>
      </c>
      <c r="F669">
        <v>968</v>
      </c>
    </row>
    <row r="671" spans="1:6" x14ac:dyDescent="0.35">
      <c r="A671" s="1" t="s">
        <v>463</v>
      </c>
    </row>
    <row r="672" spans="1:6" x14ac:dyDescent="0.35">
      <c r="A672" t="s">
        <v>219</v>
      </c>
      <c r="B672" t="s">
        <v>301</v>
      </c>
      <c r="C672" t="s">
        <v>298</v>
      </c>
      <c r="D672" t="s">
        <v>299</v>
      </c>
      <c r="E672" t="s">
        <v>277</v>
      </c>
      <c r="F672" t="s">
        <v>226</v>
      </c>
    </row>
    <row r="673" spans="1:7" x14ac:dyDescent="0.35">
      <c r="A673" t="s">
        <v>227</v>
      </c>
      <c r="B673" t="s">
        <v>231</v>
      </c>
      <c r="C673" s="2">
        <v>0.95789999999999997</v>
      </c>
      <c r="D673" s="2">
        <v>3.6200000000000003E-2</v>
      </c>
      <c r="E673" s="2">
        <v>5.8999999999999999E-3</v>
      </c>
      <c r="F673">
        <v>483</v>
      </c>
    </row>
    <row r="674" spans="1:7" x14ac:dyDescent="0.35">
      <c r="A674" s="3" t="s">
        <v>227</v>
      </c>
      <c r="B674" s="3" t="s">
        <v>232</v>
      </c>
      <c r="C674" s="4">
        <v>1</v>
      </c>
      <c r="D674" s="5"/>
      <c r="E674" s="5"/>
      <c r="F674" s="5" t="s">
        <v>323</v>
      </c>
    </row>
    <row r="675" spans="1:7" x14ac:dyDescent="0.35">
      <c r="A675" t="s">
        <v>227</v>
      </c>
      <c r="B675" t="s">
        <v>230</v>
      </c>
      <c r="C675" s="2">
        <v>0.97270000000000001</v>
      </c>
      <c r="D675" s="2">
        <v>2.3800000000000002E-2</v>
      </c>
      <c r="E675" s="2">
        <v>3.5000000000000001E-3</v>
      </c>
      <c r="F675">
        <v>484</v>
      </c>
    </row>
    <row r="676" spans="1:7" x14ac:dyDescent="0.35">
      <c r="A676" t="s">
        <v>228</v>
      </c>
      <c r="B676" t="s">
        <v>228</v>
      </c>
      <c r="C676" s="2">
        <v>0.96530000000000005</v>
      </c>
      <c r="D676" s="2">
        <v>3.0099999999999998E-2</v>
      </c>
      <c r="E676" s="2">
        <v>4.7000000000000002E-3</v>
      </c>
      <c r="F676">
        <v>968</v>
      </c>
    </row>
    <row r="678" spans="1:7" x14ac:dyDescent="0.35">
      <c r="A678" s="1" t="s">
        <v>464</v>
      </c>
    </row>
    <row r="679" spans="1:7" x14ac:dyDescent="0.35">
      <c r="A679" t="s">
        <v>219</v>
      </c>
      <c r="B679" t="s">
        <v>301</v>
      </c>
      <c r="C679" t="s">
        <v>325</v>
      </c>
      <c r="D679" t="s">
        <v>298</v>
      </c>
      <c r="E679" t="s">
        <v>299</v>
      </c>
      <c r="F679" t="s">
        <v>277</v>
      </c>
      <c r="G679" t="s">
        <v>226</v>
      </c>
    </row>
    <row r="680" spans="1:7" x14ac:dyDescent="0.35">
      <c r="A680" t="s">
        <v>227</v>
      </c>
      <c r="B680" t="s">
        <v>231</v>
      </c>
      <c r="C680" t="s">
        <v>350</v>
      </c>
      <c r="D680" s="2">
        <v>0.93320000000000003</v>
      </c>
      <c r="E680" s="2">
        <v>5.4899999999999997E-2</v>
      </c>
      <c r="F680" s="2">
        <v>1.1900000000000001E-2</v>
      </c>
      <c r="G680">
        <v>210</v>
      </c>
    </row>
    <row r="681" spans="1:7" x14ac:dyDescent="0.35">
      <c r="A681" t="s">
        <v>227</v>
      </c>
      <c r="B681" t="s">
        <v>231</v>
      </c>
      <c r="C681" t="s">
        <v>351</v>
      </c>
      <c r="D681" s="2">
        <v>0.99080000000000001</v>
      </c>
      <c r="E681" s="2">
        <v>5.5999999999999999E-3</v>
      </c>
      <c r="F681" s="2">
        <v>3.5999999999999999E-3</v>
      </c>
      <c r="G681">
        <v>116</v>
      </c>
    </row>
    <row r="682" spans="1:7" x14ac:dyDescent="0.35">
      <c r="A682" t="s">
        <v>227</v>
      </c>
      <c r="B682" t="s">
        <v>231</v>
      </c>
      <c r="C682" t="s">
        <v>352</v>
      </c>
      <c r="D682" s="2">
        <v>0.98470000000000002</v>
      </c>
      <c r="E682" s="2">
        <v>1.5299999999999999E-2</v>
      </c>
      <c r="G682">
        <v>45</v>
      </c>
    </row>
    <row r="683" spans="1:7" x14ac:dyDescent="0.35">
      <c r="A683" t="s">
        <v>227</v>
      </c>
      <c r="B683" t="s">
        <v>231</v>
      </c>
      <c r="C683" t="s">
        <v>353</v>
      </c>
      <c r="D683" s="2">
        <v>0.95609999999999995</v>
      </c>
      <c r="E683" s="2">
        <v>4.3900000000000002E-2</v>
      </c>
      <c r="G683">
        <v>112</v>
      </c>
    </row>
    <row r="684" spans="1:7" x14ac:dyDescent="0.35">
      <c r="A684" s="3" t="s">
        <v>227</v>
      </c>
      <c r="B684" s="3" t="s">
        <v>232</v>
      </c>
      <c r="C684" s="3" t="s">
        <v>350</v>
      </c>
      <c r="D684" s="4">
        <v>1</v>
      </c>
      <c r="E684" s="5"/>
      <c r="F684" s="5"/>
      <c r="G684" s="5" t="s">
        <v>323</v>
      </c>
    </row>
    <row r="685" spans="1:7" x14ac:dyDescent="0.35">
      <c r="A685" t="s">
        <v>227</v>
      </c>
      <c r="B685" t="s">
        <v>230</v>
      </c>
      <c r="C685" t="s">
        <v>350</v>
      </c>
      <c r="D685" s="2">
        <v>0.9839</v>
      </c>
      <c r="E685" s="2">
        <v>1.61E-2</v>
      </c>
      <c r="G685">
        <v>187</v>
      </c>
    </row>
    <row r="686" spans="1:7" x14ac:dyDescent="0.35">
      <c r="A686" t="s">
        <v>227</v>
      </c>
      <c r="B686" t="s">
        <v>230</v>
      </c>
      <c r="C686" t="s">
        <v>351</v>
      </c>
      <c r="D686" s="2">
        <v>0.97689999999999999</v>
      </c>
      <c r="E686" s="2">
        <v>2.3099999999999999E-2</v>
      </c>
      <c r="G686">
        <v>102</v>
      </c>
    </row>
    <row r="687" spans="1:7" x14ac:dyDescent="0.35">
      <c r="A687" t="s">
        <v>227</v>
      </c>
      <c r="B687" t="s">
        <v>230</v>
      </c>
      <c r="C687" t="s">
        <v>352</v>
      </c>
      <c r="D687" s="2">
        <v>0.94099999999999995</v>
      </c>
      <c r="E687" s="2">
        <v>5.8999999999999997E-2</v>
      </c>
      <c r="G687">
        <v>48</v>
      </c>
    </row>
    <row r="688" spans="1:7" x14ac:dyDescent="0.35">
      <c r="A688" t="s">
        <v>227</v>
      </c>
      <c r="B688" t="s">
        <v>230</v>
      </c>
      <c r="C688" t="s">
        <v>353</v>
      </c>
      <c r="D688" s="2">
        <v>0.96709999999999996</v>
      </c>
      <c r="E688" s="2">
        <v>2.1399999999999999E-2</v>
      </c>
      <c r="F688" s="2">
        <v>1.1599999999999999E-2</v>
      </c>
      <c r="G688">
        <v>147</v>
      </c>
    </row>
    <row r="689" spans="1:7" x14ac:dyDescent="0.35">
      <c r="A689" t="s">
        <v>228</v>
      </c>
      <c r="B689" t="s">
        <v>228</v>
      </c>
      <c r="C689" t="s">
        <v>228</v>
      </c>
      <c r="D689" s="2">
        <v>0.96530000000000005</v>
      </c>
      <c r="E689" s="2">
        <v>3.0099999999999998E-2</v>
      </c>
      <c r="F689" s="2">
        <v>4.7000000000000002E-3</v>
      </c>
      <c r="G689">
        <v>968</v>
      </c>
    </row>
    <row r="691" spans="1:7" x14ac:dyDescent="0.35">
      <c r="A691" s="1" t="s">
        <v>465</v>
      </c>
    </row>
    <row r="692" spans="1:7" x14ac:dyDescent="0.35">
      <c r="A692" t="s">
        <v>219</v>
      </c>
      <c r="B692" t="s">
        <v>298</v>
      </c>
      <c r="C692" t="s">
        <v>299</v>
      </c>
      <c r="D692" t="s">
        <v>277</v>
      </c>
      <c r="E692" t="s">
        <v>226</v>
      </c>
    </row>
    <row r="693" spans="1:7" x14ac:dyDescent="0.35">
      <c r="A693" t="s">
        <v>227</v>
      </c>
      <c r="B693" s="2">
        <v>0.54110000000000003</v>
      </c>
      <c r="C693" s="2">
        <v>0.45700000000000002</v>
      </c>
      <c r="D693" s="2">
        <v>1.9E-3</v>
      </c>
      <c r="E693">
        <v>6397</v>
      </c>
    </row>
    <row r="694" spans="1:7" x14ac:dyDescent="0.35">
      <c r="A694" t="s">
        <v>228</v>
      </c>
      <c r="B694" s="2">
        <v>0.54110000000000003</v>
      </c>
      <c r="C694" s="2">
        <v>0.45700000000000002</v>
      </c>
      <c r="D694" s="2">
        <v>1.9E-3</v>
      </c>
      <c r="E694">
        <v>6397</v>
      </c>
    </row>
    <row r="696" spans="1:7" x14ac:dyDescent="0.35">
      <c r="A696" s="1" t="s">
        <v>466</v>
      </c>
    </row>
    <row r="697" spans="1:7" x14ac:dyDescent="0.35">
      <c r="A697" t="s">
        <v>219</v>
      </c>
      <c r="B697" t="s">
        <v>301</v>
      </c>
      <c r="C697" t="s">
        <v>298</v>
      </c>
      <c r="D697" t="s">
        <v>299</v>
      </c>
      <c r="E697" t="s">
        <v>277</v>
      </c>
      <c r="F697" t="s">
        <v>226</v>
      </c>
    </row>
    <row r="698" spans="1:7" x14ac:dyDescent="0.35">
      <c r="A698" t="s">
        <v>227</v>
      </c>
      <c r="B698" t="s">
        <v>238</v>
      </c>
      <c r="C698" s="2">
        <v>0.41849999999999998</v>
      </c>
      <c r="D698" s="2">
        <v>0.57899999999999996</v>
      </c>
      <c r="E698" s="2">
        <v>2.5000000000000001E-3</v>
      </c>
      <c r="F698">
        <v>2413</v>
      </c>
    </row>
    <row r="699" spans="1:7" x14ac:dyDescent="0.35">
      <c r="A699" t="s">
        <v>227</v>
      </c>
      <c r="B699" t="s">
        <v>237</v>
      </c>
      <c r="C699" s="2">
        <v>0.61960000000000004</v>
      </c>
      <c r="D699" s="2">
        <v>0.37880000000000003</v>
      </c>
      <c r="E699" s="2">
        <v>1.5E-3</v>
      </c>
      <c r="F699">
        <v>3984</v>
      </c>
    </row>
    <row r="700" spans="1:7" x14ac:dyDescent="0.35">
      <c r="A700" t="s">
        <v>228</v>
      </c>
      <c r="B700" t="s">
        <v>228</v>
      </c>
      <c r="C700" s="2">
        <v>0.54110000000000003</v>
      </c>
      <c r="D700" s="2">
        <v>0.45700000000000002</v>
      </c>
      <c r="E700" s="2">
        <v>1.9E-3</v>
      </c>
      <c r="F700">
        <v>6397</v>
      </c>
    </row>
    <row r="702" spans="1:7" x14ac:dyDescent="0.35">
      <c r="A702" s="1" t="s">
        <v>467</v>
      </c>
    </row>
    <row r="703" spans="1:7" x14ac:dyDescent="0.35">
      <c r="A703" t="s">
        <v>219</v>
      </c>
      <c r="B703" t="s">
        <v>301</v>
      </c>
      <c r="C703" t="s">
        <v>298</v>
      </c>
      <c r="D703" t="s">
        <v>299</v>
      </c>
      <c r="E703" t="s">
        <v>277</v>
      </c>
      <c r="F703" t="s">
        <v>226</v>
      </c>
    </row>
    <row r="704" spans="1:7" x14ac:dyDescent="0.35">
      <c r="A704" t="s">
        <v>227</v>
      </c>
      <c r="B704" t="s">
        <v>235</v>
      </c>
      <c r="C704" s="2">
        <v>0.54369999999999996</v>
      </c>
      <c r="D704" s="2">
        <v>0.45550000000000002</v>
      </c>
      <c r="E704" s="2">
        <v>8.0000000000000004E-4</v>
      </c>
      <c r="F704">
        <v>2414</v>
      </c>
    </row>
    <row r="705" spans="1:6" x14ac:dyDescent="0.35">
      <c r="A705" t="s">
        <v>227</v>
      </c>
      <c r="B705" t="s">
        <v>234</v>
      </c>
      <c r="C705" s="2">
        <v>0.53969999999999996</v>
      </c>
      <c r="D705" s="2">
        <v>0.45779999999999998</v>
      </c>
      <c r="E705" s="2">
        <v>2.5000000000000001E-3</v>
      </c>
      <c r="F705">
        <v>3983</v>
      </c>
    </row>
    <row r="706" spans="1:6" x14ac:dyDescent="0.35">
      <c r="A706" t="s">
        <v>228</v>
      </c>
      <c r="B706" t="s">
        <v>228</v>
      </c>
      <c r="C706" s="2">
        <v>0.54110000000000003</v>
      </c>
      <c r="D706" s="2">
        <v>0.45700000000000002</v>
      </c>
      <c r="E706" s="2">
        <v>1.9E-3</v>
      </c>
      <c r="F706">
        <v>6397</v>
      </c>
    </row>
    <row r="708" spans="1:6" x14ac:dyDescent="0.35">
      <c r="A708" s="1" t="s">
        <v>468</v>
      </c>
    </row>
    <row r="709" spans="1:6" x14ac:dyDescent="0.35">
      <c r="A709" t="s">
        <v>219</v>
      </c>
      <c r="B709" t="s">
        <v>301</v>
      </c>
      <c r="C709" t="s">
        <v>298</v>
      </c>
      <c r="D709" t="s">
        <v>299</v>
      </c>
      <c r="E709" t="s">
        <v>277</v>
      </c>
      <c r="F709" t="s">
        <v>226</v>
      </c>
    </row>
    <row r="710" spans="1:6" x14ac:dyDescent="0.35">
      <c r="A710" t="s">
        <v>227</v>
      </c>
      <c r="B710" t="s">
        <v>240</v>
      </c>
      <c r="C710" s="2">
        <v>0.53169999999999995</v>
      </c>
      <c r="D710" s="2">
        <v>0.46600000000000003</v>
      </c>
      <c r="E710" s="2">
        <v>2.3E-3</v>
      </c>
      <c r="F710">
        <v>4579</v>
      </c>
    </row>
    <row r="711" spans="1:6" x14ac:dyDescent="0.35">
      <c r="A711" t="s">
        <v>227</v>
      </c>
      <c r="B711" t="s">
        <v>241</v>
      </c>
      <c r="C711" s="2">
        <v>0.51080000000000003</v>
      </c>
      <c r="D711" s="2">
        <v>0.4884</v>
      </c>
      <c r="E711" s="2">
        <v>8.0000000000000004E-4</v>
      </c>
      <c r="F711">
        <v>891</v>
      </c>
    </row>
    <row r="712" spans="1:6" x14ac:dyDescent="0.35">
      <c r="A712" t="s">
        <v>227</v>
      </c>
      <c r="B712" t="s">
        <v>242</v>
      </c>
      <c r="C712" s="2">
        <v>0.60629999999999995</v>
      </c>
      <c r="D712" s="2">
        <v>0.39279999999999998</v>
      </c>
      <c r="E712" s="2">
        <v>8.9999999999999998E-4</v>
      </c>
      <c r="F712">
        <v>927</v>
      </c>
    </row>
    <row r="713" spans="1:6" x14ac:dyDescent="0.35">
      <c r="A713" t="s">
        <v>228</v>
      </c>
      <c r="B713" t="s">
        <v>228</v>
      </c>
      <c r="C713" s="2">
        <v>0.54110000000000003</v>
      </c>
      <c r="D713" s="2">
        <v>0.45700000000000002</v>
      </c>
      <c r="E713" s="2">
        <v>1.9E-3</v>
      </c>
      <c r="F713">
        <v>6397</v>
      </c>
    </row>
    <row r="715" spans="1:6" x14ac:dyDescent="0.35">
      <c r="A715" s="1" t="s">
        <v>469</v>
      </c>
    </row>
    <row r="716" spans="1:6" x14ac:dyDescent="0.35">
      <c r="A716" t="s">
        <v>219</v>
      </c>
      <c r="B716" t="s">
        <v>301</v>
      </c>
      <c r="C716" t="s">
        <v>298</v>
      </c>
      <c r="D716" t="s">
        <v>299</v>
      </c>
      <c r="E716" t="s">
        <v>277</v>
      </c>
      <c r="F716" t="s">
        <v>226</v>
      </c>
    </row>
    <row r="717" spans="1:6" x14ac:dyDescent="0.35">
      <c r="A717" t="s">
        <v>227</v>
      </c>
      <c r="B717" t="s">
        <v>334</v>
      </c>
      <c r="C717" s="2">
        <v>0.53590000000000004</v>
      </c>
      <c r="D717" s="2">
        <v>0.46329999999999999</v>
      </c>
      <c r="E717" s="2">
        <v>6.9999999999999999E-4</v>
      </c>
      <c r="F717">
        <v>1584</v>
      </c>
    </row>
    <row r="718" spans="1:6" x14ac:dyDescent="0.35">
      <c r="A718" t="s">
        <v>227</v>
      </c>
      <c r="B718" t="s">
        <v>335</v>
      </c>
      <c r="C718" s="2">
        <v>0.57030000000000003</v>
      </c>
      <c r="D718" s="2">
        <v>0.42799999999999999</v>
      </c>
      <c r="E718" s="2">
        <v>1.6999999999999999E-3</v>
      </c>
      <c r="F718">
        <v>1290</v>
      </c>
    </row>
    <row r="719" spans="1:6" x14ac:dyDescent="0.35">
      <c r="A719" t="s">
        <v>227</v>
      </c>
      <c r="B719" t="s">
        <v>336</v>
      </c>
      <c r="C719" s="2">
        <v>0.52639999999999998</v>
      </c>
      <c r="D719" s="2">
        <v>0.47320000000000001</v>
      </c>
      <c r="E719" s="2">
        <v>4.0000000000000002E-4</v>
      </c>
      <c r="F719">
        <v>1393</v>
      </c>
    </row>
    <row r="720" spans="1:6" x14ac:dyDescent="0.35">
      <c r="A720" t="s">
        <v>227</v>
      </c>
      <c r="B720" t="s">
        <v>337</v>
      </c>
      <c r="C720" s="2">
        <v>0.52290000000000003</v>
      </c>
      <c r="D720" s="2">
        <v>0.4733</v>
      </c>
      <c r="E720" s="2">
        <v>3.8E-3</v>
      </c>
      <c r="F720">
        <v>1328</v>
      </c>
    </row>
    <row r="721" spans="1:6" x14ac:dyDescent="0.35">
      <c r="A721" t="s">
        <v>228</v>
      </c>
      <c r="B721" t="s">
        <v>228</v>
      </c>
      <c r="C721" s="2">
        <v>0.54110000000000003</v>
      </c>
      <c r="D721" s="2">
        <v>0.45700000000000002</v>
      </c>
      <c r="E721" s="2">
        <v>1.9E-3</v>
      </c>
      <c r="F721">
        <v>5595</v>
      </c>
    </row>
    <row r="723" spans="1:6" x14ac:dyDescent="0.35">
      <c r="A723" s="1" t="s">
        <v>470</v>
      </c>
    </row>
    <row r="724" spans="1:6" x14ac:dyDescent="0.35">
      <c r="A724" t="s">
        <v>219</v>
      </c>
      <c r="B724" t="s">
        <v>301</v>
      </c>
      <c r="C724" t="s">
        <v>298</v>
      </c>
      <c r="D724" t="s">
        <v>299</v>
      </c>
      <c r="E724" t="s">
        <v>277</v>
      </c>
      <c r="F724" t="s">
        <v>226</v>
      </c>
    </row>
    <row r="725" spans="1:6" x14ac:dyDescent="0.35">
      <c r="A725" t="s">
        <v>227</v>
      </c>
      <c r="B725" t="s">
        <v>263</v>
      </c>
      <c r="C725" s="2">
        <v>0.58930000000000005</v>
      </c>
      <c r="D725" s="2">
        <v>0.4088</v>
      </c>
      <c r="E725" s="2">
        <v>1.9E-3</v>
      </c>
      <c r="F725">
        <v>1231</v>
      </c>
    </row>
    <row r="726" spans="1:6" x14ac:dyDescent="0.35">
      <c r="A726" t="s">
        <v>227</v>
      </c>
      <c r="B726" t="s">
        <v>262</v>
      </c>
      <c r="C726" s="2">
        <v>0.4995</v>
      </c>
      <c r="D726" s="2">
        <v>0.49990000000000001</v>
      </c>
      <c r="E726" s="2">
        <v>5.9999999999999995E-4</v>
      </c>
      <c r="F726">
        <v>2008</v>
      </c>
    </row>
    <row r="727" spans="1:6" x14ac:dyDescent="0.35">
      <c r="A727" t="s">
        <v>227</v>
      </c>
      <c r="B727" t="s">
        <v>261</v>
      </c>
      <c r="C727" s="2">
        <v>0.54590000000000005</v>
      </c>
      <c r="D727" s="2">
        <v>0.4516</v>
      </c>
      <c r="E727" s="2">
        <v>2.5000000000000001E-3</v>
      </c>
      <c r="F727">
        <v>3155</v>
      </c>
    </row>
    <row r="728" spans="1:6" x14ac:dyDescent="0.35">
      <c r="A728" s="3" t="s">
        <v>227</v>
      </c>
      <c r="B728" s="3" t="s">
        <v>232</v>
      </c>
      <c r="C728" s="4">
        <v>0.33329999999999999</v>
      </c>
      <c r="D728" s="4">
        <v>0.66669999999999996</v>
      </c>
      <c r="E728" s="5"/>
      <c r="F728" s="5" t="s">
        <v>438</v>
      </c>
    </row>
    <row r="729" spans="1:6" x14ac:dyDescent="0.35">
      <c r="A729" t="s">
        <v>228</v>
      </c>
      <c r="B729" t="s">
        <v>228</v>
      </c>
      <c r="C729" s="2">
        <v>0.54110000000000003</v>
      </c>
      <c r="D729" s="2">
        <v>0.45700000000000002</v>
      </c>
      <c r="E729" s="2">
        <v>1.9E-3</v>
      </c>
      <c r="F729">
        <v>6397</v>
      </c>
    </row>
    <row r="731" spans="1:6" x14ac:dyDescent="0.35">
      <c r="A731" s="1" t="s">
        <v>471</v>
      </c>
    </row>
    <row r="732" spans="1:6" x14ac:dyDescent="0.35">
      <c r="A732" t="s">
        <v>219</v>
      </c>
      <c r="B732" t="s">
        <v>301</v>
      </c>
      <c r="C732" t="s">
        <v>298</v>
      </c>
      <c r="D732" t="s">
        <v>299</v>
      </c>
      <c r="E732" t="s">
        <v>277</v>
      </c>
      <c r="F732" t="s">
        <v>226</v>
      </c>
    </row>
    <row r="733" spans="1:6" x14ac:dyDescent="0.35">
      <c r="A733" t="s">
        <v>227</v>
      </c>
      <c r="B733" t="s">
        <v>248</v>
      </c>
      <c r="C733" s="2">
        <v>0.41010000000000002</v>
      </c>
      <c r="D733" s="2">
        <v>0.5897</v>
      </c>
      <c r="E733" s="2">
        <v>2.9999999999999997E-4</v>
      </c>
      <c r="F733">
        <v>1169</v>
      </c>
    </row>
    <row r="734" spans="1:6" x14ac:dyDescent="0.35">
      <c r="A734" t="s">
        <v>227</v>
      </c>
      <c r="B734" t="s">
        <v>249</v>
      </c>
      <c r="C734" s="2">
        <v>0.49740000000000001</v>
      </c>
      <c r="D734" s="2">
        <v>0.50190000000000001</v>
      </c>
      <c r="E734" s="2">
        <v>6.9999999999999999E-4</v>
      </c>
      <c r="F734">
        <v>1749</v>
      </c>
    </row>
    <row r="735" spans="1:6" x14ac:dyDescent="0.35">
      <c r="A735" t="s">
        <v>227</v>
      </c>
      <c r="B735" t="s">
        <v>247</v>
      </c>
      <c r="C735" s="2">
        <v>0.6038</v>
      </c>
      <c r="D735" s="2">
        <v>0.39319999999999999</v>
      </c>
      <c r="E735" s="2">
        <v>3.0000000000000001E-3</v>
      </c>
      <c r="F735">
        <v>3479</v>
      </c>
    </row>
    <row r="736" spans="1:6" x14ac:dyDescent="0.35">
      <c r="A736" t="s">
        <v>228</v>
      </c>
      <c r="B736" t="s">
        <v>228</v>
      </c>
      <c r="C736" s="2">
        <v>0.54110000000000003</v>
      </c>
      <c r="D736" s="2">
        <v>0.45700000000000002</v>
      </c>
      <c r="E736" s="2">
        <v>1.9E-3</v>
      </c>
      <c r="F736">
        <v>6397</v>
      </c>
    </row>
    <row r="738" spans="1:6" x14ac:dyDescent="0.35">
      <c r="A738" s="1" t="s">
        <v>472</v>
      </c>
    </row>
    <row r="739" spans="1:6" x14ac:dyDescent="0.35">
      <c r="A739" t="s">
        <v>219</v>
      </c>
      <c r="B739" t="s">
        <v>301</v>
      </c>
      <c r="C739" t="s">
        <v>298</v>
      </c>
      <c r="D739" t="s">
        <v>299</v>
      </c>
      <c r="E739" t="s">
        <v>277</v>
      </c>
      <c r="F739" t="s">
        <v>226</v>
      </c>
    </row>
    <row r="740" spans="1:6" x14ac:dyDescent="0.35">
      <c r="A740" t="s">
        <v>227</v>
      </c>
      <c r="B740" t="s">
        <v>245</v>
      </c>
      <c r="C740" s="2">
        <v>0.57589999999999997</v>
      </c>
      <c r="D740" s="2">
        <v>0.42020000000000002</v>
      </c>
      <c r="E740" s="2">
        <v>3.8999999999999998E-3</v>
      </c>
      <c r="F740">
        <v>2861</v>
      </c>
    </row>
    <row r="741" spans="1:6" x14ac:dyDescent="0.35">
      <c r="A741" t="s">
        <v>227</v>
      </c>
      <c r="B741" t="s">
        <v>244</v>
      </c>
      <c r="C741" s="2">
        <v>0.51249999999999996</v>
      </c>
      <c r="D741" s="2">
        <v>0.48720000000000002</v>
      </c>
      <c r="E741" s="2">
        <v>2.9999999999999997E-4</v>
      </c>
      <c r="F741">
        <v>3536</v>
      </c>
    </row>
    <row r="742" spans="1:6" x14ac:dyDescent="0.35">
      <c r="A742" t="s">
        <v>228</v>
      </c>
      <c r="B742" t="s">
        <v>228</v>
      </c>
      <c r="C742" s="2">
        <v>0.54110000000000003</v>
      </c>
      <c r="D742" s="2">
        <v>0.45700000000000002</v>
      </c>
      <c r="E742" s="2">
        <v>1.9E-3</v>
      </c>
      <c r="F742">
        <v>6397</v>
      </c>
    </row>
    <row r="744" spans="1:6" x14ac:dyDescent="0.35">
      <c r="A744" s="1" t="s">
        <v>473</v>
      </c>
    </row>
    <row r="745" spans="1:6" x14ac:dyDescent="0.35">
      <c r="A745" t="s">
        <v>219</v>
      </c>
      <c r="B745" t="s">
        <v>301</v>
      </c>
      <c r="C745" t="s">
        <v>298</v>
      </c>
      <c r="D745" t="s">
        <v>299</v>
      </c>
      <c r="E745" t="s">
        <v>277</v>
      </c>
      <c r="F745" t="s">
        <v>226</v>
      </c>
    </row>
    <row r="746" spans="1:6" x14ac:dyDescent="0.35">
      <c r="A746" t="s">
        <v>227</v>
      </c>
      <c r="B746" t="s">
        <v>259</v>
      </c>
      <c r="C746" s="2">
        <v>0.40889999999999999</v>
      </c>
      <c r="D746" s="2">
        <v>0.58750000000000002</v>
      </c>
      <c r="E746" s="2">
        <v>3.7000000000000002E-3</v>
      </c>
      <c r="F746">
        <v>174</v>
      </c>
    </row>
    <row r="747" spans="1:6" x14ac:dyDescent="0.35">
      <c r="A747" t="s">
        <v>227</v>
      </c>
      <c r="B747" t="s">
        <v>257</v>
      </c>
      <c r="C747" s="2">
        <v>0.45340000000000003</v>
      </c>
      <c r="D747" s="2">
        <v>0.54559999999999997</v>
      </c>
      <c r="E747" s="2">
        <v>1E-3</v>
      </c>
      <c r="F747">
        <v>996</v>
      </c>
    </row>
    <row r="748" spans="1:6" x14ac:dyDescent="0.35">
      <c r="A748" t="s">
        <v>227</v>
      </c>
      <c r="B748" t="s">
        <v>256</v>
      </c>
      <c r="C748" s="2">
        <v>0.57999999999999996</v>
      </c>
      <c r="D748" s="2">
        <v>0.41959999999999997</v>
      </c>
      <c r="E748" s="2">
        <v>4.0000000000000002E-4</v>
      </c>
      <c r="F748">
        <v>3871</v>
      </c>
    </row>
    <row r="749" spans="1:6" x14ac:dyDescent="0.35">
      <c r="A749" s="3" t="s">
        <v>227</v>
      </c>
      <c r="B749" s="3" t="s">
        <v>232</v>
      </c>
      <c r="C749" s="4">
        <v>0.59460000000000002</v>
      </c>
      <c r="D749" s="4">
        <v>0.3866</v>
      </c>
      <c r="E749" s="4">
        <v>1.8800000000000001E-2</v>
      </c>
      <c r="F749" s="5" t="s">
        <v>425</v>
      </c>
    </row>
    <row r="750" spans="1:6" x14ac:dyDescent="0.35">
      <c r="A750" t="s">
        <v>227</v>
      </c>
      <c r="B750" t="s">
        <v>258</v>
      </c>
      <c r="C750" s="2">
        <v>0.49440000000000001</v>
      </c>
      <c r="D750" s="2">
        <v>0.49759999999999999</v>
      </c>
      <c r="E750" s="2">
        <v>8.0000000000000002E-3</v>
      </c>
      <c r="F750">
        <v>1338</v>
      </c>
    </row>
    <row r="751" spans="1:6" x14ac:dyDescent="0.35">
      <c r="A751" t="s">
        <v>228</v>
      </c>
      <c r="B751" t="s">
        <v>228</v>
      </c>
      <c r="C751" s="2">
        <v>0.54110000000000003</v>
      </c>
      <c r="D751" s="2">
        <v>0.45700000000000002</v>
      </c>
      <c r="E751" s="2">
        <v>1.9E-3</v>
      </c>
      <c r="F751">
        <v>6397</v>
      </c>
    </row>
    <row r="753" spans="1:6" x14ac:dyDescent="0.35">
      <c r="A753" s="1" t="s">
        <v>474</v>
      </c>
    </row>
    <row r="754" spans="1:6" x14ac:dyDescent="0.35">
      <c r="A754" t="s">
        <v>219</v>
      </c>
      <c r="B754" t="s">
        <v>301</v>
      </c>
      <c r="C754" t="s">
        <v>298</v>
      </c>
      <c r="D754" t="s">
        <v>299</v>
      </c>
      <c r="E754" t="s">
        <v>277</v>
      </c>
      <c r="F754" t="s">
        <v>226</v>
      </c>
    </row>
    <row r="755" spans="1:6" x14ac:dyDescent="0.35">
      <c r="A755" t="s">
        <v>227</v>
      </c>
      <c r="B755" t="s">
        <v>343</v>
      </c>
      <c r="C755" s="2">
        <v>0.45340000000000003</v>
      </c>
      <c r="D755" s="2">
        <v>0.54559999999999997</v>
      </c>
      <c r="E755" s="2">
        <v>1E-3</v>
      </c>
      <c r="F755">
        <v>996</v>
      </c>
    </row>
    <row r="756" spans="1:6" x14ac:dyDescent="0.35">
      <c r="A756" t="s">
        <v>227</v>
      </c>
      <c r="B756" t="s">
        <v>344</v>
      </c>
      <c r="C756" s="2">
        <v>0.55859999999999999</v>
      </c>
      <c r="D756" s="2">
        <v>0.43930000000000002</v>
      </c>
      <c r="E756" s="2">
        <v>2.0999999999999999E-3</v>
      </c>
      <c r="F756">
        <v>5401</v>
      </c>
    </row>
    <row r="757" spans="1:6" x14ac:dyDescent="0.35">
      <c r="A757" t="s">
        <v>228</v>
      </c>
      <c r="B757" t="s">
        <v>228</v>
      </c>
      <c r="C757" s="2">
        <v>0.54110000000000003</v>
      </c>
      <c r="D757" s="2">
        <v>0.45700000000000002</v>
      </c>
      <c r="E757" s="2">
        <v>1.9E-3</v>
      </c>
      <c r="F757">
        <v>6397</v>
      </c>
    </row>
    <row r="759" spans="1:6" x14ac:dyDescent="0.35">
      <c r="A759" s="1" t="s">
        <v>475</v>
      </c>
    </row>
    <row r="760" spans="1:6" x14ac:dyDescent="0.35">
      <c r="A760" t="s">
        <v>219</v>
      </c>
      <c r="B760" t="s">
        <v>301</v>
      </c>
      <c r="C760" t="s">
        <v>298</v>
      </c>
      <c r="D760" t="s">
        <v>299</v>
      </c>
      <c r="E760" t="s">
        <v>277</v>
      </c>
      <c r="F760" t="s">
        <v>226</v>
      </c>
    </row>
    <row r="761" spans="1:6" x14ac:dyDescent="0.35">
      <c r="A761" t="s">
        <v>227</v>
      </c>
      <c r="B761" t="s">
        <v>346</v>
      </c>
      <c r="C761" s="2">
        <v>0.54020000000000001</v>
      </c>
      <c r="D761" s="2">
        <v>0.45800000000000002</v>
      </c>
      <c r="E761" s="2">
        <v>1.8E-3</v>
      </c>
      <c r="F761">
        <v>3410</v>
      </c>
    </row>
    <row r="762" spans="1:6" x14ac:dyDescent="0.35">
      <c r="A762" t="s">
        <v>227</v>
      </c>
      <c r="B762" t="s">
        <v>347</v>
      </c>
      <c r="C762" s="2">
        <v>0.49340000000000001</v>
      </c>
      <c r="D762" s="2">
        <v>0.503</v>
      </c>
      <c r="E762" s="2">
        <v>3.5999999999999999E-3</v>
      </c>
      <c r="F762">
        <v>1257</v>
      </c>
    </row>
    <row r="763" spans="1:6" x14ac:dyDescent="0.35">
      <c r="A763" t="s">
        <v>227</v>
      </c>
      <c r="B763" t="s">
        <v>348</v>
      </c>
      <c r="C763" s="2">
        <v>0.56669999999999998</v>
      </c>
      <c r="D763" s="2">
        <v>0.43080000000000002</v>
      </c>
      <c r="E763" s="2">
        <v>2.5999999999999999E-3</v>
      </c>
      <c r="F763">
        <v>1730</v>
      </c>
    </row>
    <row r="764" spans="1:6" x14ac:dyDescent="0.35">
      <c r="A764" t="s">
        <v>228</v>
      </c>
      <c r="B764" t="s">
        <v>228</v>
      </c>
      <c r="C764" s="2">
        <v>0.54110000000000003</v>
      </c>
      <c r="D764" s="2">
        <v>0.45700000000000002</v>
      </c>
      <c r="E764" s="2">
        <v>1.9E-3</v>
      </c>
      <c r="F764">
        <v>6397</v>
      </c>
    </row>
    <row r="766" spans="1:6" x14ac:dyDescent="0.35">
      <c r="A766" s="1" t="s">
        <v>476</v>
      </c>
    </row>
    <row r="767" spans="1:6" x14ac:dyDescent="0.35">
      <c r="A767" t="s">
        <v>219</v>
      </c>
      <c r="B767" t="s">
        <v>301</v>
      </c>
      <c r="C767" t="s">
        <v>298</v>
      </c>
      <c r="D767" t="s">
        <v>299</v>
      </c>
      <c r="E767" t="s">
        <v>277</v>
      </c>
      <c r="F767" t="s">
        <v>226</v>
      </c>
    </row>
    <row r="768" spans="1:6" x14ac:dyDescent="0.35">
      <c r="A768" t="s">
        <v>227</v>
      </c>
      <c r="B768" t="s">
        <v>251</v>
      </c>
      <c r="C768" s="2">
        <v>0.51249999999999996</v>
      </c>
      <c r="D768" s="2">
        <v>0.48720000000000002</v>
      </c>
      <c r="E768" s="2">
        <v>2.9999999999999997E-4</v>
      </c>
      <c r="F768">
        <v>3536</v>
      </c>
    </row>
    <row r="769" spans="1:6" x14ac:dyDescent="0.35">
      <c r="A769" t="s">
        <v>227</v>
      </c>
      <c r="B769" t="s">
        <v>252</v>
      </c>
      <c r="C769" s="2">
        <v>0.57979999999999998</v>
      </c>
      <c r="D769" s="2">
        <v>0.41570000000000001</v>
      </c>
      <c r="E769" s="2">
        <v>4.4999999999999997E-3</v>
      </c>
      <c r="F769">
        <v>2470</v>
      </c>
    </row>
    <row r="770" spans="1:6" x14ac:dyDescent="0.35">
      <c r="A770" t="s">
        <v>227</v>
      </c>
      <c r="B770" t="s">
        <v>253</v>
      </c>
      <c r="C770" s="2">
        <v>0.55200000000000005</v>
      </c>
      <c r="D770" s="2">
        <v>0.44800000000000001</v>
      </c>
      <c r="F770">
        <v>369</v>
      </c>
    </row>
    <row r="771" spans="1:6" x14ac:dyDescent="0.35">
      <c r="A771" s="3" t="s">
        <v>227</v>
      </c>
      <c r="B771" s="3" t="s">
        <v>254</v>
      </c>
      <c r="C771" s="4">
        <v>0.45469999999999999</v>
      </c>
      <c r="D771" s="4">
        <v>0.54530000000000001</v>
      </c>
      <c r="E771" s="5"/>
      <c r="F771" s="5" t="s">
        <v>477</v>
      </c>
    </row>
    <row r="772" spans="1:6" x14ac:dyDescent="0.35">
      <c r="A772" t="s">
        <v>228</v>
      </c>
      <c r="B772" t="s">
        <v>228</v>
      </c>
      <c r="C772" s="2">
        <v>0.54110000000000003</v>
      </c>
      <c r="D772" s="2">
        <v>0.45700000000000002</v>
      </c>
      <c r="E772" s="2">
        <v>1.9E-3</v>
      </c>
      <c r="F772">
        <v>6397</v>
      </c>
    </row>
    <row r="774" spans="1:6" x14ac:dyDescent="0.35">
      <c r="A774" s="1" t="s">
        <v>478</v>
      </c>
    </row>
    <row r="775" spans="1:6" x14ac:dyDescent="0.35">
      <c r="A775" t="s">
        <v>219</v>
      </c>
      <c r="B775" t="s">
        <v>301</v>
      </c>
      <c r="C775" t="s">
        <v>298</v>
      </c>
      <c r="D775" t="s">
        <v>299</v>
      </c>
      <c r="E775" t="s">
        <v>277</v>
      </c>
      <c r="F775" t="s">
        <v>226</v>
      </c>
    </row>
    <row r="776" spans="1:6" x14ac:dyDescent="0.35">
      <c r="A776" t="s">
        <v>227</v>
      </c>
      <c r="B776" t="s">
        <v>224</v>
      </c>
      <c r="C776" s="2">
        <v>0.7046</v>
      </c>
      <c r="D776" s="2">
        <v>0.2949</v>
      </c>
      <c r="E776" s="2">
        <v>5.0000000000000001E-4</v>
      </c>
      <c r="F776">
        <v>659</v>
      </c>
    </row>
    <row r="777" spans="1:6" x14ac:dyDescent="0.35">
      <c r="A777" t="s">
        <v>227</v>
      </c>
      <c r="B777" t="s">
        <v>220</v>
      </c>
      <c r="C777" s="2">
        <v>0.58720000000000006</v>
      </c>
      <c r="D777" s="2">
        <v>0.40960000000000002</v>
      </c>
      <c r="E777" s="2">
        <v>3.3E-3</v>
      </c>
      <c r="F777">
        <v>1835</v>
      </c>
    </row>
    <row r="778" spans="1:6" x14ac:dyDescent="0.35">
      <c r="A778" t="s">
        <v>227</v>
      </c>
      <c r="B778" t="s">
        <v>221</v>
      </c>
      <c r="C778" s="2">
        <v>0.53459999999999996</v>
      </c>
      <c r="D778" s="2">
        <v>0.46500000000000002</v>
      </c>
      <c r="E778" s="2">
        <v>5.0000000000000001E-4</v>
      </c>
      <c r="F778">
        <v>1396</v>
      </c>
    </row>
    <row r="779" spans="1:6" x14ac:dyDescent="0.35">
      <c r="A779" t="s">
        <v>227</v>
      </c>
      <c r="B779" t="s">
        <v>223</v>
      </c>
      <c r="C779" s="2">
        <v>0.60189999999999999</v>
      </c>
      <c r="D779" s="2">
        <v>0.39360000000000001</v>
      </c>
      <c r="E779" s="2">
        <v>4.4999999999999997E-3</v>
      </c>
      <c r="F779">
        <v>903</v>
      </c>
    </row>
    <row r="780" spans="1:6" x14ac:dyDescent="0.35">
      <c r="A780" t="s">
        <v>227</v>
      </c>
      <c r="B780" t="s">
        <v>222</v>
      </c>
      <c r="C780" s="2">
        <v>0.37469999999999998</v>
      </c>
      <c r="D780" s="2">
        <v>0.62450000000000006</v>
      </c>
      <c r="E780" s="2">
        <v>6.9999999999999999E-4</v>
      </c>
      <c r="F780">
        <v>1356</v>
      </c>
    </row>
    <row r="781" spans="1:6" x14ac:dyDescent="0.35">
      <c r="A781" t="s">
        <v>227</v>
      </c>
      <c r="B781" t="s">
        <v>225</v>
      </c>
      <c r="C781" s="2">
        <v>0.45750000000000002</v>
      </c>
      <c r="D781" s="2">
        <v>0.54249999999999998</v>
      </c>
      <c r="F781">
        <v>248</v>
      </c>
    </row>
    <row r="782" spans="1:6" x14ac:dyDescent="0.35">
      <c r="A782" t="s">
        <v>228</v>
      </c>
      <c r="B782" t="s">
        <v>228</v>
      </c>
      <c r="C782" s="2">
        <v>0.54110000000000003</v>
      </c>
      <c r="D782" s="2">
        <v>0.45700000000000002</v>
      </c>
      <c r="E782" s="2">
        <v>1.9E-3</v>
      </c>
      <c r="F782">
        <v>6397</v>
      </c>
    </row>
    <row r="784" spans="1:6" x14ac:dyDescent="0.35">
      <c r="A784" s="1" t="s">
        <v>479</v>
      </c>
    </row>
    <row r="785" spans="1:7" x14ac:dyDescent="0.35">
      <c r="A785" t="s">
        <v>219</v>
      </c>
      <c r="B785" t="s">
        <v>301</v>
      </c>
      <c r="C785" t="s">
        <v>298</v>
      </c>
      <c r="D785" t="s">
        <v>299</v>
      </c>
      <c r="E785" t="s">
        <v>277</v>
      </c>
      <c r="F785" t="s">
        <v>226</v>
      </c>
    </row>
    <row r="786" spans="1:7" x14ac:dyDescent="0.35">
      <c r="A786" t="s">
        <v>227</v>
      </c>
      <c r="B786" t="s">
        <v>231</v>
      </c>
      <c r="C786" s="2">
        <v>0.58640000000000003</v>
      </c>
      <c r="D786" s="2">
        <v>0.41220000000000001</v>
      </c>
      <c r="E786" s="2">
        <v>1.2999999999999999E-3</v>
      </c>
      <c r="F786">
        <v>2673</v>
      </c>
    </row>
    <row r="787" spans="1:7" x14ac:dyDescent="0.35">
      <c r="A787" s="3" t="s">
        <v>227</v>
      </c>
      <c r="B787" s="3" t="s">
        <v>232</v>
      </c>
      <c r="C787" s="4">
        <v>0.7772</v>
      </c>
      <c r="D787" s="4">
        <v>0.2228</v>
      </c>
      <c r="E787" s="5"/>
      <c r="F787" s="5" t="s">
        <v>321</v>
      </c>
    </row>
    <row r="788" spans="1:7" x14ac:dyDescent="0.35">
      <c r="A788" t="s">
        <v>227</v>
      </c>
      <c r="B788" t="s">
        <v>230</v>
      </c>
      <c r="C788" s="2">
        <v>0.50529999999999997</v>
      </c>
      <c r="D788" s="2">
        <v>0.4924</v>
      </c>
      <c r="E788" s="2">
        <v>2.3E-3</v>
      </c>
      <c r="F788">
        <v>3711</v>
      </c>
    </row>
    <row r="789" spans="1:7" x14ac:dyDescent="0.35">
      <c r="A789" t="s">
        <v>228</v>
      </c>
      <c r="B789" t="s">
        <v>228</v>
      </c>
      <c r="C789" s="2">
        <v>0.54110000000000003</v>
      </c>
      <c r="D789" s="2">
        <v>0.45700000000000002</v>
      </c>
      <c r="E789" s="2">
        <v>1.9E-3</v>
      </c>
      <c r="F789">
        <v>6397</v>
      </c>
    </row>
    <row r="791" spans="1:7" x14ac:dyDescent="0.35">
      <c r="A791" s="1" t="s">
        <v>480</v>
      </c>
    </row>
    <row r="792" spans="1:7" x14ac:dyDescent="0.35">
      <c r="A792" t="s">
        <v>219</v>
      </c>
      <c r="B792" t="s">
        <v>301</v>
      </c>
      <c r="C792" t="s">
        <v>325</v>
      </c>
      <c r="D792" t="s">
        <v>298</v>
      </c>
      <c r="E792" t="s">
        <v>299</v>
      </c>
      <c r="F792" t="s">
        <v>277</v>
      </c>
      <c r="G792" t="s">
        <v>226</v>
      </c>
    </row>
    <row r="793" spans="1:7" x14ac:dyDescent="0.35">
      <c r="A793" t="s">
        <v>227</v>
      </c>
      <c r="B793" t="s">
        <v>231</v>
      </c>
      <c r="C793" t="s">
        <v>224</v>
      </c>
      <c r="D793" s="2">
        <v>0.70040000000000002</v>
      </c>
      <c r="E793" s="2">
        <v>0.29920000000000002</v>
      </c>
      <c r="F793" s="2">
        <v>4.0000000000000002E-4</v>
      </c>
      <c r="G793">
        <v>310</v>
      </c>
    </row>
    <row r="794" spans="1:7" x14ac:dyDescent="0.35">
      <c r="A794" t="s">
        <v>227</v>
      </c>
      <c r="B794" t="s">
        <v>230</v>
      </c>
      <c r="C794" t="s">
        <v>223</v>
      </c>
      <c r="D794" s="2">
        <v>0.59150000000000003</v>
      </c>
      <c r="E794" s="2">
        <v>0.40500000000000003</v>
      </c>
      <c r="F794" s="2">
        <v>3.3999999999999998E-3</v>
      </c>
      <c r="G794">
        <v>450</v>
      </c>
    </row>
    <row r="795" spans="1:7" x14ac:dyDescent="0.35">
      <c r="A795" t="s">
        <v>227</v>
      </c>
      <c r="B795" t="s">
        <v>230</v>
      </c>
      <c r="C795" t="s">
        <v>221</v>
      </c>
      <c r="D795" s="2">
        <v>0.49209999999999998</v>
      </c>
      <c r="E795" s="2">
        <v>0.50760000000000005</v>
      </c>
      <c r="F795" s="2">
        <v>2.9999999999999997E-4</v>
      </c>
      <c r="G795">
        <v>805</v>
      </c>
    </row>
    <row r="796" spans="1:7" x14ac:dyDescent="0.35">
      <c r="A796" t="s">
        <v>227</v>
      </c>
      <c r="B796" t="s">
        <v>230</v>
      </c>
      <c r="C796" t="s">
        <v>220</v>
      </c>
      <c r="D796" s="2">
        <v>0.56530000000000002</v>
      </c>
      <c r="E796" s="2">
        <v>0.42949999999999999</v>
      </c>
      <c r="F796" s="2">
        <v>5.1999999999999998E-3</v>
      </c>
      <c r="G796">
        <v>1094</v>
      </c>
    </row>
    <row r="797" spans="1:7" x14ac:dyDescent="0.35">
      <c r="A797" t="s">
        <v>227</v>
      </c>
      <c r="B797" t="s">
        <v>230</v>
      </c>
      <c r="C797" t="s">
        <v>224</v>
      </c>
      <c r="D797" s="2">
        <v>0.70220000000000005</v>
      </c>
      <c r="E797" s="2">
        <v>0.29709999999999998</v>
      </c>
      <c r="F797" s="2">
        <v>6.9999999999999999E-4</v>
      </c>
      <c r="G797">
        <v>347</v>
      </c>
    </row>
    <row r="798" spans="1:7" x14ac:dyDescent="0.35">
      <c r="A798" s="3" t="s">
        <v>227</v>
      </c>
      <c r="B798" s="3" t="s">
        <v>232</v>
      </c>
      <c r="C798" s="3" t="s">
        <v>222</v>
      </c>
      <c r="D798" s="4">
        <v>0.87270000000000003</v>
      </c>
      <c r="E798" s="4">
        <v>0.1273</v>
      </c>
      <c r="F798" s="5"/>
      <c r="G798" s="5" t="s">
        <v>438</v>
      </c>
    </row>
    <row r="799" spans="1:7" x14ac:dyDescent="0.35">
      <c r="A799" s="3" t="s">
        <v>227</v>
      </c>
      <c r="B799" s="3" t="s">
        <v>232</v>
      </c>
      <c r="C799" s="3" t="s">
        <v>223</v>
      </c>
      <c r="D799" s="4">
        <v>1</v>
      </c>
      <c r="E799" s="5"/>
      <c r="F799" s="5"/>
      <c r="G799" s="5" t="s">
        <v>323</v>
      </c>
    </row>
    <row r="800" spans="1:7" x14ac:dyDescent="0.35">
      <c r="A800" t="s">
        <v>227</v>
      </c>
      <c r="B800" t="s">
        <v>230</v>
      </c>
      <c r="C800" t="s">
        <v>222</v>
      </c>
      <c r="D800" s="2">
        <v>0.33179999999999998</v>
      </c>
      <c r="E800" s="2">
        <v>0.66720000000000002</v>
      </c>
      <c r="F800" s="2">
        <v>1E-3</v>
      </c>
      <c r="G800">
        <v>886</v>
      </c>
    </row>
    <row r="801" spans="1:7" x14ac:dyDescent="0.35">
      <c r="A801" s="3" t="s">
        <v>227</v>
      </c>
      <c r="B801" s="3" t="s">
        <v>232</v>
      </c>
      <c r="C801" s="3" t="s">
        <v>221</v>
      </c>
      <c r="D801" s="4">
        <v>0.51370000000000005</v>
      </c>
      <c r="E801" s="4">
        <v>0.48630000000000001</v>
      </c>
      <c r="F801" s="5"/>
      <c r="G801" s="5" t="s">
        <v>438</v>
      </c>
    </row>
    <row r="802" spans="1:7" x14ac:dyDescent="0.35">
      <c r="A802" s="3" t="s">
        <v>227</v>
      </c>
      <c r="B802" s="3" t="s">
        <v>232</v>
      </c>
      <c r="C802" s="3" t="s">
        <v>224</v>
      </c>
      <c r="D802" s="4">
        <v>1</v>
      </c>
      <c r="E802" s="5"/>
      <c r="F802" s="5"/>
      <c r="G802" s="5" t="s">
        <v>434</v>
      </c>
    </row>
    <row r="803" spans="1:7" x14ac:dyDescent="0.35">
      <c r="A803" t="s">
        <v>227</v>
      </c>
      <c r="B803" t="s">
        <v>231</v>
      </c>
      <c r="C803" t="s">
        <v>225</v>
      </c>
      <c r="D803" s="2">
        <v>0.4738</v>
      </c>
      <c r="E803" s="2">
        <v>0.5262</v>
      </c>
      <c r="G803">
        <v>119</v>
      </c>
    </row>
    <row r="804" spans="1:7" x14ac:dyDescent="0.35">
      <c r="A804" t="s">
        <v>227</v>
      </c>
      <c r="B804" t="s">
        <v>231</v>
      </c>
      <c r="C804" t="s">
        <v>222</v>
      </c>
      <c r="D804" s="2">
        <v>0.45279999999999998</v>
      </c>
      <c r="E804" s="2">
        <v>0.54700000000000004</v>
      </c>
      <c r="F804" s="2">
        <v>2.0000000000000001E-4</v>
      </c>
      <c r="G804">
        <v>467</v>
      </c>
    </row>
    <row r="805" spans="1:7" x14ac:dyDescent="0.35">
      <c r="A805" t="s">
        <v>227</v>
      </c>
      <c r="B805" t="s">
        <v>231</v>
      </c>
      <c r="C805" t="s">
        <v>223</v>
      </c>
      <c r="D805" s="2">
        <v>0.61250000000000004</v>
      </c>
      <c r="E805" s="2">
        <v>0.38190000000000002</v>
      </c>
      <c r="F805" s="2">
        <v>5.5999999999999999E-3</v>
      </c>
      <c r="G805">
        <v>452</v>
      </c>
    </row>
    <row r="806" spans="1:7" x14ac:dyDescent="0.35">
      <c r="A806" t="s">
        <v>227</v>
      </c>
      <c r="B806" t="s">
        <v>231</v>
      </c>
      <c r="C806" t="s">
        <v>221</v>
      </c>
      <c r="D806" s="2">
        <v>0.59089999999999998</v>
      </c>
      <c r="E806" s="2">
        <v>0.40839999999999999</v>
      </c>
      <c r="F806" s="2">
        <v>8.0000000000000004E-4</v>
      </c>
      <c r="G806">
        <v>588</v>
      </c>
    </row>
    <row r="807" spans="1:7" x14ac:dyDescent="0.35">
      <c r="A807" t="s">
        <v>227</v>
      </c>
      <c r="B807" t="s">
        <v>231</v>
      </c>
      <c r="C807" t="s">
        <v>220</v>
      </c>
      <c r="D807" s="2">
        <v>0.61629999999999996</v>
      </c>
      <c r="E807" s="2">
        <v>0.3831</v>
      </c>
      <c r="F807" s="2">
        <v>5.9999999999999995E-4</v>
      </c>
      <c r="G807">
        <v>737</v>
      </c>
    </row>
    <row r="808" spans="1:7" x14ac:dyDescent="0.35">
      <c r="A808" s="3" t="s">
        <v>227</v>
      </c>
      <c r="B808" s="3" t="s">
        <v>232</v>
      </c>
      <c r="C808" s="3" t="s">
        <v>220</v>
      </c>
      <c r="D808" s="4">
        <v>0.93010000000000004</v>
      </c>
      <c r="E808" s="4">
        <v>6.9900000000000004E-2</v>
      </c>
      <c r="F808" s="5"/>
      <c r="G808" s="5" t="s">
        <v>341</v>
      </c>
    </row>
    <row r="809" spans="1:7" x14ac:dyDescent="0.35">
      <c r="A809" t="s">
        <v>227</v>
      </c>
      <c r="B809" t="s">
        <v>230</v>
      </c>
      <c r="C809" t="s">
        <v>225</v>
      </c>
      <c r="D809" s="2">
        <v>0.44009999999999999</v>
      </c>
      <c r="E809" s="2">
        <v>0.55989999999999995</v>
      </c>
      <c r="G809">
        <v>129</v>
      </c>
    </row>
    <row r="810" spans="1:7" x14ac:dyDescent="0.35">
      <c r="A810" t="s">
        <v>228</v>
      </c>
      <c r="B810" t="s">
        <v>228</v>
      </c>
      <c r="C810" t="s">
        <v>228</v>
      </c>
      <c r="D810" s="2">
        <v>0.54110000000000003</v>
      </c>
      <c r="E810" s="2">
        <v>0.45700000000000002</v>
      </c>
      <c r="F810" s="2">
        <v>1.9E-3</v>
      </c>
      <c r="G810">
        <v>6397</v>
      </c>
    </row>
    <row r="812" spans="1:7" x14ac:dyDescent="0.35">
      <c r="A812" s="1" t="s">
        <v>481</v>
      </c>
    </row>
    <row r="813" spans="1:7" x14ac:dyDescent="0.35">
      <c r="A813" t="s">
        <v>219</v>
      </c>
      <c r="B813" t="s">
        <v>299</v>
      </c>
      <c r="C813" t="s">
        <v>298</v>
      </c>
      <c r="D813" t="s">
        <v>277</v>
      </c>
      <c r="E813" t="s">
        <v>282</v>
      </c>
      <c r="F813" t="s">
        <v>226</v>
      </c>
    </row>
    <row r="814" spans="1:7" x14ac:dyDescent="0.35">
      <c r="A814" t="s">
        <v>227</v>
      </c>
      <c r="B814" s="2">
        <v>0.83279999999999998</v>
      </c>
      <c r="C814" s="2">
        <v>0.16070000000000001</v>
      </c>
      <c r="D814" s="2">
        <v>5.5999999999999999E-3</v>
      </c>
      <c r="E814" s="2">
        <v>8.9999999999999998E-4</v>
      </c>
      <c r="F814">
        <v>2837</v>
      </c>
    </row>
    <row r="815" spans="1:7" x14ac:dyDescent="0.35">
      <c r="A815" t="s">
        <v>228</v>
      </c>
      <c r="B815" s="2">
        <v>0.83279999999999998</v>
      </c>
      <c r="C815" s="2">
        <v>0.16070000000000001</v>
      </c>
      <c r="D815" s="2">
        <v>5.5999999999999999E-3</v>
      </c>
      <c r="E815" s="2">
        <v>8.9999999999999998E-4</v>
      </c>
      <c r="F815">
        <v>2837</v>
      </c>
    </row>
    <row r="817" spans="1:7" x14ac:dyDescent="0.35">
      <c r="A817" s="1" t="s">
        <v>482</v>
      </c>
    </row>
    <row r="818" spans="1:7" x14ac:dyDescent="0.35">
      <c r="A818" t="s">
        <v>219</v>
      </c>
      <c r="B818" t="s">
        <v>301</v>
      </c>
      <c r="C818" t="s">
        <v>299</v>
      </c>
      <c r="D818" t="s">
        <v>298</v>
      </c>
      <c r="E818" t="s">
        <v>277</v>
      </c>
      <c r="F818" t="s">
        <v>282</v>
      </c>
      <c r="G818" t="s">
        <v>226</v>
      </c>
    </row>
    <row r="819" spans="1:7" x14ac:dyDescent="0.35">
      <c r="A819" t="s">
        <v>227</v>
      </c>
      <c r="B819" t="s">
        <v>238</v>
      </c>
      <c r="C819" s="2">
        <v>0.79979999999999996</v>
      </c>
      <c r="D819" s="2">
        <v>0.1928</v>
      </c>
      <c r="E819" s="2">
        <v>5.5999999999999999E-3</v>
      </c>
      <c r="F819" s="2">
        <v>1.8E-3</v>
      </c>
      <c r="G819">
        <v>1369</v>
      </c>
    </row>
    <row r="820" spans="1:7" x14ac:dyDescent="0.35">
      <c r="A820" t="s">
        <v>227</v>
      </c>
      <c r="B820" t="s">
        <v>237</v>
      </c>
      <c r="C820" s="2">
        <v>0.86519999999999997</v>
      </c>
      <c r="D820" s="2">
        <v>0.12920000000000001</v>
      </c>
      <c r="E820" s="2">
        <v>5.5999999999999999E-3</v>
      </c>
      <c r="G820">
        <v>1468</v>
      </c>
    </row>
    <row r="821" spans="1:7" x14ac:dyDescent="0.35">
      <c r="A821" t="s">
        <v>228</v>
      </c>
      <c r="B821" t="s">
        <v>228</v>
      </c>
      <c r="C821" s="2">
        <v>0.83279999999999998</v>
      </c>
      <c r="D821" s="2">
        <v>0.16070000000000001</v>
      </c>
      <c r="E821" s="2">
        <v>5.5999999999999999E-3</v>
      </c>
      <c r="F821" s="2">
        <v>8.9999999999999998E-4</v>
      </c>
      <c r="G821">
        <v>2837</v>
      </c>
    </row>
    <row r="823" spans="1:7" x14ac:dyDescent="0.35">
      <c r="A823" s="1" t="s">
        <v>483</v>
      </c>
    </row>
    <row r="824" spans="1:7" x14ac:dyDescent="0.35">
      <c r="A824" t="s">
        <v>219</v>
      </c>
      <c r="B824" t="s">
        <v>301</v>
      </c>
      <c r="C824" t="s">
        <v>299</v>
      </c>
      <c r="D824" t="s">
        <v>298</v>
      </c>
      <c r="E824" t="s">
        <v>277</v>
      </c>
      <c r="F824" t="s">
        <v>282</v>
      </c>
      <c r="G824" t="s">
        <v>226</v>
      </c>
    </row>
    <row r="825" spans="1:7" x14ac:dyDescent="0.35">
      <c r="A825" t="s">
        <v>227</v>
      </c>
      <c r="B825" t="s">
        <v>235</v>
      </c>
      <c r="C825" s="2">
        <v>0.82630000000000003</v>
      </c>
      <c r="D825" s="2">
        <v>0.1706</v>
      </c>
      <c r="E825" s="2">
        <v>8.0000000000000004E-4</v>
      </c>
      <c r="F825" s="2">
        <v>2.2000000000000001E-3</v>
      </c>
      <c r="G825">
        <v>1045</v>
      </c>
    </row>
    <row r="826" spans="1:7" x14ac:dyDescent="0.35">
      <c r="A826" t="s">
        <v>227</v>
      </c>
      <c r="B826" t="s">
        <v>234</v>
      </c>
      <c r="C826" s="2">
        <v>0.83609999999999995</v>
      </c>
      <c r="D826" s="2">
        <v>0.15570000000000001</v>
      </c>
      <c r="E826" s="2">
        <v>8.0000000000000002E-3</v>
      </c>
      <c r="F826" s="2">
        <v>2.0000000000000001E-4</v>
      </c>
      <c r="G826">
        <v>1792</v>
      </c>
    </row>
    <row r="827" spans="1:7" x14ac:dyDescent="0.35">
      <c r="A827" t="s">
        <v>228</v>
      </c>
      <c r="B827" t="s">
        <v>228</v>
      </c>
      <c r="C827" s="2">
        <v>0.83279999999999998</v>
      </c>
      <c r="D827" s="2">
        <v>0.16070000000000001</v>
      </c>
      <c r="E827" s="2">
        <v>5.5999999999999999E-3</v>
      </c>
      <c r="F827" s="2">
        <v>8.9999999999999998E-4</v>
      </c>
      <c r="G827">
        <v>2837</v>
      </c>
    </row>
    <row r="829" spans="1:7" x14ac:dyDescent="0.35">
      <c r="A829" s="1" t="s">
        <v>484</v>
      </c>
    </row>
    <row r="830" spans="1:7" x14ac:dyDescent="0.35">
      <c r="A830" t="s">
        <v>219</v>
      </c>
      <c r="B830" t="s">
        <v>301</v>
      </c>
      <c r="C830" t="s">
        <v>299</v>
      </c>
      <c r="D830" t="s">
        <v>298</v>
      </c>
      <c r="E830" t="s">
        <v>277</v>
      </c>
      <c r="F830" t="s">
        <v>282</v>
      </c>
      <c r="G830" t="s">
        <v>226</v>
      </c>
    </row>
    <row r="831" spans="1:7" x14ac:dyDescent="0.35">
      <c r="A831" t="s">
        <v>227</v>
      </c>
      <c r="B831" t="s">
        <v>240</v>
      </c>
      <c r="C831" s="2">
        <v>0.8518</v>
      </c>
      <c r="D831" s="2">
        <v>0.1429</v>
      </c>
      <c r="E831" s="2">
        <v>5.1999999999999998E-3</v>
      </c>
      <c r="F831" s="2">
        <v>1E-4</v>
      </c>
      <c r="G831">
        <v>2046</v>
      </c>
    </row>
    <row r="832" spans="1:7" x14ac:dyDescent="0.35">
      <c r="A832" t="s">
        <v>227</v>
      </c>
      <c r="B832" t="s">
        <v>241</v>
      </c>
      <c r="C832" s="2">
        <v>0.75929999999999997</v>
      </c>
      <c r="D832" s="2">
        <v>0.2276</v>
      </c>
      <c r="E832" s="2">
        <v>7.0000000000000001E-3</v>
      </c>
      <c r="F832" s="2">
        <v>6.1000000000000004E-3</v>
      </c>
      <c r="G832">
        <v>424</v>
      </c>
    </row>
    <row r="833" spans="1:7" x14ac:dyDescent="0.35">
      <c r="A833" t="s">
        <v>227</v>
      </c>
      <c r="B833" t="s">
        <v>242</v>
      </c>
      <c r="C833" s="2">
        <v>0.80430000000000001</v>
      </c>
      <c r="D833" s="2">
        <v>0.18920000000000001</v>
      </c>
      <c r="E833" s="2">
        <v>6.4999999999999997E-3</v>
      </c>
      <c r="G833">
        <v>367</v>
      </c>
    </row>
    <row r="834" spans="1:7" x14ac:dyDescent="0.35">
      <c r="A834" t="s">
        <v>228</v>
      </c>
      <c r="B834" t="s">
        <v>228</v>
      </c>
      <c r="C834" s="2">
        <v>0.83279999999999998</v>
      </c>
      <c r="D834" s="2">
        <v>0.16070000000000001</v>
      </c>
      <c r="E834" s="2">
        <v>5.5999999999999999E-3</v>
      </c>
      <c r="F834" s="2">
        <v>8.9999999999999998E-4</v>
      </c>
      <c r="G834">
        <v>2837</v>
      </c>
    </row>
    <row r="836" spans="1:7" x14ac:dyDescent="0.35">
      <c r="A836" s="1" t="s">
        <v>485</v>
      </c>
    </row>
    <row r="837" spans="1:7" x14ac:dyDescent="0.35">
      <c r="A837" t="s">
        <v>219</v>
      </c>
      <c r="B837" t="s">
        <v>301</v>
      </c>
      <c r="C837" t="s">
        <v>299</v>
      </c>
      <c r="D837" t="s">
        <v>298</v>
      </c>
      <c r="E837" t="s">
        <v>277</v>
      </c>
      <c r="F837" t="s">
        <v>282</v>
      </c>
      <c r="G837" t="s">
        <v>226</v>
      </c>
    </row>
    <row r="838" spans="1:7" x14ac:dyDescent="0.35">
      <c r="A838" t="s">
        <v>227</v>
      </c>
      <c r="B838" t="s">
        <v>334</v>
      </c>
      <c r="C838" s="2">
        <v>0.7611</v>
      </c>
      <c r="D838" s="2">
        <v>0.22459999999999999</v>
      </c>
      <c r="E838" s="2">
        <v>1.1299999999999999E-2</v>
      </c>
      <c r="F838" s="2">
        <v>2.8999999999999998E-3</v>
      </c>
      <c r="G838">
        <v>784</v>
      </c>
    </row>
    <row r="839" spans="1:7" x14ac:dyDescent="0.35">
      <c r="A839" t="s">
        <v>227</v>
      </c>
      <c r="B839" t="s">
        <v>335</v>
      </c>
      <c r="C839" s="2">
        <v>0.84619999999999995</v>
      </c>
      <c r="D839" s="2">
        <v>0.1532</v>
      </c>
      <c r="E839" s="2">
        <v>5.9999999999999995E-4</v>
      </c>
      <c r="G839">
        <v>518</v>
      </c>
    </row>
    <row r="840" spans="1:7" x14ac:dyDescent="0.35">
      <c r="A840" t="s">
        <v>227</v>
      </c>
      <c r="B840" t="s">
        <v>336</v>
      </c>
      <c r="C840" s="2">
        <v>0.84130000000000005</v>
      </c>
      <c r="D840" s="2">
        <v>0.155</v>
      </c>
      <c r="E840" s="2">
        <v>3.7000000000000002E-3</v>
      </c>
      <c r="G840">
        <v>641</v>
      </c>
    </row>
    <row r="841" spans="1:7" x14ac:dyDescent="0.35">
      <c r="A841" t="s">
        <v>227</v>
      </c>
      <c r="B841" t="s">
        <v>337</v>
      </c>
      <c r="C841" s="2">
        <v>0.88080000000000003</v>
      </c>
      <c r="D841" s="2">
        <v>0.115</v>
      </c>
      <c r="E841" s="2">
        <v>3.5999999999999999E-3</v>
      </c>
      <c r="F841" s="2">
        <v>6.9999999999999999E-4</v>
      </c>
      <c r="G841">
        <v>593</v>
      </c>
    </row>
    <row r="842" spans="1:7" x14ac:dyDescent="0.35">
      <c r="A842" t="s">
        <v>228</v>
      </c>
      <c r="B842" t="s">
        <v>228</v>
      </c>
      <c r="C842" s="2">
        <v>0.83279999999999998</v>
      </c>
      <c r="D842" s="2">
        <v>0.16070000000000001</v>
      </c>
      <c r="E842" s="2">
        <v>5.5999999999999999E-3</v>
      </c>
      <c r="F842" s="2">
        <v>8.9999999999999998E-4</v>
      </c>
      <c r="G842">
        <v>2536</v>
      </c>
    </row>
    <row r="844" spans="1:7" x14ac:dyDescent="0.35">
      <c r="A844" s="1" t="s">
        <v>486</v>
      </c>
    </row>
    <row r="845" spans="1:7" x14ac:dyDescent="0.35">
      <c r="A845" t="s">
        <v>219</v>
      </c>
      <c r="B845" t="s">
        <v>301</v>
      </c>
      <c r="C845" t="s">
        <v>299</v>
      </c>
      <c r="D845" t="s">
        <v>298</v>
      </c>
      <c r="E845" t="s">
        <v>277</v>
      </c>
      <c r="F845" t="s">
        <v>282</v>
      </c>
      <c r="G845" t="s">
        <v>226</v>
      </c>
    </row>
    <row r="846" spans="1:7" x14ac:dyDescent="0.35">
      <c r="A846" t="s">
        <v>227</v>
      </c>
      <c r="B846" t="s">
        <v>263</v>
      </c>
      <c r="C846" s="2">
        <v>0.84</v>
      </c>
      <c r="D846" s="2">
        <v>0.15529999999999999</v>
      </c>
      <c r="E846" s="2">
        <v>4.7000000000000002E-3</v>
      </c>
      <c r="G846">
        <v>478</v>
      </c>
    </row>
    <row r="847" spans="1:7" x14ac:dyDescent="0.35">
      <c r="A847" t="s">
        <v>227</v>
      </c>
      <c r="B847" t="s">
        <v>262</v>
      </c>
      <c r="C847" s="2">
        <v>0.77680000000000005</v>
      </c>
      <c r="D847" s="2">
        <v>0.214</v>
      </c>
      <c r="E847" s="2">
        <v>6.4000000000000003E-3</v>
      </c>
      <c r="F847" s="2">
        <v>2.8E-3</v>
      </c>
      <c r="G847">
        <v>954</v>
      </c>
    </row>
    <row r="848" spans="1:7" x14ac:dyDescent="0.35">
      <c r="A848" t="s">
        <v>227</v>
      </c>
      <c r="B848" t="s">
        <v>261</v>
      </c>
      <c r="C848" s="2">
        <v>0.86060000000000003</v>
      </c>
      <c r="D848" s="2">
        <v>0.1338</v>
      </c>
      <c r="E848" s="2">
        <v>5.4999999999999997E-3</v>
      </c>
      <c r="F848" s="2">
        <v>1E-4</v>
      </c>
      <c r="G848">
        <v>1403</v>
      </c>
    </row>
    <row r="849" spans="1:7" x14ac:dyDescent="0.35">
      <c r="A849" s="3" t="s">
        <v>227</v>
      </c>
      <c r="B849" s="3" t="s">
        <v>232</v>
      </c>
      <c r="C849" s="4">
        <v>1</v>
      </c>
      <c r="D849" s="5"/>
      <c r="E849" s="5"/>
      <c r="F849" s="5"/>
      <c r="G849" s="5" t="s">
        <v>434</v>
      </c>
    </row>
    <row r="850" spans="1:7" x14ac:dyDescent="0.35">
      <c r="A850" t="s">
        <v>228</v>
      </c>
      <c r="B850" t="s">
        <v>228</v>
      </c>
      <c r="C850" s="2">
        <v>0.83279999999999998</v>
      </c>
      <c r="D850" s="2">
        <v>0.16070000000000001</v>
      </c>
      <c r="E850" s="2">
        <v>5.5999999999999999E-3</v>
      </c>
      <c r="F850" s="2">
        <v>8.9999999999999998E-4</v>
      </c>
      <c r="G850">
        <v>2837</v>
      </c>
    </row>
    <row r="852" spans="1:7" x14ac:dyDescent="0.35">
      <c r="A852" s="1" t="s">
        <v>487</v>
      </c>
    </row>
    <row r="853" spans="1:7" x14ac:dyDescent="0.35">
      <c r="A853" t="s">
        <v>219</v>
      </c>
      <c r="B853" t="s">
        <v>301</v>
      </c>
      <c r="C853" t="s">
        <v>299</v>
      </c>
      <c r="D853" t="s">
        <v>298</v>
      </c>
      <c r="E853" t="s">
        <v>277</v>
      </c>
      <c r="F853" t="s">
        <v>282</v>
      </c>
      <c r="G853" t="s">
        <v>226</v>
      </c>
    </row>
    <row r="854" spans="1:7" x14ac:dyDescent="0.35">
      <c r="A854" t="s">
        <v>227</v>
      </c>
      <c r="B854" t="s">
        <v>248</v>
      </c>
      <c r="C854" s="2">
        <v>0.78129999999999999</v>
      </c>
      <c r="D854" s="2">
        <v>0.2107</v>
      </c>
      <c r="E854" s="2">
        <v>4.1000000000000003E-3</v>
      </c>
      <c r="F854" s="2">
        <v>3.8999999999999998E-3</v>
      </c>
      <c r="G854">
        <v>697</v>
      </c>
    </row>
    <row r="855" spans="1:7" x14ac:dyDescent="0.35">
      <c r="A855" t="s">
        <v>227</v>
      </c>
      <c r="B855" t="s">
        <v>249</v>
      </c>
      <c r="C855" s="2">
        <v>0.80110000000000003</v>
      </c>
      <c r="D855" s="2">
        <v>0.19220000000000001</v>
      </c>
      <c r="E855" s="2">
        <v>6.7000000000000002E-3</v>
      </c>
      <c r="G855">
        <v>856</v>
      </c>
    </row>
    <row r="856" spans="1:7" x14ac:dyDescent="0.35">
      <c r="A856" t="s">
        <v>227</v>
      </c>
      <c r="B856" t="s">
        <v>247</v>
      </c>
      <c r="C856" s="2">
        <v>0.877</v>
      </c>
      <c r="D856" s="2">
        <v>0.1173</v>
      </c>
      <c r="E856" s="2">
        <v>5.7000000000000002E-3</v>
      </c>
      <c r="G856">
        <v>1284</v>
      </c>
    </row>
    <row r="857" spans="1:7" x14ac:dyDescent="0.35">
      <c r="A857" t="s">
        <v>228</v>
      </c>
      <c r="B857" t="s">
        <v>228</v>
      </c>
      <c r="C857" s="2">
        <v>0.83279999999999998</v>
      </c>
      <c r="D857" s="2">
        <v>0.16070000000000001</v>
      </c>
      <c r="E857" s="2">
        <v>5.5999999999999999E-3</v>
      </c>
      <c r="F857" s="2">
        <v>8.9999999999999998E-4</v>
      </c>
      <c r="G857">
        <v>2837</v>
      </c>
    </row>
    <row r="859" spans="1:7" x14ac:dyDescent="0.35">
      <c r="A859" s="1" t="s">
        <v>488</v>
      </c>
    </row>
    <row r="860" spans="1:7" x14ac:dyDescent="0.35">
      <c r="A860" t="s">
        <v>219</v>
      </c>
      <c r="B860" t="s">
        <v>301</v>
      </c>
      <c r="C860" t="s">
        <v>299</v>
      </c>
      <c r="D860" t="s">
        <v>298</v>
      </c>
      <c r="E860" t="s">
        <v>277</v>
      </c>
      <c r="F860" t="s">
        <v>282</v>
      </c>
      <c r="G860" t="s">
        <v>226</v>
      </c>
    </row>
    <row r="861" spans="1:7" x14ac:dyDescent="0.35">
      <c r="A861" t="s">
        <v>227</v>
      </c>
      <c r="B861" t="s">
        <v>245</v>
      </c>
      <c r="C861" s="2">
        <v>0.87460000000000004</v>
      </c>
      <c r="D861" s="2">
        <v>0.1183</v>
      </c>
      <c r="E861" s="2">
        <v>7.1999999999999998E-3</v>
      </c>
      <c r="G861">
        <v>1151</v>
      </c>
    </row>
    <row r="862" spans="1:7" x14ac:dyDescent="0.35">
      <c r="A862" t="s">
        <v>227</v>
      </c>
      <c r="B862" t="s">
        <v>244</v>
      </c>
      <c r="C862" s="2">
        <v>0.8034</v>
      </c>
      <c r="D862" s="2">
        <v>0.19059999999999999</v>
      </c>
      <c r="E862" s="2">
        <v>4.4999999999999997E-3</v>
      </c>
      <c r="F862" s="2">
        <v>1.5E-3</v>
      </c>
      <c r="G862">
        <v>1686</v>
      </c>
    </row>
    <row r="863" spans="1:7" x14ac:dyDescent="0.35">
      <c r="A863" t="s">
        <v>228</v>
      </c>
      <c r="B863" t="s">
        <v>228</v>
      </c>
      <c r="C863" s="2">
        <v>0.83279999999999998</v>
      </c>
      <c r="D863" s="2">
        <v>0.16070000000000001</v>
      </c>
      <c r="E863" s="2">
        <v>5.5999999999999999E-3</v>
      </c>
      <c r="F863" s="2">
        <v>8.9999999999999998E-4</v>
      </c>
      <c r="G863">
        <v>2837</v>
      </c>
    </row>
    <row r="865" spans="1:7" x14ac:dyDescent="0.35">
      <c r="A865" s="1" t="s">
        <v>489</v>
      </c>
    </row>
    <row r="866" spans="1:7" x14ac:dyDescent="0.35">
      <c r="A866" t="s">
        <v>219</v>
      </c>
      <c r="B866" t="s">
        <v>301</v>
      </c>
      <c r="C866" t="s">
        <v>299</v>
      </c>
      <c r="D866" t="s">
        <v>298</v>
      </c>
      <c r="E866" t="s">
        <v>277</v>
      </c>
      <c r="F866" t="s">
        <v>282</v>
      </c>
      <c r="G866" t="s">
        <v>226</v>
      </c>
    </row>
    <row r="867" spans="1:7" x14ac:dyDescent="0.35">
      <c r="A867" t="s">
        <v>227</v>
      </c>
      <c r="B867" t="s">
        <v>259</v>
      </c>
      <c r="C867" s="2">
        <v>0.93559999999999999</v>
      </c>
      <c r="D867" s="2">
        <v>6.2600000000000003E-2</v>
      </c>
      <c r="E867" s="2">
        <v>1.8E-3</v>
      </c>
      <c r="G867">
        <v>90</v>
      </c>
    </row>
    <row r="868" spans="1:7" x14ac:dyDescent="0.35">
      <c r="A868" t="s">
        <v>227</v>
      </c>
      <c r="B868" t="s">
        <v>257</v>
      </c>
      <c r="C868" s="2">
        <v>0.8246</v>
      </c>
      <c r="D868" s="2">
        <v>0.17319999999999999</v>
      </c>
      <c r="E868" s="2">
        <v>1.9E-3</v>
      </c>
      <c r="F868" s="2">
        <v>2.9999999999999997E-4</v>
      </c>
      <c r="G868">
        <v>505</v>
      </c>
    </row>
    <row r="869" spans="1:7" x14ac:dyDescent="0.35">
      <c r="A869" t="s">
        <v>227</v>
      </c>
      <c r="B869" t="s">
        <v>256</v>
      </c>
      <c r="C869" s="2">
        <v>0.82379999999999998</v>
      </c>
      <c r="D869" s="2">
        <v>0.16650000000000001</v>
      </c>
      <c r="E869" s="2">
        <v>8.3000000000000001E-3</v>
      </c>
      <c r="F869" s="2">
        <v>1.4E-3</v>
      </c>
      <c r="G869">
        <v>1583</v>
      </c>
    </row>
    <row r="870" spans="1:7" x14ac:dyDescent="0.35">
      <c r="A870" s="3" t="s">
        <v>227</v>
      </c>
      <c r="B870" s="3" t="s">
        <v>232</v>
      </c>
      <c r="C870" s="4">
        <v>0.77900000000000003</v>
      </c>
      <c r="D870" s="4">
        <v>0.221</v>
      </c>
      <c r="E870" s="5"/>
      <c r="F870" s="5"/>
      <c r="G870" s="5" t="s">
        <v>490</v>
      </c>
    </row>
    <row r="871" spans="1:7" x14ac:dyDescent="0.35">
      <c r="A871" t="s">
        <v>227</v>
      </c>
      <c r="B871" t="s">
        <v>258</v>
      </c>
      <c r="C871" s="2">
        <v>0.85740000000000005</v>
      </c>
      <c r="D871" s="2">
        <v>0.14119999999999999</v>
      </c>
      <c r="E871" s="2">
        <v>1.5E-3</v>
      </c>
      <c r="G871">
        <v>647</v>
      </c>
    </row>
    <row r="872" spans="1:7" x14ac:dyDescent="0.35">
      <c r="A872" t="s">
        <v>228</v>
      </c>
      <c r="B872" t="s">
        <v>228</v>
      </c>
      <c r="C872" s="2">
        <v>0.83279999999999998</v>
      </c>
      <c r="D872" s="2">
        <v>0.16070000000000001</v>
      </c>
      <c r="E872" s="2">
        <v>5.5999999999999999E-3</v>
      </c>
      <c r="F872" s="2">
        <v>8.9999999999999998E-4</v>
      </c>
      <c r="G872">
        <v>2837</v>
      </c>
    </row>
    <row r="874" spans="1:7" x14ac:dyDescent="0.35">
      <c r="A874" s="1" t="s">
        <v>491</v>
      </c>
    </row>
    <row r="875" spans="1:7" x14ac:dyDescent="0.35">
      <c r="A875" t="s">
        <v>219</v>
      </c>
      <c r="B875" t="s">
        <v>301</v>
      </c>
      <c r="C875" t="s">
        <v>299</v>
      </c>
      <c r="D875" t="s">
        <v>298</v>
      </c>
      <c r="E875" t="s">
        <v>277</v>
      </c>
      <c r="F875" t="s">
        <v>282</v>
      </c>
      <c r="G875" t="s">
        <v>226</v>
      </c>
    </row>
    <row r="876" spans="1:7" x14ac:dyDescent="0.35">
      <c r="A876" t="s">
        <v>227</v>
      </c>
      <c r="B876" t="s">
        <v>343</v>
      </c>
      <c r="C876" s="2">
        <v>0.8246</v>
      </c>
      <c r="D876" s="2">
        <v>0.17319999999999999</v>
      </c>
      <c r="E876" s="2">
        <v>1.9E-3</v>
      </c>
      <c r="F876" s="2">
        <v>2.9999999999999997E-4</v>
      </c>
      <c r="G876">
        <v>505</v>
      </c>
    </row>
    <row r="877" spans="1:7" x14ac:dyDescent="0.35">
      <c r="A877" t="s">
        <v>227</v>
      </c>
      <c r="B877" t="s">
        <v>344</v>
      </c>
      <c r="C877" s="2">
        <v>0.83489999999999998</v>
      </c>
      <c r="D877" s="2">
        <v>0.15759999999999999</v>
      </c>
      <c r="E877" s="2">
        <v>6.4999999999999997E-3</v>
      </c>
      <c r="F877" s="2">
        <v>1E-3</v>
      </c>
      <c r="G877">
        <v>2332</v>
      </c>
    </row>
    <row r="878" spans="1:7" x14ac:dyDescent="0.35">
      <c r="A878" t="s">
        <v>228</v>
      </c>
      <c r="B878" t="s">
        <v>228</v>
      </c>
      <c r="C878" s="2">
        <v>0.83279999999999998</v>
      </c>
      <c r="D878" s="2">
        <v>0.16070000000000001</v>
      </c>
      <c r="E878" s="2">
        <v>5.5999999999999999E-3</v>
      </c>
      <c r="F878" s="2">
        <v>8.9999999999999998E-4</v>
      </c>
      <c r="G878">
        <v>2837</v>
      </c>
    </row>
    <row r="880" spans="1:7" x14ac:dyDescent="0.35">
      <c r="A880" s="1" t="s">
        <v>492</v>
      </c>
    </row>
    <row r="881" spans="1:7" x14ac:dyDescent="0.35">
      <c r="A881" t="s">
        <v>219</v>
      </c>
      <c r="B881" t="s">
        <v>301</v>
      </c>
      <c r="C881" t="s">
        <v>299</v>
      </c>
      <c r="D881" t="s">
        <v>298</v>
      </c>
      <c r="E881" t="s">
        <v>277</v>
      </c>
      <c r="F881" t="s">
        <v>282</v>
      </c>
      <c r="G881" t="s">
        <v>226</v>
      </c>
    </row>
    <row r="882" spans="1:7" x14ac:dyDescent="0.35">
      <c r="A882" t="s">
        <v>227</v>
      </c>
      <c r="B882" t="s">
        <v>346</v>
      </c>
      <c r="C882" s="2">
        <v>0.83450000000000002</v>
      </c>
      <c r="D882" s="2">
        <v>0.15909999999999999</v>
      </c>
      <c r="E882" s="2">
        <v>5.5999999999999999E-3</v>
      </c>
      <c r="F882" s="2">
        <v>8.0000000000000004E-4</v>
      </c>
      <c r="G882">
        <v>1484</v>
      </c>
    </row>
    <row r="883" spans="1:7" x14ac:dyDescent="0.35">
      <c r="A883" t="s">
        <v>227</v>
      </c>
      <c r="B883" t="s">
        <v>347</v>
      </c>
      <c r="C883" s="2">
        <v>0.79690000000000005</v>
      </c>
      <c r="D883" s="2">
        <v>0.19639999999999999</v>
      </c>
      <c r="E883" s="2">
        <v>6.7000000000000002E-3</v>
      </c>
      <c r="G883">
        <v>613</v>
      </c>
    </row>
    <row r="884" spans="1:7" x14ac:dyDescent="0.35">
      <c r="A884" t="s">
        <v>227</v>
      </c>
      <c r="B884" t="s">
        <v>348</v>
      </c>
      <c r="C884" s="2">
        <v>0.83150000000000002</v>
      </c>
      <c r="D884" s="2">
        <v>0.1613</v>
      </c>
      <c r="E884" s="2">
        <v>5.4999999999999997E-3</v>
      </c>
      <c r="F884" s="2">
        <v>1.6999999999999999E-3</v>
      </c>
      <c r="G884">
        <v>740</v>
      </c>
    </row>
    <row r="885" spans="1:7" x14ac:dyDescent="0.35">
      <c r="A885" t="s">
        <v>228</v>
      </c>
      <c r="B885" t="s">
        <v>228</v>
      </c>
      <c r="C885" s="2">
        <v>0.83279999999999998</v>
      </c>
      <c r="D885" s="2">
        <v>0.16070000000000001</v>
      </c>
      <c r="E885" s="2">
        <v>5.5999999999999999E-3</v>
      </c>
      <c r="F885" s="2">
        <v>8.9999999999999998E-4</v>
      </c>
      <c r="G885">
        <v>2837</v>
      </c>
    </row>
    <row r="887" spans="1:7" x14ac:dyDescent="0.35">
      <c r="A887" s="1" t="s">
        <v>493</v>
      </c>
    </row>
    <row r="888" spans="1:7" x14ac:dyDescent="0.35">
      <c r="A888" t="s">
        <v>219</v>
      </c>
      <c r="B888" t="s">
        <v>301</v>
      </c>
      <c r="C888" t="s">
        <v>299</v>
      </c>
      <c r="D888" t="s">
        <v>298</v>
      </c>
      <c r="E888" t="s">
        <v>277</v>
      </c>
      <c r="F888" t="s">
        <v>282</v>
      </c>
      <c r="G888" t="s">
        <v>226</v>
      </c>
    </row>
    <row r="889" spans="1:7" x14ac:dyDescent="0.35">
      <c r="A889" t="s">
        <v>227</v>
      </c>
      <c r="B889" t="s">
        <v>251</v>
      </c>
      <c r="C889" s="2">
        <v>0.8034</v>
      </c>
      <c r="D889" s="2">
        <v>0.19059999999999999</v>
      </c>
      <c r="E889" s="2">
        <v>4.4999999999999997E-3</v>
      </c>
      <c r="F889" s="2">
        <v>1.5E-3</v>
      </c>
      <c r="G889">
        <v>1686</v>
      </c>
    </row>
    <row r="890" spans="1:7" x14ac:dyDescent="0.35">
      <c r="A890" t="s">
        <v>227</v>
      </c>
      <c r="B890" t="s">
        <v>252</v>
      </c>
      <c r="C890" s="2">
        <v>0.87019999999999997</v>
      </c>
      <c r="D890" s="2">
        <v>0.1215</v>
      </c>
      <c r="E890" s="2">
        <v>8.3000000000000001E-3</v>
      </c>
      <c r="G890">
        <v>977</v>
      </c>
    </row>
    <row r="891" spans="1:7" x14ac:dyDescent="0.35">
      <c r="A891" t="s">
        <v>227</v>
      </c>
      <c r="B891" t="s">
        <v>253</v>
      </c>
      <c r="C891" s="2">
        <v>0.89880000000000004</v>
      </c>
      <c r="D891" s="2">
        <v>0.1012</v>
      </c>
      <c r="G891">
        <v>162</v>
      </c>
    </row>
    <row r="892" spans="1:7" x14ac:dyDescent="0.35">
      <c r="A892" s="3" t="s">
        <v>227</v>
      </c>
      <c r="B892" s="3" t="s">
        <v>254</v>
      </c>
      <c r="C892" s="4">
        <v>1</v>
      </c>
      <c r="D892" s="5"/>
      <c r="E892" s="5"/>
      <c r="F892" s="5"/>
      <c r="G892" s="5" t="s">
        <v>490</v>
      </c>
    </row>
    <row r="893" spans="1:7" x14ac:dyDescent="0.35">
      <c r="A893" t="s">
        <v>228</v>
      </c>
      <c r="B893" t="s">
        <v>228</v>
      </c>
      <c r="C893" s="2">
        <v>0.83279999999999998</v>
      </c>
      <c r="D893" s="2">
        <v>0.16070000000000001</v>
      </c>
      <c r="E893" s="2">
        <v>5.5999999999999999E-3</v>
      </c>
      <c r="F893" s="2">
        <v>8.9999999999999998E-4</v>
      </c>
      <c r="G893">
        <v>2837</v>
      </c>
    </row>
    <row r="895" spans="1:7" x14ac:dyDescent="0.35">
      <c r="A895" s="1" t="s">
        <v>494</v>
      </c>
    </row>
    <row r="896" spans="1:7" x14ac:dyDescent="0.35">
      <c r="A896" t="s">
        <v>219</v>
      </c>
      <c r="B896" t="s">
        <v>301</v>
      </c>
      <c r="C896" t="s">
        <v>299</v>
      </c>
      <c r="D896" t="s">
        <v>298</v>
      </c>
      <c r="E896" t="s">
        <v>277</v>
      </c>
      <c r="F896" t="s">
        <v>282</v>
      </c>
      <c r="G896" t="s">
        <v>226</v>
      </c>
    </row>
    <row r="897" spans="1:7" x14ac:dyDescent="0.35">
      <c r="A897" t="s">
        <v>227</v>
      </c>
      <c r="B897" t="s">
        <v>224</v>
      </c>
      <c r="C897" s="2">
        <v>0.74580000000000002</v>
      </c>
      <c r="D897" s="2">
        <v>0.25080000000000002</v>
      </c>
      <c r="E897" s="2">
        <v>3.3999999999999998E-3</v>
      </c>
      <c r="G897">
        <v>187</v>
      </c>
    </row>
    <row r="898" spans="1:7" x14ac:dyDescent="0.35">
      <c r="A898" t="s">
        <v>227</v>
      </c>
      <c r="B898" t="s">
        <v>220</v>
      </c>
      <c r="C898" s="2">
        <v>0.82089999999999996</v>
      </c>
      <c r="D898" s="2">
        <v>0.16619999999999999</v>
      </c>
      <c r="E898" s="2">
        <v>1.29E-2</v>
      </c>
      <c r="G898">
        <v>673</v>
      </c>
    </row>
    <row r="899" spans="1:7" x14ac:dyDescent="0.35">
      <c r="A899" t="s">
        <v>227</v>
      </c>
      <c r="B899" t="s">
        <v>221</v>
      </c>
      <c r="C899" s="2">
        <v>0.8115</v>
      </c>
      <c r="D899" s="2">
        <v>0.18690000000000001</v>
      </c>
      <c r="E899" s="2">
        <v>1.6000000000000001E-3</v>
      </c>
      <c r="G899">
        <v>657</v>
      </c>
    </row>
    <row r="900" spans="1:7" x14ac:dyDescent="0.35">
      <c r="A900" t="s">
        <v>227</v>
      </c>
      <c r="B900" t="s">
        <v>223</v>
      </c>
      <c r="C900" s="2">
        <v>0.9194</v>
      </c>
      <c r="D900" s="2">
        <v>7.4300000000000005E-2</v>
      </c>
      <c r="E900" s="2">
        <v>6.3E-3</v>
      </c>
      <c r="G900">
        <v>342</v>
      </c>
    </row>
    <row r="901" spans="1:7" x14ac:dyDescent="0.35">
      <c r="A901" t="s">
        <v>227</v>
      </c>
      <c r="B901" t="s">
        <v>222</v>
      </c>
      <c r="C901" s="2">
        <v>0.81779999999999997</v>
      </c>
      <c r="D901" s="2">
        <v>0.1757</v>
      </c>
      <c r="E901" s="2">
        <v>3.3999999999999998E-3</v>
      </c>
      <c r="F901" s="2">
        <v>3.2000000000000002E-3</v>
      </c>
      <c r="G901">
        <v>832</v>
      </c>
    </row>
    <row r="902" spans="1:7" x14ac:dyDescent="0.35">
      <c r="A902" t="s">
        <v>227</v>
      </c>
      <c r="B902" t="s">
        <v>225</v>
      </c>
      <c r="C902" s="2">
        <v>0.97629999999999995</v>
      </c>
      <c r="D902" s="2">
        <v>2.3699999999999999E-2</v>
      </c>
      <c r="G902">
        <v>146</v>
      </c>
    </row>
    <row r="903" spans="1:7" x14ac:dyDescent="0.35">
      <c r="A903" t="s">
        <v>228</v>
      </c>
      <c r="B903" t="s">
        <v>228</v>
      </c>
      <c r="C903" s="2">
        <v>0.83279999999999998</v>
      </c>
      <c r="D903" s="2">
        <v>0.16070000000000001</v>
      </c>
      <c r="E903" s="2">
        <v>5.5999999999999999E-3</v>
      </c>
      <c r="F903" s="2">
        <v>8.9999999999999998E-4</v>
      </c>
      <c r="G903">
        <v>2837</v>
      </c>
    </row>
    <row r="905" spans="1:7" x14ac:dyDescent="0.35">
      <c r="A905" s="1" t="s">
        <v>495</v>
      </c>
    </row>
    <row r="906" spans="1:7" x14ac:dyDescent="0.35">
      <c r="A906" t="s">
        <v>219</v>
      </c>
      <c r="B906" t="s">
        <v>301</v>
      </c>
      <c r="C906" t="s">
        <v>299</v>
      </c>
      <c r="D906" t="s">
        <v>298</v>
      </c>
      <c r="E906" t="s">
        <v>277</v>
      </c>
      <c r="F906" t="s">
        <v>282</v>
      </c>
      <c r="G906" t="s">
        <v>226</v>
      </c>
    </row>
    <row r="907" spans="1:7" x14ac:dyDescent="0.35">
      <c r="A907" t="s">
        <v>227</v>
      </c>
      <c r="B907" t="s">
        <v>231</v>
      </c>
      <c r="C907" s="2">
        <v>0.84409999999999996</v>
      </c>
      <c r="D907" s="2">
        <v>0.15129999999999999</v>
      </c>
      <c r="E907" s="2">
        <v>4.5999999999999999E-3</v>
      </c>
      <c r="G907">
        <v>1066</v>
      </c>
    </row>
    <row r="908" spans="1:7" x14ac:dyDescent="0.35">
      <c r="A908" s="3" t="s">
        <v>227</v>
      </c>
      <c r="B908" s="3" t="s">
        <v>232</v>
      </c>
      <c r="C908" s="4">
        <v>1</v>
      </c>
      <c r="D908" s="5"/>
      <c r="E908" s="5"/>
      <c r="F908" s="5"/>
      <c r="G908" s="5" t="s">
        <v>327</v>
      </c>
    </row>
    <row r="909" spans="1:7" x14ac:dyDescent="0.35">
      <c r="A909" t="s">
        <v>227</v>
      </c>
      <c r="B909" t="s">
        <v>230</v>
      </c>
      <c r="C909" s="2">
        <v>0.82520000000000004</v>
      </c>
      <c r="D909" s="2">
        <v>0.1671</v>
      </c>
      <c r="E909" s="2">
        <v>6.3E-3</v>
      </c>
      <c r="F909" s="2">
        <v>1.4E-3</v>
      </c>
      <c r="G909">
        <v>1766</v>
      </c>
    </row>
    <row r="910" spans="1:7" x14ac:dyDescent="0.35">
      <c r="A910" t="s">
        <v>228</v>
      </c>
      <c r="B910" t="s">
        <v>228</v>
      </c>
      <c r="C910" s="2">
        <v>0.83279999999999998</v>
      </c>
      <c r="D910" s="2">
        <v>0.16070000000000001</v>
      </c>
      <c r="E910" s="2">
        <v>5.5999999999999999E-3</v>
      </c>
      <c r="F910" s="2">
        <v>8.9999999999999998E-4</v>
      </c>
      <c r="G910">
        <v>2837</v>
      </c>
    </row>
    <row r="912" spans="1:7" x14ac:dyDescent="0.35">
      <c r="A912" s="1" t="s">
        <v>496</v>
      </c>
    </row>
    <row r="913" spans="1:8" x14ac:dyDescent="0.35">
      <c r="A913" t="s">
        <v>219</v>
      </c>
      <c r="B913" t="s">
        <v>301</v>
      </c>
      <c r="C913" t="s">
        <v>325</v>
      </c>
      <c r="D913" t="s">
        <v>299</v>
      </c>
      <c r="E913" t="s">
        <v>298</v>
      </c>
      <c r="F913" t="s">
        <v>277</v>
      </c>
      <c r="G913" t="s">
        <v>282</v>
      </c>
      <c r="H913" t="s">
        <v>226</v>
      </c>
    </row>
    <row r="914" spans="1:8" x14ac:dyDescent="0.35">
      <c r="A914" t="s">
        <v>227</v>
      </c>
      <c r="B914" t="s">
        <v>231</v>
      </c>
      <c r="C914" t="s">
        <v>224</v>
      </c>
      <c r="D914" s="2">
        <v>0.72209999999999996</v>
      </c>
      <c r="E914" s="2">
        <v>0.27400000000000002</v>
      </c>
      <c r="F914" s="2">
        <v>3.8999999999999998E-3</v>
      </c>
      <c r="H914">
        <v>84</v>
      </c>
    </row>
    <row r="915" spans="1:8" x14ac:dyDescent="0.35">
      <c r="A915" t="s">
        <v>227</v>
      </c>
      <c r="B915" t="s">
        <v>231</v>
      </c>
      <c r="C915" t="s">
        <v>220</v>
      </c>
      <c r="D915" s="2">
        <v>0.82499999999999996</v>
      </c>
      <c r="E915" s="2">
        <v>0.1613</v>
      </c>
      <c r="F915" s="2">
        <v>1.3599999999999999E-2</v>
      </c>
      <c r="H915">
        <v>252</v>
      </c>
    </row>
    <row r="916" spans="1:8" x14ac:dyDescent="0.35">
      <c r="A916" t="s">
        <v>227</v>
      </c>
      <c r="B916" t="s">
        <v>231</v>
      </c>
      <c r="C916" t="s">
        <v>221</v>
      </c>
      <c r="D916" s="2">
        <v>0.81510000000000005</v>
      </c>
      <c r="E916" s="2">
        <v>0.18229999999999999</v>
      </c>
      <c r="F916" s="2">
        <v>2.5999999999999999E-3</v>
      </c>
      <c r="H916">
        <v>250</v>
      </c>
    </row>
    <row r="917" spans="1:8" x14ac:dyDescent="0.35">
      <c r="A917" t="s">
        <v>227</v>
      </c>
      <c r="B917" t="s">
        <v>231</v>
      </c>
      <c r="C917" t="s">
        <v>223</v>
      </c>
      <c r="D917" s="2">
        <v>0.90459999999999996</v>
      </c>
      <c r="E917" s="2">
        <v>9.5399999999999999E-2</v>
      </c>
      <c r="H917">
        <v>155</v>
      </c>
    </row>
    <row r="918" spans="1:8" x14ac:dyDescent="0.35">
      <c r="A918" t="s">
        <v>227</v>
      </c>
      <c r="B918" t="s">
        <v>231</v>
      </c>
      <c r="C918" t="s">
        <v>222</v>
      </c>
      <c r="D918" s="2">
        <v>0.86739999999999995</v>
      </c>
      <c r="E918" s="2">
        <v>0.1318</v>
      </c>
      <c r="F918" s="2">
        <v>8.0000000000000004E-4</v>
      </c>
      <c r="H918">
        <v>253</v>
      </c>
    </row>
    <row r="919" spans="1:8" x14ac:dyDescent="0.35">
      <c r="A919" t="s">
        <v>227</v>
      </c>
      <c r="B919" t="s">
        <v>231</v>
      </c>
      <c r="C919" t="s">
        <v>225</v>
      </c>
      <c r="D919" s="2">
        <v>0.96809999999999996</v>
      </c>
      <c r="E919" s="2">
        <v>3.1899999999999998E-2</v>
      </c>
      <c r="H919">
        <v>72</v>
      </c>
    </row>
    <row r="920" spans="1:8" x14ac:dyDescent="0.35">
      <c r="A920" s="3" t="s">
        <v>227</v>
      </c>
      <c r="B920" s="3" t="s">
        <v>232</v>
      </c>
      <c r="C920" s="3" t="s">
        <v>220</v>
      </c>
      <c r="D920" s="4">
        <v>1</v>
      </c>
      <c r="E920" s="5"/>
      <c r="F920" s="5"/>
      <c r="G920" s="5"/>
      <c r="H920" s="5" t="s">
        <v>323</v>
      </c>
    </row>
    <row r="921" spans="1:8" x14ac:dyDescent="0.35">
      <c r="A921" s="3" t="s">
        <v>227</v>
      </c>
      <c r="B921" s="3" t="s">
        <v>232</v>
      </c>
      <c r="C921" s="3" t="s">
        <v>221</v>
      </c>
      <c r="D921" s="4">
        <v>1</v>
      </c>
      <c r="E921" s="5"/>
      <c r="F921" s="5"/>
      <c r="G921" s="5"/>
      <c r="H921" s="5" t="s">
        <v>434</v>
      </c>
    </row>
    <row r="922" spans="1:8" x14ac:dyDescent="0.35">
      <c r="A922" s="3" t="s">
        <v>227</v>
      </c>
      <c r="B922" s="3" t="s">
        <v>232</v>
      </c>
      <c r="C922" s="3" t="s">
        <v>222</v>
      </c>
      <c r="D922" s="4">
        <v>1</v>
      </c>
      <c r="E922" s="5"/>
      <c r="F922" s="5"/>
      <c r="G922" s="5"/>
      <c r="H922" s="5" t="s">
        <v>434</v>
      </c>
    </row>
    <row r="923" spans="1:8" x14ac:dyDescent="0.35">
      <c r="A923" t="s">
        <v>227</v>
      </c>
      <c r="B923" t="s">
        <v>230</v>
      </c>
      <c r="C923" t="s">
        <v>224</v>
      </c>
      <c r="D923" s="2">
        <v>0.77180000000000004</v>
      </c>
      <c r="E923" s="2">
        <v>0.2253</v>
      </c>
      <c r="F923" s="2">
        <v>2.8E-3</v>
      </c>
      <c r="H923">
        <v>103</v>
      </c>
    </row>
    <row r="924" spans="1:8" x14ac:dyDescent="0.35">
      <c r="A924" t="s">
        <v>227</v>
      </c>
      <c r="B924" t="s">
        <v>230</v>
      </c>
      <c r="C924" t="s">
        <v>220</v>
      </c>
      <c r="D924" s="2">
        <v>0.81820000000000004</v>
      </c>
      <c r="E924" s="2">
        <v>0.1694</v>
      </c>
      <c r="F924" s="2">
        <v>1.24E-2</v>
      </c>
      <c r="H924">
        <v>420</v>
      </c>
    </row>
    <row r="925" spans="1:8" x14ac:dyDescent="0.35">
      <c r="A925" t="s">
        <v>227</v>
      </c>
      <c r="B925" t="s">
        <v>230</v>
      </c>
      <c r="C925" t="s">
        <v>221</v>
      </c>
      <c r="D925" s="2">
        <v>0.80730000000000002</v>
      </c>
      <c r="E925" s="2">
        <v>0.19159999999999999</v>
      </c>
      <c r="F925" s="2">
        <v>1E-3</v>
      </c>
      <c r="H925">
        <v>405</v>
      </c>
    </row>
    <row r="926" spans="1:8" x14ac:dyDescent="0.35">
      <c r="A926" t="s">
        <v>227</v>
      </c>
      <c r="B926" t="s">
        <v>230</v>
      </c>
      <c r="C926" t="s">
        <v>223</v>
      </c>
      <c r="D926" s="2">
        <v>0.93289999999999995</v>
      </c>
      <c r="E926" s="2">
        <v>5.5100000000000003E-2</v>
      </c>
      <c r="F926" s="2">
        <v>1.2E-2</v>
      </c>
      <c r="H926">
        <v>187</v>
      </c>
    </row>
    <row r="927" spans="1:8" x14ac:dyDescent="0.35">
      <c r="A927" t="s">
        <v>227</v>
      </c>
      <c r="B927" t="s">
        <v>230</v>
      </c>
      <c r="C927" t="s">
        <v>222</v>
      </c>
      <c r="D927" s="2">
        <v>0.79590000000000005</v>
      </c>
      <c r="E927" s="2">
        <v>0.19500000000000001</v>
      </c>
      <c r="F927" s="2">
        <v>4.4999999999999997E-3</v>
      </c>
      <c r="G927" s="2">
        <v>4.5999999999999999E-3</v>
      </c>
      <c r="H927">
        <v>577</v>
      </c>
    </row>
    <row r="928" spans="1:8" x14ac:dyDescent="0.35">
      <c r="A928" t="s">
        <v>227</v>
      </c>
      <c r="B928" t="s">
        <v>230</v>
      </c>
      <c r="C928" t="s">
        <v>225</v>
      </c>
      <c r="D928" s="2">
        <v>0.98450000000000004</v>
      </c>
      <c r="E928" s="2">
        <v>1.55E-2</v>
      </c>
      <c r="H928">
        <v>74</v>
      </c>
    </row>
    <row r="929" spans="1:14" x14ac:dyDescent="0.35">
      <c r="A929" t="s">
        <v>228</v>
      </c>
      <c r="B929" t="s">
        <v>228</v>
      </c>
      <c r="C929" t="s">
        <v>228</v>
      </c>
      <c r="D929" s="2">
        <v>0.83279999999999998</v>
      </c>
      <c r="E929" s="2">
        <v>0.16070000000000001</v>
      </c>
      <c r="F929" s="2">
        <v>5.5999999999999999E-3</v>
      </c>
      <c r="G929" s="2">
        <v>8.9999999999999998E-4</v>
      </c>
      <c r="H929">
        <v>2837</v>
      </c>
    </row>
    <row r="931" spans="1:14" x14ac:dyDescent="0.35">
      <c r="A931" s="1" t="s">
        <v>497</v>
      </c>
    </row>
    <row r="932" spans="1:14" x14ac:dyDescent="0.35">
      <c r="A932" t="s">
        <v>219</v>
      </c>
      <c r="B932" t="s">
        <v>498</v>
      </c>
      <c r="C932" t="s">
        <v>499</v>
      </c>
      <c r="D932" t="s">
        <v>500</v>
      </c>
      <c r="E932" t="s">
        <v>501</v>
      </c>
      <c r="F932" t="s">
        <v>502</v>
      </c>
      <c r="G932" t="s">
        <v>503</v>
      </c>
      <c r="H932" t="s">
        <v>504</v>
      </c>
      <c r="I932" t="s">
        <v>505</v>
      </c>
      <c r="J932" t="s">
        <v>282</v>
      </c>
      <c r="K932" t="s">
        <v>506</v>
      </c>
      <c r="L932" t="s">
        <v>277</v>
      </c>
      <c r="M932" t="s">
        <v>226</v>
      </c>
    </row>
    <row r="933" spans="1:14" x14ac:dyDescent="0.35">
      <c r="A933" t="s">
        <v>227</v>
      </c>
      <c r="B933" s="2">
        <v>0.35770000000000002</v>
      </c>
      <c r="C933" s="2">
        <v>0.2787</v>
      </c>
      <c r="D933" s="2">
        <v>0.24249999999999999</v>
      </c>
      <c r="E933" s="2">
        <v>0.1245</v>
      </c>
      <c r="F933" s="2">
        <v>8.1299999999999997E-2</v>
      </c>
      <c r="G933" s="2">
        <v>6.5100000000000005E-2</v>
      </c>
      <c r="H933" s="2">
        <v>6.2600000000000003E-2</v>
      </c>
      <c r="I933" s="2">
        <v>3.73E-2</v>
      </c>
      <c r="J933" s="2">
        <v>1.38E-2</v>
      </c>
      <c r="K933" s="2">
        <v>4.7999999999999996E-3</v>
      </c>
      <c r="L933" s="2">
        <v>1.8E-3</v>
      </c>
      <c r="M933">
        <v>458</v>
      </c>
    </row>
    <row r="934" spans="1:14" x14ac:dyDescent="0.35">
      <c r="A934" t="s">
        <v>228</v>
      </c>
      <c r="B934" s="2">
        <v>0.35770000000000002</v>
      </c>
      <c r="C934" s="2">
        <v>0.2787</v>
      </c>
      <c r="D934" s="2">
        <v>0.24249999999999999</v>
      </c>
      <c r="E934" s="2">
        <v>0.1245</v>
      </c>
      <c r="F934" s="2">
        <v>8.1299999999999997E-2</v>
      </c>
      <c r="G934" s="2">
        <v>6.5100000000000005E-2</v>
      </c>
      <c r="H934" s="2">
        <v>6.2600000000000003E-2</v>
      </c>
      <c r="I934" s="2">
        <v>3.73E-2</v>
      </c>
      <c r="J934" s="2">
        <v>1.38E-2</v>
      </c>
      <c r="K934" s="2">
        <v>4.7999999999999996E-3</v>
      </c>
      <c r="L934" s="2">
        <v>1.8E-3</v>
      </c>
      <c r="M934">
        <v>458</v>
      </c>
    </row>
    <row r="936" spans="1:14" x14ac:dyDescent="0.35">
      <c r="A936" s="1" t="s">
        <v>507</v>
      </c>
    </row>
    <row r="937" spans="1:14" x14ac:dyDescent="0.35">
      <c r="A937" t="s">
        <v>219</v>
      </c>
      <c r="B937" t="s">
        <v>301</v>
      </c>
      <c r="C937" t="s">
        <v>498</v>
      </c>
      <c r="D937" t="s">
        <v>499</v>
      </c>
      <c r="E937" t="s">
        <v>500</v>
      </c>
      <c r="F937" t="s">
        <v>501</v>
      </c>
      <c r="G937" t="s">
        <v>502</v>
      </c>
      <c r="H937" t="s">
        <v>503</v>
      </c>
      <c r="I937" t="s">
        <v>504</v>
      </c>
      <c r="J937" t="s">
        <v>505</v>
      </c>
      <c r="K937" t="s">
        <v>282</v>
      </c>
      <c r="L937" t="s">
        <v>506</v>
      </c>
      <c r="M937" t="s">
        <v>277</v>
      </c>
      <c r="N937" t="s">
        <v>226</v>
      </c>
    </row>
    <row r="938" spans="1:14" x14ac:dyDescent="0.35">
      <c r="A938" t="s">
        <v>227</v>
      </c>
      <c r="B938" t="s">
        <v>238</v>
      </c>
      <c r="C938" s="2">
        <v>0.39460000000000001</v>
      </c>
      <c r="D938" s="2">
        <v>0.24610000000000001</v>
      </c>
      <c r="E938" s="2">
        <v>0.28179999999999999</v>
      </c>
      <c r="F938" s="2">
        <v>0.159</v>
      </c>
      <c r="G938" s="2">
        <v>7.5600000000000001E-2</v>
      </c>
      <c r="H938" s="2">
        <v>8.9800000000000005E-2</v>
      </c>
      <c r="I938" s="2">
        <v>5.0099999999999999E-2</v>
      </c>
      <c r="J938" s="2">
        <v>5.5399999999999998E-2</v>
      </c>
      <c r="L938" s="2">
        <v>8.0000000000000002E-3</v>
      </c>
      <c r="M938" s="2">
        <v>2.9999999999999997E-4</v>
      </c>
      <c r="N938">
        <v>277</v>
      </c>
    </row>
    <row r="939" spans="1:14" x14ac:dyDescent="0.35">
      <c r="A939" t="s">
        <v>227</v>
      </c>
      <c r="B939" t="s">
        <v>237</v>
      </c>
      <c r="C939" s="2">
        <v>0.30309999999999998</v>
      </c>
      <c r="D939" s="2">
        <v>0.32690000000000002</v>
      </c>
      <c r="E939" s="2">
        <v>0.1842</v>
      </c>
      <c r="F939" s="2">
        <v>7.3400000000000007E-2</v>
      </c>
      <c r="G939" s="2">
        <v>8.9899999999999994E-2</v>
      </c>
      <c r="H939" s="2">
        <v>2.8500000000000001E-2</v>
      </c>
      <c r="I939" s="2">
        <v>8.1199999999999994E-2</v>
      </c>
      <c r="J939" s="2">
        <v>1.06E-2</v>
      </c>
      <c r="K939" s="2">
        <v>3.4299999999999997E-2</v>
      </c>
      <c r="M939" s="2">
        <v>4.1000000000000003E-3</v>
      </c>
      <c r="N939">
        <v>181</v>
      </c>
    </row>
    <row r="940" spans="1:14" x14ac:dyDescent="0.35">
      <c r="A940" t="s">
        <v>228</v>
      </c>
      <c r="B940" t="s">
        <v>228</v>
      </c>
      <c r="C940" s="2">
        <v>0.35770000000000002</v>
      </c>
      <c r="D940" s="2">
        <v>0.2787</v>
      </c>
      <c r="E940" s="2">
        <v>0.24249999999999999</v>
      </c>
      <c r="F940" s="2">
        <v>0.1245</v>
      </c>
      <c r="G940" s="2">
        <v>8.1299999999999997E-2</v>
      </c>
      <c r="H940" s="2">
        <v>6.5100000000000005E-2</v>
      </c>
      <c r="I940" s="2">
        <v>6.2600000000000003E-2</v>
      </c>
      <c r="J940" s="2">
        <v>3.73E-2</v>
      </c>
      <c r="K940" s="2">
        <v>1.38E-2</v>
      </c>
      <c r="L940" s="2">
        <v>4.7999999999999996E-3</v>
      </c>
      <c r="M940" s="2">
        <v>1.8E-3</v>
      </c>
      <c r="N940">
        <v>458</v>
      </c>
    </row>
    <row r="942" spans="1:14" x14ac:dyDescent="0.35">
      <c r="A942" s="1" t="s">
        <v>508</v>
      </c>
    </row>
    <row r="943" spans="1:14" x14ac:dyDescent="0.35">
      <c r="A943" t="s">
        <v>219</v>
      </c>
      <c r="B943" t="s">
        <v>301</v>
      </c>
      <c r="C943" t="s">
        <v>498</v>
      </c>
      <c r="D943" t="s">
        <v>499</v>
      </c>
      <c r="E943" t="s">
        <v>500</v>
      </c>
      <c r="F943" t="s">
        <v>501</v>
      </c>
      <c r="G943" t="s">
        <v>502</v>
      </c>
      <c r="H943" t="s">
        <v>503</v>
      </c>
      <c r="I943" t="s">
        <v>504</v>
      </c>
      <c r="J943" t="s">
        <v>505</v>
      </c>
      <c r="K943" t="s">
        <v>282</v>
      </c>
      <c r="L943" t="s">
        <v>506</v>
      </c>
      <c r="M943" t="s">
        <v>277</v>
      </c>
      <c r="N943" t="s">
        <v>226</v>
      </c>
    </row>
    <row r="944" spans="1:14" x14ac:dyDescent="0.35">
      <c r="A944" t="s">
        <v>227</v>
      </c>
      <c r="B944" t="s">
        <v>235</v>
      </c>
      <c r="C944" s="2">
        <v>0.43180000000000002</v>
      </c>
      <c r="D944" s="2">
        <v>0.30249999999999999</v>
      </c>
      <c r="E944" s="2">
        <v>0.22939999999999999</v>
      </c>
      <c r="F944" s="2">
        <v>0.17799999999999999</v>
      </c>
      <c r="G944" s="2">
        <v>5.3199999999999997E-2</v>
      </c>
      <c r="H944" s="2">
        <v>4.4600000000000001E-2</v>
      </c>
      <c r="I944" s="2">
        <v>5.7500000000000002E-2</v>
      </c>
      <c r="J944" s="2">
        <v>5.2999999999999999E-2</v>
      </c>
      <c r="K944" s="2">
        <v>2.7699999999999999E-2</v>
      </c>
      <c r="L944" s="2">
        <v>1.4E-3</v>
      </c>
      <c r="M944" s="2">
        <v>3.0999999999999999E-3</v>
      </c>
      <c r="N944">
        <v>163</v>
      </c>
    </row>
    <row r="945" spans="1:14" x14ac:dyDescent="0.35">
      <c r="A945" t="s">
        <v>227</v>
      </c>
      <c r="B945" t="s">
        <v>234</v>
      </c>
      <c r="C945" s="2">
        <v>0.316</v>
      </c>
      <c r="D945" s="2">
        <v>0.26529999999999998</v>
      </c>
      <c r="E945" s="2">
        <v>0.24979999999999999</v>
      </c>
      <c r="F945" s="2">
        <v>9.4399999999999998E-2</v>
      </c>
      <c r="G945" s="2">
        <v>9.7199999999999995E-2</v>
      </c>
      <c r="H945" s="2">
        <v>7.6600000000000001E-2</v>
      </c>
      <c r="I945" s="2">
        <v>6.5500000000000003E-2</v>
      </c>
      <c r="J945" s="2">
        <v>2.8500000000000001E-2</v>
      </c>
      <c r="K945" s="2">
        <v>6.0000000000000001E-3</v>
      </c>
      <c r="L945" s="2">
        <v>6.6E-3</v>
      </c>
      <c r="M945" s="2">
        <v>1.1000000000000001E-3</v>
      </c>
      <c r="N945">
        <v>295</v>
      </c>
    </row>
    <row r="946" spans="1:14" x14ac:dyDescent="0.35">
      <c r="A946" t="s">
        <v>228</v>
      </c>
      <c r="B946" t="s">
        <v>228</v>
      </c>
      <c r="C946" s="2">
        <v>0.35770000000000002</v>
      </c>
      <c r="D946" s="2">
        <v>0.2787</v>
      </c>
      <c r="E946" s="2">
        <v>0.24249999999999999</v>
      </c>
      <c r="F946" s="2">
        <v>0.1245</v>
      </c>
      <c r="G946" s="2">
        <v>8.1299999999999997E-2</v>
      </c>
      <c r="H946" s="2">
        <v>6.5100000000000005E-2</v>
      </c>
      <c r="I946" s="2">
        <v>6.2600000000000003E-2</v>
      </c>
      <c r="J946" s="2">
        <v>3.73E-2</v>
      </c>
      <c r="K946" s="2">
        <v>1.38E-2</v>
      </c>
      <c r="L946" s="2">
        <v>4.7999999999999996E-3</v>
      </c>
      <c r="M946" s="2">
        <v>1.8E-3</v>
      </c>
      <c r="N946">
        <v>458</v>
      </c>
    </row>
    <row r="948" spans="1:14" x14ac:dyDescent="0.35">
      <c r="A948" s="1" t="s">
        <v>509</v>
      </c>
    </row>
    <row r="949" spans="1:14" x14ac:dyDescent="0.35">
      <c r="A949" t="s">
        <v>219</v>
      </c>
      <c r="B949" t="s">
        <v>301</v>
      </c>
      <c r="C949" t="s">
        <v>498</v>
      </c>
      <c r="D949" t="s">
        <v>499</v>
      </c>
      <c r="E949" t="s">
        <v>500</v>
      </c>
      <c r="F949" t="s">
        <v>501</v>
      </c>
      <c r="G949" t="s">
        <v>502</v>
      </c>
      <c r="H949" t="s">
        <v>503</v>
      </c>
      <c r="I949" t="s">
        <v>504</v>
      </c>
      <c r="J949" t="s">
        <v>505</v>
      </c>
      <c r="K949" t="s">
        <v>282</v>
      </c>
      <c r="L949" t="s">
        <v>506</v>
      </c>
      <c r="M949" t="s">
        <v>277</v>
      </c>
      <c r="N949" t="s">
        <v>226</v>
      </c>
    </row>
    <row r="950" spans="1:14" x14ac:dyDescent="0.35">
      <c r="A950" t="s">
        <v>227</v>
      </c>
      <c r="B950" t="s">
        <v>240</v>
      </c>
      <c r="C950" s="2">
        <v>0.35749999999999998</v>
      </c>
      <c r="D950" s="2">
        <v>0.28499999999999998</v>
      </c>
      <c r="E950" s="2">
        <v>0.2722</v>
      </c>
      <c r="F950" s="2">
        <v>0.1157</v>
      </c>
      <c r="G950" s="2">
        <v>8.7099999999999997E-2</v>
      </c>
      <c r="H950" s="2">
        <v>6.3799999999999996E-2</v>
      </c>
      <c r="I950" s="2">
        <v>5.7200000000000001E-2</v>
      </c>
      <c r="J950" s="2">
        <v>2.7699999999999999E-2</v>
      </c>
      <c r="K950" s="2">
        <v>5.7999999999999996E-3</v>
      </c>
      <c r="L950" s="2">
        <v>8.0000000000000004E-4</v>
      </c>
      <c r="M950" s="2">
        <v>2.8E-3</v>
      </c>
      <c r="N950">
        <v>300</v>
      </c>
    </row>
    <row r="951" spans="1:14" x14ac:dyDescent="0.35">
      <c r="A951" t="s">
        <v>227</v>
      </c>
      <c r="B951" t="s">
        <v>241</v>
      </c>
      <c r="C951" s="2">
        <v>0.42499999999999999</v>
      </c>
      <c r="D951" s="2">
        <v>0.24660000000000001</v>
      </c>
      <c r="E951" s="2">
        <v>0.17419999999999999</v>
      </c>
      <c r="F951" s="2">
        <v>1.9199999999999998E-2</v>
      </c>
      <c r="G951" s="2">
        <v>3.8600000000000002E-2</v>
      </c>
      <c r="H951" s="2">
        <v>8.8300000000000003E-2</v>
      </c>
      <c r="I951" s="2">
        <v>8.9999999999999998E-4</v>
      </c>
      <c r="J951" s="2">
        <v>3.9100000000000003E-2</v>
      </c>
      <c r="K951" s="2">
        <v>5.3199999999999997E-2</v>
      </c>
      <c r="L951" s="2">
        <v>2.2700000000000001E-2</v>
      </c>
      <c r="N951">
        <v>96</v>
      </c>
    </row>
    <row r="952" spans="1:14" x14ac:dyDescent="0.35">
      <c r="A952" t="s">
        <v>227</v>
      </c>
      <c r="B952" t="s">
        <v>242</v>
      </c>
      <c r="C952" s="2">
        <v>0.27810000000000001</v>
      </c>
      <c r="D952" s="2">
        <v>0.29089999999999999</v>
      </c>
      <c r="E952" s="2">
        <v>0.1993</v>
      </c>
      <c r="F952" s="2">
        <v>0.28749999999999998</v>
      </c>
      <c r="G952" s="2">
        <v>0.1082</v>
      </c>
      <c r="H952" s="2">
        <v>4.2799999999999998E-2</v>
      </c>
      <c r="I952" s="2">
        <v>0.15909999999999999</v>
      </c>
      <c r="J952" s="2">
        <v>7.5399999999999995E-2</v>
      </c>
      <c r="N952">
        <v>62</v>
      </c>
    </row>
    <row r="953" spans="1:14" x14ac:dyDescent="0.35">
      <c r="A953" t="s">
        <v>228</v>
      </c>
      <c r="B953" t="s">
        <v>228</v>
      </c>
      <c r="C953" s="2">
        <v>0.35770000000000002</v>
      </c>
      <c r="D953" s="2">
        <v>0.2787</v>
      </c>
      <c r="E953" s="2">
        <v>0.24249999999999999</v>
      </c>
      <c r="F953" s="2">
        <v>0.1245</v>
      </c>
      <c r="G953" s="2">
        <v>8.1299999999999997E-2</v>
      </c>
      <c r="H953" s="2">
        <v>6.5100000000000005E-2</v>
      </c>
      <c r="I953" s="2">
        <v>6.2600000000000003E-2</v>
      </c>
      <c r="J953" s="2">
        <v>3.73E-2</v>
      </c>
      <c r="K953" s="2">
        <v>1.38E-2</v>
      </c>
      <c r="L953" s="2">
        <v>4.7999999999999996E-3</v>
      </c>
      <c r="M953" s="2">
        <v>1.8E-3</v>
      </c>
      <c r="N953">
        <v>458</v>
      </c>
    </row>
    <row r="955" spans="1:14" x14ac:dyDescent="0.35">
      <c r="A955" s="1" t="s">
        <v>510</v>
      </c>
    </row>
    <row r="956" spans="1:14" x14ac:dyDescent="0.35">
      <c r="A956" t="s">
        <v>219</v>
      </c>
      <c r="B956" t="s">
        <v>301</v>
      </c>
      <c r="C956" t="s">
        <v>498</v>
      </c>
      <c r="D956" t="s">
        <v>499</v>
      </c>
      <c r="E956" t="s">
        <v>500</v>
      </c>
      <c r="F956" t="s">
        <v>501</v>
      </c>
      <c r="G956" t="s">
        <v>502</v>
      </c>
      <c r="H956" t="s">
        <v>503</v>
      </c>
      <c r="I956" t="s">
        <v>504</v>
      </c>
      <c r="J956" t="s">
        <v>505</v>
      </c>
      <c r="K956" t="s">
        <v>282</v>
      </c>
      <c r="L956" t="s">
        <v>506</v>
      </c>
      <c r="M956" t="s">
        <v>277</v>
      </c>
      <c r="N956" t="s">
        <v>226</v>
      </c>
    </row>
    <row r="957" spans="1:14" x14ac:dyDescent="0.35">
      <c r="A957" t="s">
        <v>227</v>
      </c>
      <c r="B957" t="s">
        <v>334</v>
      </c>
      <c r="C957" s="2">
        <v>0.39400000000000002</v>
      </c>
      <c r="D957" s="2">
        <v>0.17899999999999999</v>
      </c>
      <c r="E957" s="2">
        <v>0.23599999999999999</v>
      </c>
      <c r="F957" s="2">
        <v>0.15340000000000001</v>
      </c>
      <c r="G957" s="2">
        <v>0.12189999999999999</v>
      </c>
      <c r="H957" s="2">
        <v>2.06E-2</v>
      </c>
      <c r="I957" s="2">
        <v>6.93E-2</v>
      </c>
      <c r="J957" s="2">
        <v>4.8300000000000003E-2</v>
      </c>
      <c r="L957" s="2">
        <v>1.5E-3</v>
      </c>
      <c r="M957" s="2">
        <v>5.0000000000000001E-4</v>
      </c>
      <c r="N957">
        <v>182</v>
      </c>
    </row>
    <row r="958" spans="1:14" x14ac:dyDescent="0.35">
      <c r="A958" t="s">
        <v>227</v>
      </c>
      <c r="B958" t="s">
        <v>335</v>
      </c>
      <c r="C958" s="2">
        <v>0.31869999999999998</v>
      </c>
      <c r="D958" s="2">
        <v>0.40060000000000001</v>
      </c>
      <c r="E958" s="2">
        <v>0.21709999999999999</v>
      </c>
      <c r="F958" s="2">
        <v>0.10929999999999999</v>
      </c>
      <c r="G958" s="2">
        <v>1.72E-2</v>
      </c>
      <c r="H958" s="2">
        <v>0.1106</v>
      </c>
      <c r="I958" s="2">
        <v>4.4299999999999999E-2</v>
      </c>
      <c r="J958" s="2">
        <v>1.78E-2</v>
      </c>
      <c r="L958" s="2">
        <v>1.78E-2</v>
      </c>
      <c r="N958">
        <v>77</v>
      </c>
    </row>
    <row r="959" spans="1:14" x14ac:dyDescent="0.35">
      <c r="A959" t="s">
        <v>227</v>
      </c>
      <c r="B959" t="s">
        <v>336</v>
      </c>
      <c r="C959" s="2">
        <v>0.45229999999999998</v>
      </c>
      <c r="D959" s="2">
        <v>0.1842</v>
      </c>
      <c r="E959" s="2">
        <v>0.28420000000000001</v>
      </c>
      <c r="F959" s="2">
        <v>5.3199999999999997E-2</v>
      </c>
      <c r="G959" s="2">
        <v>7.7499999999999999E-2</v>
      </c>
      <c r="H959" s="2">
        <v>4.8800000000000003E-2</v>
      </c>
      <c r="I959" s="2">
        <v>4.9299999999999997E-2</v>
      </c>
      <c r="J959" s="2">
        <v>1.7399999999999999E-2</v>
      </c>
      <c r="K959" s="2">
        <v>5.3600000000000002E-2</v>
      </c>
      <c r="N959">
        <v>108</v>
      </c>
    </row>
    <row r="960" spans="1:14" x14ac:dyDescent="0.35">
      <c r="A960" t="s">
        <v>227</v>
      </c>
      <c r="B960" t="s">
        <v>337</v>
      </c>
      <c r="C960" s="2">
        <v>0.28739999999999999</v>
      </c>
      <c r="D960" s="2">
        <v>0.31929999999999997</v>
      </c>
      <c r="E960" s="2">
        <v>0.30730000000000002</v>
      </c>
      <c r="F960" s="2">
        <v>0.1938</v>
      </c>
      <c r="G960" s="2">
        <v>0.12970000000000001</v>
      </c>
      <c r="H960" s="2">
        <v>0.1401</v>
      </c>
      <c r="I960" s="2">
        <v>0.11020000000000001</v>
      </c>
      <c r="J960" s="2">
        <v>7.9100000000000004E-2</v>
      </c>
      <c r="N960">
        <v>62</v>
      </c>
    </row>
    <row r="961" spans="1:14" x14ac:dyDescent="0.35">
      <c r="A961" t="s">
        <v>228</v>
      </c>
      <c r="B961" t="s">
        <v>228</v>
      </c>
      <c r="C961" s="2">
        <v>0.35770000000000002</v>
      </c>
      <c r="D961" s="2">
        <v>0.2787</v>
      </c>
      <c r="E961" s="2">
        <v>0.24249999999999999</v>
      </c>
      <c r="F961" s="2">
        <v>0.1245</v>
      </c>
      <c r="G961" s="2">
        <v>8.1299999999999997E-2</v>
      </c>
      <c r="H961" s="2">
        <v>6.5100000000000005E-2</v>
      </c>
      <c r="I961" s="2">
        <v>6.2600000000000003E-2</v>
      </c>
      <c r="J961" s="2">
        <v>3.73E-2</v>
      </c>
      <c r="K961" s="2">
        <v>1.38E-2</v>
      </c>
      <c r="L961" s="2">
        <v>4.7999999999999996E-3</v>
      </c>
      <c r="M961" s="2">
        <v>1.8E-3</v>
      </c>
      <c r="N961">
        <v>429</v>
      </c>
    </row>
    <row r="963" spans="1:14" x14ac:dyDescent="0.35">
      <c r="A963" s="1" t="s">
        <v>511</v>
      </c>
    </row>
    <row r="964" spans="1:14" x14ac:dyDescent="0.35">
      <c r="A964" t="s">
        <v>219</v>
      </c>
      <c r="B964" t="s">
        <v>301</v>
      </c>
      <c r="C964" t="s">
        <v>498</v>
      </c>
      <c r="D964" t="s">
        <v>499</v>
      </c>
      <c r="E964" t="s">
        <v>500</v>
      </c>
      <c r="F964" t="s">
        <v>501</v>
      </c>
      <c r="G964" t="s">
        <v>502</v>
      </c>
      <c r="H964" t="s">
        <v>503</v>
      </c>
      <c r="I964" t="s">
        <v>504</v>
      </c>
      <c r="J964" t="s">
        <v>505</v>
      </c>
      <c r="K964" t="s">
        <v>282</v>
      </c>
      <c r="L964" t="s">
        <v>506</v>
      </c>
      <c r="M964" t="s">
        <v>277</v>
      </c>
      <c r="N964" t="s">
        <v>226</v>
      </c>
    </row>
    <row r="965" spans="1:14" x14ac:dyDescent="0.35">
      <c r="A965" t="s">
        <v>227</v>
      </c>
      <c r="B965" t="s">
        <v>263</v>
      </c>
      <c r="C965" s="2">
        <v>0.35780000000000001</v>
      </c>
      <c r="D965" s="2">
        <v>0.37340000000000001</v>
      </c>
      <c r="E965" s="2">
        <v>0.29730000000000001</v>
      </c>
      <c r="F965" s="2">
        <v>0.1517</v>
      </c>
      <c r="G965" s="2">
        <v>3.8699999999999998E-2</v>
      </c>
      <c r="H965" s="2">
        <v>4.4999999999999998E-2</v>
      </c>
      <c r="I965" s="2">
        <v>1.8E-3</v>
      </c>
      <c r="J965" s="2">
        <v>4.7399999999999998E-2</v>
      </c>
      <c r="K965" s="2">
        <v>6.4399999999999999E-2</v>
      </c>
      <c r="N965">
        <v>60</v>
      </c>
    </row>
    <row r="966" spans="1:14" x14ac:dyDescent="0.35">
      <c r="A966" t="s">
        <v>227</v>
      </c>
      <c r="B966" t="s">
        <v>262</v>
      </c>
      <c r="C966" s="2">
        <v>0.38</v>
      </c>
      <c r="D966" s="2">
        <v>0.17460000000000001</v>
      </c>
      <c r="E966" s="2">
        <v>0.2238</v>
      </c>
      <c r="F966" s="2">
        <v>0.12540000000000001</v>
      </c>
      <c r="G966" s="2">
        <v>9.3299999999999994E-2</v>
      </c>
      <c r="H966" s="2">
        <v>6.9800000000000001E-2</v>
      </c>
      <c r="I966" s="2">
        <v>3.2800000000000003E-2</v>
      </c>
      <c r="J966" s="2">
        <v>3.3399999999999999E-2</v>
      </c>
      <c r="L966" s="2">
        <v>1.2E-2</v>
      </c>
      <c r="M966" s="2">
        <v>4.0000000000000002E-4</v>
      </c>
      <c r="N966">
        <v>199</v>
      </c>
    </row>
    <row r="967" spans="1:14" x14ac:dyDescent="0.35">
      <c r="A967" t="s">
        <v>227</v>
      </c>
      <c r="B967" t="s">
        <v>261</v>
      </c>
      <c r="C967" s="2">
        <v>0.33800000000000002</v>
      </c>
      <c r="D967" s="2">
        <v>0.33839999999999998</v>
      </c>
      <c r="E967" s="2">
        <v>0.24010000000000001</v>
      </c>
      <c r="F967" s="2">
        <v>0.1143</v>
      </c>
      <c r="G967" s="2">
        <v>8.5400000000000004E-2</v>
      </c>
      <c r="H967" s="2">
        <v>6.7799999999999999E-2</v>
      </c>
      <c r="I967" s="2">
        <v>0.1101</v>
      </c>
      <c r="J967" s="2">
        <v>3.73E-2</v>
      </c>
      <c r="K967" s="2">
        <v>8.6E-3</v>
      </c>
      <c r="M967" s="2">
        <v>3.7000000000000002E-3</v>
      </c>
      <c r="N967">
        <v>199</v>
      </c>
    </row>
    <row r="968" spans="1:14" x14ac:dyDescent="0.35">
      <c r="A968" t="s">
        <v>228</v>
      </c>
      <c r="B968" t="s">
        <v>228</v>
      </c>
      <c r="C968" s="2">
        <v>0.35770000000000002</v>
      </c>
      <c r="D968" s="2">
        <v>0.2787</v>
      </c>
      <c r="E968" s="2">
        <v>0.24249999999999999</v>
      </c>
      <c r="F968" s="2">
        <v>0.1245</v>
      </c>
      <c r="G968" s="2">
        <v>8.1299999999999997E-2</v>
      </c>
      <c r="H968" s="2">
        <v>6.5100000000000005E-2</v>
      </c>
      <c r="I968" s="2">
        <v>6.2600000000000003E-2</v>
      </c>
      <c r="J968" s="2">
        <v>3.73E-2</v>
      </c>
      <c r="K968" s="2">
        <v>1.38E-2</v>
      </c>
      <c r="L968" s="2">
        <v>4.7999999999999996E-3</v>
      </c>
      <c r="M968" s="2">
        <v>1.8E-3</v>
      </c>
      <c r="N968">
        <v>458</v>
      </c>
    </row>
    <row r="970" spans="1:14" x14ac:dyDescent="0.35">
      <c r="A970" s="1" t="s">
        <v>512</v>
      </c>
    </row>
    <row r="971" spans="1:14" x14ac:dyDescent="0.35">
      <c r="A971" t="s">
        <v>219</v>
      </c>
      <c r="B971" t="s">
        <v>301</v>
      </c>
      <c r="C971" t="s">
        <v>498</v>
      </c>
      <c r="D971" t="s">
        <v>499</v>
      </c>
      <c r="E971" t="s">
        <v>500</v>
      </c>
      <c r="F971" t="s">
        <v>501</v>
      </c>
      <c r="G971" t="s">
        <v>502</v>
      </c>
      <c r="H971" t="s">
        <v>503</v>
      </c>
      <c r="I971" t="s">
        <v>504</v>
      </c>
      <c r="J971" t="s">
        <v>505</v>
      </c>
      <c r="K971" t="s">
        <v>282</v>
      </c>
      <c r="L971" t="s">
        <v>506</v>
      </c>
      <c r="M971" t="s">
        <v>277</v>
      </c>
      <c r="N971" t="s">
        <v>226</v>
      </c>
    </row>
    <row r="972" spans="1:14" x14ac:dyDescent="0.35">
      <c r="A972" t="s">
        <v>227</v>
      </c>
      <c r="B972" t="s">
        <v>248</v>
      </c>
      <c r="C972" s="2">
        <v>0.40450000000000003</v>
      </c>
      <c r="D972" s="2">
        <v>0.20549999999999999</v>
      </c>
      <c r="E972" s="2">
        <v>0.25380000000000003</v>
      </c>
      <c r="F972" s="2">
        <v>1.4500000000000001E-2</v>
      </c>
      <c r="G972" s="2">
        <v>9.9299999999999999E-2</v>
      </c>
      <c r="H972" s="2">
        <v>6.54E-2</v>
      </c>
      <c r="I972" s="2">
        <v>9.5999999999999992E-3</v>
      </c>
      <c r="J972" s="2">
        <v>1.18E-2</v>
      </c>
      <c r="K972" s="2">
        <v>3.3099999999999997E-2</v>
      </c>
      <c r="N972">
        <v>135</v>
      </c>
    </row>
    <row r="973" spans="1:14" x14ac:dyDescent="0.35">
      <c r="A973" t="s">
        <v>227</v>
      </c>
      <c r="B973" t="s">
        <v>249</v>
      </c>
      <c r="C973" s="2">
        <v>0.3795</v>
      </c>
      <c r="D973" s="2">
        <v>0.23980000000000001</v>
      </c>
      <c r="E973" s="2">
        <v>0.27750000000000002</v>
      </c>
      <c r="F973" s="2">
        <v>0.23319999999999999</v>
      </c>
      <c r="G973" s="2">
        <v>6.1100000000000002E-2</v>
      </c>
      <c r="H973" s="2">
        <v>4.7899999999999998E-2</v>
      </c>
      <c r="I973" s="2">
        <v>4.7199999999999999E-2</v>
      </c>
      <c r="J973" s="2">
        <v>5.57E-2</v>
      </c>
      <c r="M973" s="2">
        <v>4.0000000000000002E-4</v>
      </c>
      <c r="N973">
        <v>158</v>
      </c>
    </row>
    <row r="974" spans="1:14" x14ac:dyDescent="0.35">
      <c r="A974" t="s">
        <v>227</v>
      </c>
      <c r="B974" t="s">
        <v>247</v>
      </c>
      <c r="C974" s="2">
        <v>0.29530000000000001</v>
      </c>
      <c r="D974" s="2">
        <v>0.38119999999999998</v>
      </c>
      <c r="E974" s="2">
        <v>0.19739999999999999</v>
      </c>
      <c r="F974" s="2">
        <v>0.11020000000000001</v>
      </c>
      <c r="G974" s="2">
        <v>8.6199999999999999E-2</v>
      </c>
      <c r="H974" s="2">
        <v>8.2100000000000006E-2</v>
      </c>
      <c r="I974" s="2">
        <v>0.124</v>
      </c>
      <c r="J974" s="2">
        <v>4.0800000000000003E-2</v>
      </c>
      <c r="K974" s="2">
        <v>1.0999999999999999E-2</v>
      </c>
      <c r="L974" s="2">
        <v>1.37E-2</v>
      </c>
      <c r="M974" s="2">
        <v>4.7000000000000002E-3</v>
      </c>
      <c r="N974">
        <v>165</v>
      </c>
    </row>
    <row r="975" spans="1:14" x14ac:dyDescent="0.35">
      <c r="A975" t="s">
        <v>228</v>
      </c>
      <c r="B975" t="s">
        <v>228</v>
      </c>
      <c r="C975" s="2">
        <v>0.35770000000000002</v>
      </c>
      <c r="D975" s="2">
        <v>0.2787</v>
      </c>
      <c r="E975" s="2">
        <v>0.24249999999999999</v>
      </c>
      <c r="F975" s="2">
        <v>0.1245</v>
      </c>
      <c r="G975" s="2">
        <v>8.1299999999999997E-2</v>
      </c>
      <c r="H975" s="2">
        <v>6.5100000000000005E-2</v>
      </c>
      <c r="I975" s="2">
        <v>6.2600000000000003E-2</v>
      </c>
      <c r="J975" s="2">
        <v>3.73E-2</v>
      </c>
      <c r="K975" s="2">
        <v>1.38E-2</v>
      </c>
      <c r="L975" s="2">
        <v>4.7999999999999996E-3</v>
      </c>
      <c r="M975" s="2">
        <v>1.8E-3</v>
      </c>
      <c r="N975">
        <v>458</v>
      </c>
    </row>
    <row r="977" spans="1:14" x14ac:dyDescent="0.35">
      <c r="A977" s="1" t="s">
        <v>513</v>
      </c>
    </row>
    <row r="978" spans="1:14" x14ac:dyDescent="0.35">
      <c r="A978" t="s">
        <v>219</v>
      </c>
      <c r="B978" t="s">
        <v>301</v>
      </c>
      <c r="C978" t="s">
        <v>498</v>
      </c>
      <c r="D978" t="s">
        <v>499</v>
      </c>
      <c r="E978" t="s">
        <v>500</v>
      </c>
      <c r="F978" t="s">
        <v>501</v>
      </c>
      <c r="G978" t="s">
        <v>502</v>
      </c>
      <c r="H978" t="s">
        <v>503</v>
      </c>
      <c r="I978" t="s">
        <v>504</v>
      </c>
      <c r="J978" t="s">
        <v>505</v>
      </c>
      <c r="K978" t="s">
        <v>282</v>
      </c>
      <c r="L978" t="s">
        <v>506</v>
      </c>
      <c r="M978" t="s">
        <v>277</v>
      </c>
      <c r="N978" t="s">
        <v>226</v>
      </c>
    </row>
    <row r="979" spans="1:14" x14ac:dyDescent="0.35">
      <c r="A979" t="s">
        <v>227</v>
      </c>
      <c r="B979" t="s">
        <v>245</v>
      </c>
      <c r="C979" s="2">
        <v>0.26029999999999998</v>
      </c>
      <c r="D979" s="2">
        <v>0.34439999999999998</v>
      </c>
      <c r="E979" s="2">
        <v>0.29360000000000003</v>
      </c>
      <c r="F979" s="2">
        <v>0.182</v>
      </c>
      <c r="G979" s="2">
        <v>5.8400000000000001E-2</v>
      </c>
      <c r="H979" s="2">
        <v>9.11E-2</v>
      </c>
      <c r="I979" s="2">
        <v>0.1106</v>
      </c>
      <c r="J979" s="2">
        <v>3.9100000000000003E-2</v>
      </c>
      <c r="L979" s="2">
        <v>1.6999999999999999E-3</v>
      </c>
      <c r="M979" s="2">
        <v>5.4999999999999997E-3</v>
      </c>
      <c r="N979">
        <v>144</v>
      </c>
    </row>
    <row r="980" spans="1:14" x14ac:dyDescent="0.35">
      <c r="A980" t="s">
        <v>227</v>
      </c>
      <c r="B980" t="s">
        <v>244</v>
      </c>
      <c r="C980" s="2">
        <v>0.39979999999999999</v>
      </c>
      <c r="D980" s="2">
        <v>0.25030000000000002</v>
      </c>
      <c r="E980" s="2">
        <v>0.22040000000000001</v>
      </c>
      <c r="F980" s="2">
        <v>9.9599999999999994E-2</v>
      </c>
      <c r="G980" s="2">
        <v>9.1200000000000003E-2</v>
      </c>
      <c r="H980" s="2">
        <v>5.3800000000000001E-2</v>
      </c>
      <c r="I980" s="2">
        <v>4.19E-2</v>
      </c>
      <c r="J980" s="2">
        <v>3.6499999999999998E-2</v>
      </c>
      <c r="K980" s="2">
        <v>1.9800000000000002E-2</v>
      </c>
      <c r="L980" s="2">
        <v>6.1000000000000004E-3</v>
      </c>
      <c r="M980" s="2">
        <v>2.0000000000000001E-4</v>
      </c>
      <c r="N980">
        <v>314</v>
      </c>
    </row>
    <row r="981" spans="1:14" x14ac:dyDescent="0.35">
      <c r="A981" t="s">
        <v>228</v>
      </c>
      <c r="B981" t="s">
        <v>228</v>
      </c>
      <c r="C981" s="2">
        <v>0.35770000000000002</v>
      </c>
      <c r="D981" s="2">
        <v>0.2787</v>
      </c>
      <c r="E981" s="2">
        <v>0.24249999999999999</v>
      </c>
      <c r="F981" s="2">
        <v>0.1245</v>
      </c>
      <c r="G981" s="2">
        <v>8.1299999999999997E-2</v>
      </c>
      <c r="H981" s="2">
        <v>6.5100000000000005E-2</v>
      </c>
      <c r="I981" s="2">
        <v>6.2600000000000003E-2</v>
      </c>
      <c r="J981" s="2">
        <v>3.73E-2</v>
      </c>
      <c r="K981" s="2">
        <v>1.38E-2</v>
      </c>
      <c r="L981" s="2">
        <v>4.7999999999999996E-3</v>
      </c>
      <c r="M981" s="2">
        <v>1.8E-3</v>
      </c>
      <c r="N981">
        <v>458</v>
      </c>
    </row>
    <row r="983" spans="1:14" x14ac:dyDescent="0.35">
      <c r="A983" s="1" t="s">
        <v>514</v>
      </c>
    </row>
    <row r="984" spans="1:14" x14ac:dyDescent="0.35">
      <c r="A984" t="s">
        <v>219</v>
      </c>
      <c r="B984" t="s">
        <v>301</v>
      </c>
      <c r="C984" t="s">
        <v>498</v>
      </c>
      <c r="D984" t="s">
        <v>499</v>
      </c>
      <c r="E984" t="s">
        <v>500</v>
      </c>
      <c r="F984" t="s">
        <v>501</v>
      </c>
      <c r="G984" t="s">
        <v>502</v>
      </c>
      <c r="H984" t="s">
        <v>503</v>
      </c>
      <c r="I984" t="s">
        <v>504</v>
      </c>
      <c r="J984" t="s">
        <v>505</v>
      </c>
      <c r="K984" t="s">
        <v>282</v>
      </c>
      <c r="L984" t="s">
        <v>506</v>
      </c>
      <c r="M984" t="s">
        <v>277</v>
      </c>
      <c r="N984" t="s">
        <v>226</v>
      </c>
    </row>
    <row r="985" spans="1:14" x14ac:dyDescent="0.35">
      <c r="A985" s="3" t="s">
        <v>227</v>
      </c>
      <c r="B985" s="3" t="s">
        <v>259</v>
      </c>
      <c r="C985" s="4">
        <v>0.1188</v>
      </c>
      <c r="D985" s="5"/>
      <c r="E985" s="4">
        <v>0.5423</v>
      </c>
      <c r="F985" s="5"/>
      <c r="G985" s="4">
        <v>0.3226</v>
      </c>
      <c r="H985" s="4">
        <v>1.6400000000000001E-2</v>
      </c>
      <c r="I985" s="5"/>
      <c r="J985" s="5"/>
      <c r="K985" s="5"/>
      <c r="L985" s="5"/>
      <c r="M985" s="5"/>
      <c r="N985" s="5" t="s">
        <v>515</v>
      </c>
    </row>
    <row r="986" spans="1:14" x14ac:dyDescent="0.35">
      <c r="A986" t="s">
        <v>227</v>
      </c>
      <c r="B986" t="s">
        <v>257</v>
      </c>
      <c r="C986" s="2">
        <v>0.41420000000000001</v>
      </c>
      <c r="D986" s="2">
        <v>0.22589999999999999</v>
      </c>
      <c r="E986" s="2">
        <v>0.19919999999999999</v>
      </c>
      <c r="F986" s="2">
        <v>4.4400000000000002E-2</v>
      </c>
      <c r="G986" s="2">
        <v>0.1115</v>
      </c>
      <c r="H986" s="2">
        <v>5.9299999999999999E-2</v>
      </c>
      <c r="I986" s="2">
        <v>4.41E-2</v>
      </c>
      <c r="J986" s="2">
        <v>6.4799999999999996E-2</v>
      </c>
      <c r="L986" s="2">
        <v>2.1700000000000001E-2</v>
      </c>
      <c r="M986" s="2">
        <v>2.3999999999999998E-3</v>
      </c>
      <c r="N986">
        <v>83</v>
      </c>
    </row>
    <row r="987" spans="1:14" x14ac:dyDescent="0.35">
      <c r="A987" t="s">
        <v>227</v>
      </c>
      <c r="B987" t="s">
        <v>256</v>
      </c>
      <c r="C987" s="2">
        <v>0.37180000000000002</v>
      </c>
      <c r="D987" s="2">
        <v>0.2581</v>
      </c>
      <c r="E987" s="2">
        <v>0.23799999999999999</v>
      </c>
      <c r="F987" s="2">
        <v>0.1686</v>
      </c>
      <c r="G987" s="2">
        <v>7.7600000000000002E-2</v>
      </c>
      <c r="H987" s="2">
        <v>7.8600000000000003E-2</v>
      </c>
      <c r="I987" s="2">
        <v>6.1600000000000002E-2</v>
      </c>
      <c r="J987" s="2">
        <v>3.7499999999999999E-2</v>
      </c>
      <c r="K987" s="2">
        <v>2.2700000000000001E-2</v>
      </c>
      <c r="M987" s="2">
        <v>2.9999999999999997E-4</v>
      </c>
      <c r="N987">
        <v>264</v>
      </c>
    </row>
    <row r="988" spans="1:14" x14ac:dyDescent="0.35">
      <c r="A988" s="3" t="s">
        <v>227</v>
      </c>
      <c r="B988" s="3" t="s">
        <v>232</v>
      </c>
      <c r="C988" s="5"/>
      <c r="D988" s="5"/>
      <c r="E988" s="4">
        <v>1</v>
      </c>
      <c r="F988" s="5"/>
      <c r="G988" s="5"/>
      <c r="H988" s="5"/>
      <c r="I988" s="5"/>
      <c r="J988" s="5"/>
      <c r="K988" s="5"/>
      <c r="L988" s="5"/>
      <c r="M988" s="5"/>
      <c r="N988" s="5" t="s">
        <v>323</v>
      </c>
    </row>
    <row r="989" spans="1:14" x14ac:dyDescent="0.35">
      <c r="A989" t="s">
        <v>227</v>
      </c>
      <c r="B989" t="s">
        <v>258</v>
      </c>
      <c r="C989" s="2">
        <v>0.24540000000000001</v>
      </c>
      <c r="D989" s="2">
        <v>0.44450000000000001</v>
      </c>
      <c r="E989" s="2">
        <v>0.2954</v>
      </c>
      <c r="F989" s="2">
        <v>7.5899999999999995E-2</v>
      </c>
      <c r="G989" s="2">
        <v>4.0899999999999999E-2</v>
      </c>
      <c r="H989" s="2">
        <v>2.5600000000000001E-2</v>
      </c>
      <c r="I989" s="2">
        <v>9.5200000000000007E-2</v>
      </c>
      <c r="J989" s="2">
        <v>1.8E-3</v>
      </c>
      <c r="M989" s="2">
        <v>6.8999999999999999E-3</v>
      </c>
      <c r="N989">
        <v>101</v>
      </c>
    </row>
    <row r="990" spans="1:14" x14ac:dyDescent="0.35">
      <c r="A990" t="s">
        <v>228</v>
      </c>
      <c r="B990" t="s">
        <v>228</v>
      </c>
      <c r="C990" s="2">
        <v>0.35770000000000002</v>
      </c>
      <c r="D990" s="2">
        <v>0.2787</v>
      </c>
      <c r="E990" s="2">
        <v>0.24249999999999999</v>
      </c>
      <c r="F990" s="2">
        <v>0.1245</v>
      </c>
      <c r="G990" s="2">
        <v>8.1299999999999997E-2</v>
      </c>
      <c r="H990" s="2">
        <v>6.5100000000000005E-2</v>
      </c>
      <c r="I990" s="2">
        <v>6.2600000000000003E-2</v>
      </c>
      <c r="J990" s="2">
        <v>3.73E-2</v>
      </c>
      <c r="K990" s="2">
        <v>1.38E-2</v>
      </c>
      <c r="L990" s="2">
        <v>4.7999999999999996E-3</v>
      </c>
      <c r="M990" s="2">
        <v>1.8E-3</v>
      </c>
      <c r="N990">
        <v>458</v>
      </c>
    </row>
    <row r="992" spans="1:14" x14ac:dyDescent="0.35">
      <c r="A992" s="1" t="s">
        <v>516</v>
      </c>
    </row>
    <row r="993" spans="1:14" x14ac:dyDescent="0.35">
      <c r="A993" t="s">
        <v>219</v>
      </c>
      <c r="B993" t="s">
        <v>301</v>
      </c>
      <c r="C993" t="s">
        <v>498</v>
      </c>
      <c r="D993" t="s">
        <v>499</v>
      </c>
      <c r="E993" t="s">
        <v>500</v>
      </c>
      <c r="F993" t="s">
        <v>501</v>
      </c>
      <c r="G993" t="s">
        <v>502</v>
      </c>
      <c r="H993" t="s">
        <v>503</v>
      </c>
      <c r="I993" t="s">
        <v>504</v>
      </c>
      <c r="J993" t="s">
        <v>505</v>
      </c>
      <c r="K993" t="s">
        <v>282</v>
      </c>
      <c r="L993" t="s">
        <v>506</v>
      </c>
      <c r="M993" t="s">
        <v>277</v>
      </c>
      <c r="N993" t="s">
        <v>226</v>
      </c>
    </row>
    <row r="994" spans="1:14" x14ac:dyDescent="0.35">
      <c r="A994" t="s">
        <v>227</v>
      </c>
      <c r="B994" t="s">
        <v>343</v>
      </c>
      <c r="C994" s="2">
        <v>0.41420000000000001</v>
      </c>
      <c r="D994" s="2">
        <v>0.22589999999999999</v>
      </c>
      <c r="E994" s="2">
        <v>0.19919999999999999</v>
      </c>
      <c r="F994" s="2">
        <v>4.4400000000000002E-2</v>
      </c>
      <c r="G994" s="2">
        <v>0.1115</v>
      </c>
      <c r="H994" s="2">
        <v>5.9299999999999999E-2</v>
      </c>
      <c r="I994" s="2">
        <v>4.41E-2</v>
      </c>
      <c r="J994" s="2">
        <v>6.4799999999999996E-2</v>
      </c>
      <c r="L994" s="2">
        <v>2.1700000000000001E-2</v>
      </c>
      <c r="M994" s="2">
        <v>2.3999999999999998E-3</v>
      </c>
      <c r="N994">
        <v>83</v>
      </c>
    </row>
    <row r="995" spans="1:14" x14ac:dyDescent="0.35">
      <c r="A995" t="s">
        <v>227</v>
      </c>
      <c r="B995" t="s">
        <v>344</v>
      </c>
      <c r="C995" s="2">
        <v>0.34189999999999998</v>
      </c>
      <c r="D995" s="2">
        <v>0.29349999999999998</v>
      </c>
      <c r="E995" s="2">
        <v>0.25459999999999999</v>
      </c>
      <c r="F995" s="2">
        <v>0.14699999999999999</v>
      </c>
      <c r="G995" s="2">
        <v>7.2800000000000004E-2</v>
      </c>
      <c r="H995" s="2">
        <v>6.6699999999999995E-2</v>
      </c>
      <c r="I995" s="2">
        <v>6.7799999999999999E-2</v>
      </c>
      <c r="J995" s="2">
        <v>2.9600000000000001E-2</v>
      </c>
      <c r="K995" s="2">
        <v>1.77E-2</v>
      </c>
      <c r="M995" s="2">
        <v>1.6000000000000001E-3</v>
      </c>
      <c r="N995">
        <v>375</v>
      </c>
    </row>
    <row r="996" spans="1:14" x14ac:dyDescent="0.35">
      <c r="A996" t="s">
        <v>228</v>
      </c>
      <c r="B996" t="s">
        <v>228</v>
      </c>
      <c r="C996" s="2">
        <v>0.35770000000000002</v>
      </c>
      <c r="D996" s="2">
        <v>0.2787</v>
      </c>
      <c r="E996" s="2">
        <v>0.24249999999999999</v>
      </c>
      <c r="F996" s="2">
        <v>0.1245</v>
      </c>
      <c r="G996" s="2">
        <v>8.1299999999999997E-2</v>
      </c>
      <c r="H996" s="2">
        <v>6.5100000000000005E-2</v>
      </c>
      <c r="I996" s="2">
        <v>6.2600000000000003E-2</v>
      </c>
      <c r="J996" s="2">
        <v>3.73E-2</v>
      </c>
      <c r="K996" s="2">
        <v>1.38E-2</v>
      </c>
      <c r="L996" s="2">
        <v>4.7999999999999996E-3</v>
      </c>
      <c r="M996" s="2">
        <v>1.8E-3</v>
      </c>
      <c r="N996">
        <v>458</v>
      </c>
    </row>
    <row r="998" spans="1:14" x14ac:dyDescent="0.35">
      <c r="A998" s="1" t="s">
        <v>517</v>
      </c>
    </row>
    <row r="999" spans="1:14" x14ac:dyDescent="0.35">
      <c r="A999" t="s">
        <v>219</v>
      </c>
      <c r="B999" t="s">
        <v>301</v>
      </c>
      <c r="C999" t="s">
        <v>498</v>
      </c>
      <c r="D999" t="s">
        <v>499</v>
      </c>
      <c r="E999" t="s">
        <v>500</v>
      </c>
      <c r="F999" t="s">
        <v>501</v>
      </c>
      <c r="G999" t="s">
        <v>502</v>
      </c>
      <c r="H999" t="s">
        <v>503</v>
      </c>
      <c r="I999" t="s">
        <v>504</v>
      </c>
      <c r="J999" t="s">
        <v>505</v>
      </c>
      <c r="K999" t="s">
        <v>282</v>
      </c>
      <c r="L999" t="s">
        <v>506</v>
      </c>
      <c r="M999" t="s">
        <v>277</v>
      </c>
      <c r="N999" t="s">
        <v>226</v>
      </c>
    </row>
    <row r="1000" spans="1:14" x14ac:dyDescent="0.35">
      <c r="A1000" t="s">
        <v>227</v>
      </c>
      <c r="B1000" t="s">
        <v>346</v>
      </c>
      <c r="C1000" s="2">
        <v>0.35520000000000002</v>
      </c>
      <c r="D1000" s="2">
        <v>0.29020000000000001</v>
      </c>
      <c r="E1000" s="2">
        <v>0.2218</v>
      </c>
      <c r="F1000" s="2">
        <v>0.1326</v>
      </c>
      <c r="G1000" s="2">
        <v>8.4699999999999998E-2</v>
      </c>
      <c r="H1000" s="2">
        <v>6.1800000000000001E-2</v>
      </c>
      <c r="I1000" s="2">
        <v>5.8500000000000003E-2</v>
      </c>
      <c r="J1000" s="2">
        <v>3.8399999999999997E-2</v>
      </c>
      <c r="K1000" s="2">
        <v>1.5900000000000001E-2</v>
      </c>
      <c r="L1000" s="2">
        <v>4.8999999999999998E-3</v>
      </c>
      <c r="M1000" s="2">
        <v>1.9E-3</v>
      </c>
      <c r="N1000">
        <v>229</v>
      </c>
    </row>
    <row r="1001" spans="1:14" x14ac:dyDescent="0.35">
      <c r="A1001" t="s">
        <v>227</v>
      </c>
      <c r="B1001" t="s">
        <v>347</v>
      </c>
      <c r="C1001" s="2">
        <v>0.38109999999999999</v>
      </c>
      <c r="D1001" s="2">
        <v>0.20019999999999999</v>
      </c>
      <c r="E1001" s="2">
        <v>0.44879999999999998</v>
      </c>
      <c r="F1001" s="2">
        <v>6.2600000000000003E-2</v>
      </c>
      <c r="G1001" s="2">
        <v>4.6899999999999997E-2</v>
      </c>
      <c r="H1001" s="2">
        <v>9.1700000000000004E-2</v>
      </c>
      <c r="I1001" s="2">
        <v>6.6500000000000004E-2</v>
      </c>
      <c r="J1001" s="2">
        <v>1.43E-2</v>
      </c>
      <c r="L1001" s="2">
        <v>1.14E-2</v>
      </c>
      <c r="M1001" s="2">
        <v>3.5000000000000001E-3</v>
      </c>
      <c r="N1001">
        <v>117</v>
      </c>
    </row>
    <row r="1002" spans="1:14" x14ac:dyDescent="0.35">
      <c r="A1002" t="s">
        <v>227</v>
      </c>
      <c r="B1002" t="s">
        <v>348</v>
      </c>
      <c r="C1002" s="2">
        <v>0.37059999999999998</v>
      </c>
      <c r="D1002" s="2">
        <v>0.2046</v>
      </c>
      <c r="E1002" s="2">
        <v>0.34300000000000003</v>
      </c>
      <c r="F1002" s="2">
        <v>7.5700000000000003E-2</v>
      </c>
      <c r="G1002" s="2">
        <v>6.5000000000000002E-2</v>
      </c>
      <c r="H1002" s="2">
        <v>8.4000000000000005E-2</v>
      </c>
      <c r="I1002" s="2">
        <v>0.1012</v>
      </c>
      <c r="J1002" s="2">
        <v>3.7999999999999999E-2</v>
      </c>
      <c r="N1002">
        <v>112</v>
      </c>
    </row>
    <row r="1003" spans="1:14" x14ac:dyDescent="0.35">
      <c r="A1003" t="s">
        <v>228</v>
      </c>
      <c r="B1003" t="s">
        <v>228</v>
      </c>
      <c r="C1003" s="2">
        <v>0.35770000000000002</v>
      </c>
      <c r="D1003" s="2">
        <v>0.2787</v>
      </c>
      <c r="E1003" s="2">
        <v>0.24249999999999999</v>
      </c>
      <c r="F1003" s="2">
        <v>0.1245</v>
      </c>
      <c r="G1003" s="2">
        <v>8.1299999999999997E-2</v>
      </c>
      <c r="H1003" s="2">
        <v>6.5100000000000005E-2</v>
      </c>
      <c r="I1003" s="2">
        <v>6.2600000000000003E-2</v>
      </c>
      <c r="J1003" s="2">
        <v>3.73E-2</v>
      </c>
      <c r="K1003" s="2">
        <v>1.38E-2</v>
      </c>
      <c r="L1003" s="2">
        <v>4.7999999999999996E-3</v>
      </c>
      <c r="M1003" s="2">
        <v>1.8E-3</v>
      </c>
      <c r="N1003">
        <v>458</v>
      </c>
    </row>
    <row r="1005" spans="1:14" x14ac:dyDescent="0.35">
      <c r="A1005" s="1" t="s">
        <v>518</v>
      </c>
    </row>
    <row r="1006" spans="1:14" x14ac:dyDescent="0.35">
      <c r="A1006" t="s">
        <v>219</v>
      </c>
      <c r="B1006" t="s">
        <v>301</v>
      </c>
      <c r="C1006" t="s">
        <v>498</v>
      </c>
      <c r="D1006" t="s">
        <v>499</v>
      </c>
      <c r="E1006" t="s">
        <v>500</v>
      </c>
      <c r="F1006" t="s">
        <v>501</v>
      </c>
      <c r="G1006" t="s">
        <v>502</v>
      </c>
      <c r="H1006" t="s">
        <v>503</v>
      </c>
      <c r="I1006" t="s">
        <v>504</v>
      </c>
      <c r="J1006" t="s">
        <v>505</v>
      </c>
      <c r="K1006" t="s">
        <v>282</v>
      </c>
      <c r="L1006" t="s">
        <v>506</v>
      </c>
      <c r="M1006" t="s">
        <v>277</v>
      </c>
      <c r="N1006" t="s">
        <v>226</v>
      </c>
    </row>
    <row r="1007" spans="1:14" x14ac:dyDescent="0.35">
      <c r="A1007" t="s">
        <v>227</v>
      </c>
      <c r="B1007" t="s">
        <v>251</v>
      </c>
      <c r="C1007" s="2">
        <v>0.39979999999999999</v>
      </c>
      <c r="D1007" s="2">
        <v>0.25030000000000002</v>
      </c>
      <c r="E1007" s="2">
        <v>0.22040000000000001</v>
      </c>
      <c r="F1007" s="2">
        <v>9.9599999999999994E-2</v>
      </c>
      <c r="G1007" s="2">
        <v>9.1200000000000003E-2</v>
      </c>
      <c r="H1007" s="2">
        <v>5.3800000000000001E-2</v>
      </c>
      <c r="I1007" s="2">
        <v>4.19E-2</v>
      </c>
      <c r="J1007" s="2">
        <v>3.6499999999999998E-2</v>
      </c>
      <c r="K1007" s="2">
        <v>1.9800000000000002E-2</v>
      </c>
      <c r="L1007" s="2">
        <v>6.1000000000000004E-3</v>
      </c>
      <c r="M1007" s="2">
        <v>2.0000000000000001E-4</v>
      </c>
      <c r="N1007">
        <v>314</v>
      </c>
    </row>
    <row r="1008" spans="1:14" x14ac:dyDescent="0.35">
      <c r="A1008" t="s">
        <v>227</v>
      </c>
      <c r="B1008" t="s">
        <v>252</v>
      </c>
      <c r="C1008" s="2">
        <v>0.25009999999999999</v>
      </c>
      <c r="D1008" s="2">
        <v>0.3548</v>
      </c>
      <c r="E1008" s="2">
        <v>0.28189999999999998</v>
      </c>
      <c r="F1008" s="2">
        <v>0.20200000000000001</v>
      </c>
      <c r="G1008" s="2">
        <v>6.6000000000000003E-2</v>
      </c>
      <c r="H1008" s="2">
        <v>9.0999999999999998E-2</v>
      </c>
      <c r="I1008" s="2">
        <v>9.6799999999999997E-2</v>
      </c>
      <c r="J1008" s="2">
        <v>4.4200000000000003E-2</v>
      </c>
      <c r="L1008" s="2">
        <v>1.9E-3</v>
      </c>
      <c r="M1008" s="2">
        <v>6.1999999999999998E-3</v>
      </c>
      <c r="N1008">
        <v>125</v>
      </c>
    </row>
    <row r="1009" spans="1:14" x14ac:dyDescent="0.35">
      <c r="A1009" s="3" t="s">
        <v>227</v>
      </c>
      <c r="B1009" s="3" t="s">
        <v>253</v>
      </c>
      <c r="C1009" s="4">
        <v>0.3387</v>
      </c>
      <c r="D1009" s="4">
        <v>0.26490000000000002</v>
      </c>
      <c r="E1009" s="4">
        <v>0.38340000000000002</v>
      </c>
      <c r="F1009" s="4">
        <v>2.9000000000000001E-2</v>
      </c>
      <c r="G1009" s="5"/>
      <c r="H1009" s="4">
        <v>9.2600000000000002E-2</v>
      </c>
      <c r="I1009" s="4">
        <v>0.21629999999999999</v>
      </c>
      <c r="J1009" s="5"/>
      <c r="K1009" s="5"/>
      <c r="L1009" s="5"/>
      <c r="M1009" s="5"/>
      <c r="N1009" s="5" t="s">
        <v>429</v>
      </c>
    </row>
    <row r="1010" spans="1:14" x14ac:dyDescent="0.35">
      <c r="A1010" t="s">
        <v>228</v>
      </c>
      <c r="B1010" t="s">
        <v>228</v>
      </c>
      <c r="C1010" s="2">
        <v>0.35770000000000002</v>
      </c>
      <c r="D1010" s="2">
        <v>0.2787</v>
      </c>
      <c r="E1010" s="2">
        <v>0.24249999999999999</v>
      </c>
      <c r="F1010" s="2">
        <v>0.1245</v>
      </c>
      <c r="G1010" s="2">
        <v>8.1299999999999997E-2</v>
      </c>
      <c r="H1010" s="2">
        <v>6.5100000000000005E-2</v>
      </c>
      <c r="I1010" s="2">
        <v>6.2600000000000003E-2</v>
      </c>
      <c r="J1010" s="2">
        <v>3.73E-2</v>
      </c>
      <c r="K1010" s="2">
        <v>1.38E-2</v>
      </c>
      <c r="L1010" s="2">
        <v>4.7999999999999996E-3</v>
      </c>
      <c r="M1010" s="2">
        <v>1.8E-3</v>
      </c>
      <c r="N1010">
        <v>458</v>
      </c>
    </row>
    <row r="1012" spans="1:14" x14ac:dyDescent="0.35">
      <c r="A1012" s="1" t="s">
        <v>519</v>
      </c>
    </row>
    <row r="1013" spans="1:14" x14ac:dyDescent="0.35">
      <c r="A1013" t="s">
        <v>219</v>
      </c>
      <c r="B1013" t="s">
        <v>301</v>
      </c>
      <c r="C1013" t="s">
        <v>498</v>
      </c>
      <c r="D1013" t="s">
        <v>499</v>
      </c>
      <c r="E1013" t="s">
        <v>500</v>
      </c>
      <c r="F1013" t="s">
        <v>501</v>
      </c>
      <c r="G1013" t="s">
        <v>502</v>
      </c>
      <c r="H1013" t="s">
        <v>503</v>
      </c>
      <c r="I1013" t="s">
        <v>504</v>
      </c>
      <c r="J1013" t="s">
        <v>505</v>
      </c>
      <c r="K1013" t="s">
        <v>282</v>
      </c>
      <c r="L1013" t="s">
        <v>506</v>
      </c>
      <c r="M1013" t="s">
        <v>277</v>
      </c>
      <c r="N1013" t="s">
        <v>226</v>
      </c>
    </row>
    <row r="1014" spans="1:14" x14ac:dyDescent="0.35">
      <c r="A1014" t="s">
        <v>227</v>
      </c>
      <c r="B1014" t="s">
        <v>224</v>
      </c>
      <c r="C1014" s="2">
        <v>0.2064</v>
      </c>
      <c r="D1014" s="2">
        <v>0.44719999999999999</v>
      </c>
      <c r="E1014" s="2">
        <v>0.1389</v>
      </c>
      <c r="F1014" s="2">
        <v>0.33829999999999999</v>
      </c>
      <c r="G1014" s="2">
        <v>0.17810000000000001</v>
      </c>
      <c r="H1014" s="2">
        <v>0.1249</v>
      </c>
      <c r="I1014" s="2">
        <v>0.28989999999999999</v>
      </c>
      <c r="J1014" s="2">
        <v>0.19489999999999999</v>
      </c>
      <c r="L1014" s="2">
        <v>4.4900000000000002E-2</v>
      </c>
      <c r="N1014">
        <v>31</v>
      </c>
    </row>
    <row r="1015" spans="1:14" x14ac:dyDescent="0.35">
      <c r="A1015" t="s">
        <v>227</v>
      </c>
      <c r="B1015" t="s">
        <v>220</v>
      </c>
      <c r="C1015" s="2">
        <v>0.26939999999999997</v>
      </c>
      <c r="D1015" s="2">
        <v>0.38700000000000001</v>
      </c>
      <c r="E1015" s="2">
        <v>0.224</v>
      </c>
      <c r="F1015" s="2">
        <v>0.1573</v>
      </c>
      <c r="G1015" s="2">
        <v>5.6099999999999997E-2</v>
      </c>
      <c r="H1015" s="2">
        <v>6.7000000000000004E-2</v>
      </c>
      <c r="I1015" s="2">
        <v>7.1300000000000002E-2</v>
      </c>
      <c r="J1015" s="2">
        <v>1.41E-2</v>
      </c>
      <c r="K1015" s="2">
        <v>1.41E-2</v>
      </c>
      <c r="L1015" s="2">
        <v>1.9E-3</v>
      </c>
      <c r="M1015" s="2">
        <v>6.6E-3</v>
      </c>
      <c r="N1015">
        <v>120</v>
      </c>
    </row>
    <row r="1016" spans="1:14" x14ac:dyDescent="0.35">
      <c r="A1016" t="s">
        <v>227</v>
      </c>
      <c r="B1016" t="s">
        <v>221</v>
      </c>
      <c r="C1016" s="2">
        <v>0.30940000000000001</v>
      </c>
      <c r="D1016" s="2">
        <v>0.2321</v>
      </c>
      <c r="E1016" s="2">
        <v>0.23880000000000001</v>
      </c>
      <c r="F1016" s="2">
        <v>3.2199999999999999E-2</v>
      </c>
      <c r="G1016" s="2">
        <v>0.1464</v>
      </c>
      <c r="H1016" s="2">
        <v>3.1E-2</v>
      </c>
      <c r="I1016" s="2">
        <v>4.3999999999999997E-2</v>
      </c>
      <c r="J1016" s="2">
        <v>1.95E-2</v>
      </c>
      <c r="K1016" s="2">
        <v>3.7499999999999999E-2</v>
      </c>
      <c r="N1016">
        <v>100</v>
      </c>
    </row>
    <row r="1017" spans="1:14" x14ac:dyDescent="0.35">
      <c r="A1017" t="s">
        <v>227</v>
      </c>
      <c r="B1017" t="s">
        <v>223</v>
      </c>
      <c r="C1017" s="2">
        <v>0.14360000000000001</v>
      </c>
      <c r="D1017" s="2">
        <v>0.27629999999999999</v>
      </c>
      <c r="E1017" s="2">
        <v>0.43619999999999998</v>
      </c>
      <c r="F1017" s="2">
        <v>0.27979999999999999</v>
      </c>
      <c r="H1017" s="2">
        <v>2.2599999999999999E-2</v>
      </c>
      <c r="I1017" s="2">
        <v>2.52E-2</v>
      </c>
      <c r="J1017" s="2">
        <v>6.4199999999999993E-2</v>
      </c>
      <c r="N1017">
        <v>33</v>
      </c>
    </row>
    <row r="1018" spans="1:14" x14ac:dyDescent="0.35">
      <c r="A1018" t="s">
        <v>227</v>
      </c>
      <c r="B1018" t="s">
        <v>222</v>
      </c>
      <c r="C1018" s="2">
        <v>0.57920000000000005</v>
      </c>
      <c r="D1018" s="2">
        <v>0.1739</v>
      </c>
      <c r="E1018" s="2">
        <v>0.25879999999999997</v>
      </c>
      <c r="F1018" s="2">
        <v>6.4799999999999996E-2</v>
      </c>
      <c r="G1018" s="2">
        <v>3.4200000000000001E-2</v>
      </c>
      <c r="H1018" s="2">
        <v>8.4699999999999998E-2</v>
      </c>
      <c r="I1018" s="2">
        <v>6.4000000000000003E-3</v>
      </c>
      <c r="J1018" s="2">
        <v>1.9900000000000001E-2</v>
      </c>
      <c r="N1018">
        <v>168</v>
      </c>
    </row>
    <row r="1019" spans="1:14" x14ac:dyDescent="0.35">
      <c r="A1019" s="3" t="s">
        <v>227</v>
      </c>
      <c r="B1019" s="3" t="s">
        <v>225</v>
      </c>
      <c r="C1019" s="5"/>
      <c r="D1019" s="4">
        <v>7.8E-2</v>
      </c>
      <c r="E1019" s="4">
        <v>0.15060000000000001</v>
      </c>
      <c r="F1019" s="4">
        <v>0.68289999999999995</v>
      </c>
      <c r="G1019" s="5"/>
      <c r="H1019" s="5"/>
      <c r="I1019" s="4">
        <v>8.8400000000000006E-2</v>
      </c>
      <c r="J1019" s="5"/>
      <c r="K1019" s="5"/>
      <c r="L1019" s="5"/>
      <c r="M1019" s="5"/>
      <c r="N1019" s="5" t="s">
        <v>437</v>
      </c>
    </row>
    <row r="1020" spans="1:14" x14ac:dyDescent="0.35">
      <c r="A1020" t="s">
        <v>228</v>
      </c>
      <c r="B1020" t="s">
        <v>228</v>
      </c>
      <c r="C1020" s="2">
        <v>0.35770000000000002</v>
      </c>
      <c r="D1020" s="2">
        <v>0.2787</v>
      </c>
      <c r="E1020" s="2">
        <v>0.24249999999999999</v>
      </c>
      <c r="F1020" s="2">
        <v>0.1245</v>
      </c>
      <c r="G1020" s="2">
        <v>8.1299999999999997E-2</v>
      </c>
      <c r="H1020" s="2">
        <v>6.5100000000000005E-2</v>
      </c>
      <c r="I1020" s="2">
        <v>6.2600000000000003E-2</v>
      </c>
      <c r="J1020" s="2">
        <v>3.73E-2</v>
      </c>
      <c r="K1020" s="2">
        <v>1.38E-2</v>
      </c>
      <c r="L1020" s="2">
        <v>4.7999999999999996E-3</v>
      </c>
      <c r="M1020" s="2">
        <v>1.8E-3</v>
      </c>
      <c r="N1020">
        <v>458</v>
      </c>
    </row>
    <row r="1022" spans="1:14" x14ac:dyDescent="0.35">
      <c r="A1022" s="1" t="s">
        <v>520</v>
      </c>
    </row>
    <row r="1023" spans="1:14" x14ac:dyDescent="0.35">
      <c r="A1023" t="s">
        <v>219</v>
      </c>
      <c r="B1023" t="s">
        <v>301</v>
      </c>
      <c r="C1023" t="s">
        <v>498</v>
      </c>
      <c r="D1023" t="s">
        <v>499</v>
      </c>
      <c r="E1023" t="s">
        <v>500</v>
      </c>
      <c r="F1023" t="s">
        <v>501</v>
      </c>
      <c r="G1023" t="s">
        <v>502</v>
      </c>
      <c r="H1023" t="s">
        <v>503</v>
      </c>
      <c r="I1023" t="s">
        <v>504</v>
      </c>
      <c r="J1023" t="s">
        <v>505</v>
      </c>
      <c r="K1023" t="s">
        <v>282</v>
      </c>
      <c r="L1023" t="s">
        <v>506</v>
      </c>
      <c r="M1023" t="s">
        <v>277</v>
      </c>
      <c r="N1023" t="s">
        <v>226</v>
      </c>
    </row>
    <row r="1024" spans="1:14" x14ac:dyDescent="0.35">
      <c r="A1024" t="s">
        <v>227</v>
      </c>
      <c r="B1024" t="s">
        <v>231</v>
      </c>
      <c r="C1024" s="2">
        <v>0.3508</v>
      </c>
      <c r="D1024" s="2">
        <v>0.29349999999999998</v>
      </c>
      <c r="E1024" s="2">
        <v>0.23</v>
      </c>
      <c r="F1024" s="2">
        <v>0.1424</v>
      </c>
      <c r="G1024" s="2">
        <v>9.98E-2</v>
      </c>
      <c r="H1024" s="2">
        <v>0.107</v>
      </c>
      <c r="I1024" s="2">
        <v>7.7799999999999994E-2</v>
      </c>
      <c r="J1024" s="2">
        <v>6.4600000000000005E-2</v>
      </c>
      <c r="K1024" s="2">
        <v>2.7199999999999998E-2</v>
      </c>
      <c r="M1024" s="2">
        <v>4.4999999999999997E-3</v>
      </c>
      <c r="N1024">
        <v>150</v>
      </c>
    </row>
    <row r="1025" spans="1:15" x14ac:dyDescent="0.35">
      <c r="A1025" t="s">
        <v>227</v>
      </c>
      <c r="B1025" t="s">
        <v>230</v>
      </c>
      <c r="C1025" s="2">
        <v>0.36180000000000001</v>
      </c>
      <c r="D1025" s="2">
        <v>0.27010000000000001</v>
      </c>
      <c r="E1025" s="2">
        <v>0.24970000000000001</v>
      </c>
      <c r="F1025" s="2">
        <v>0.1142</v>
      </c>
      <c r="G1025" s="2">
        <v>7.0599999999999996E-2</v>
      </c>
      <c r="H1025" s="2">
        <v>4.0899999999999999E-2</v>
      </c>
      <c r="I1025" s="2">
        <v>5.3800000000000001E-2</v>
      </c>
      <c r="J1025" s="2">
        <v>2.1499999999999998E-2</v>
      </c>
      <c r="K1025" s="2">
        <v>6.1000000000000004E-3</v>
      </c>
      <c r="L1025" s="2">
        <v>7.4999999999999997E-3</v>
      </c>
      <c r="M1025" s="2">
        <v>2.0000000000000001E-4</v>
      </c>
      <c r="N1025">
        <v>308</v>
      </c>
    </row>
    <row r="1026" spans="1:15" x14ac:dyDescent="0.35">
      <c r="A1026" t="s">
        <v>228</v>
      </c>
      <c r="B1026" t="s">
        <v>228</v>
      </c>
      <c r="C1026" s="2">
        <v>0.35770000000000002</v>
      </c>
      <c r="D1026" s="2">
        <v>0.2787</v>
      </c>
      <c r="E1026" s="2">
        <v>0.24249999999999999</v>
      </c>
      <c r="F1026" s="2">
        <v>0.1245</v>
      </c>
      <c r="G1026" s="2">
        <v>8.1299999999999997E-2</v>
      </c>
      <c r="H1026" s="2">
        <v>6.5100000000000005E-2</v>
      </c>
      <c r="I1026" s="2">
        <v>6.2600000000000003E-2</v>
      </c>
      <c r="J1026" s="2">
        <v>3.73E-2</v>
      </c>
      <c r="K1026" s="2">
        <v>1.38E-2</v>
      </c>
      <c r="L1026" s="2">
        <v>4.7999999999999996E-3</v>
      </c>
      <c r="M1026" s="2">
        <v>1.8E-3</v>
      </c>
      <c r="N1026">
        <v>458</v>
      </c>
    </row>
    <row r="1028" spans="1:15" x14ac:dyDescent="0.35">
      <c r="A1028" s="1" t="s">
        <v>521</v>
      </c>
    </row>
    <row r="1029" spans="1:15" x14ac:dyDescent="0.35">
      <c r="A1029" t="s">
        <v>219</v>
      </c>
      <c r="B1029" t="s">
        <v>301</v>
      </c>
      <c r="C1029" t="s">
        <v>325</v>
      </c>
      <c r="D1029" t="s">
        <v>498</v>
      </c>
      <c r="E1029" t="s">
        <v>499</v>
      </c>
      <c r="F1029" t="s">
        <v>500</v>
      </c>
      <c r="G1029" t="s">
        <v>501</v>
      </c>
      <c r="H1029" t="s">
        <v>502</v>
      </c>
      <c r="I1029" t="s">
        <v>503</v>
      </c>
      <c r="J1029" t="s">
        <v>504</v>
      </c>
      <c r="K1029" t="s">
        <v>505</v>
      </c>
      <c r="L1029" t="s">
        <v>282</v>
      </c>
      <c r="M1029" t="s">
        <v>506</v>
      </c>
      <c r="N1029" t="s">
        <v>277</v>
      </c>
      <c r="O1029" t="s">
        <v>226</v>
      </c>
    </row>
    <row r="1030" spans="1:15" x14ac:dyDescent="0.35">
      <c r="A1030" s="3" t="s">
        <v>227</v>
      </c>
      <c r="B1030" s="3" t="s">
        <v>231</v>
      </c>
      <c r="C1030" s="3" t="s">
        <v>224</v>
      </c>
      <c r="D1030" s="4">
        <v>0.20910000000000001</v>
      </c>
      <c r="E1030" s="4">
        <v>0.51200000000000001</v>
      </c>
      <c r="F1030" s="4">
        <v>0.1353</v>
      </c>
      <c r="G1030" s="4">
        <v>0.3518</v>
      </c>
      <c r="H1030" s="4">
        <v>0.18160000000000001</v>
      </c>
      <c r="I1030" s="4">
        <v>0.20619999999999999</v>
      </c>
      <c r="J1030" s="4">
        <v>0.40100000000000002</v>
      </c>
      <c r="K1030" s="4">
        <v>0.33660000000000001</v>
      </c>
      <c r="L1030" s="5"/>
      <c r="M1030" s="5"/>
      <c r="N1030" s="5"/>
      <c r="O1030" s="5" t="s">
        <v>321</v>
      </c>
    </row>
    <row r="1031" spans="1:15" x14ac:dyDescent="0.35">
      <c r="A1031" t="s">
        <v>227</v>
      </c>
      <c r="B1031" t="s">
        <v>231</v>
      </c>
      <c r="C1031" t="s">
        <v>220</v>
      </c>
      <c r="D1031" s="2">
        <v>0.28799999999999998</v>
      </c>
      <c r="E1031" s="2">
        <v>0.31469999999999998</v>
      </c>
      <c r="F1031" s="2">
        <v>0.25890000000000002</v>
      </c>
      <c r="G1031" s="2">
        <v>0.13619999999999999</v>
      </c>
      <c r="H1031" s="2">
        <v>4.2700000000000002E-2</v>
      </c>
      <c r="I1031" s="2">
        <v>9.8799999999999999E-2</v>
      </c>
      <c r="J1031" s="2">
        <v>4.8599999999999997E-2</v>
      </c>
      <c r="N1031" s="2">
        <v>1.61E-2</v>
      </c>
      <c r="O1031">
        <v>46</v>
      </c>
    </row>
    <row r="1032" spans="1:15" x14ac:dyDescent="0.35">
      <c r="A1032" t="s">
        <v>227</v>
      </c>
      <c r="B1032" t="s">
        <v>231</v>
      </c>
      <c r="C1032" t="s">
        <v>221</v>
      </c>
      <c r="D1032" s="2">
        <v>0.3745</v>
      </c>
      <c r="E1032" s="2">
        <v>0.2099</v>
      </c>
      <c r="F1032" s="2">
        <v>8.9399999999999993E-2</v>
      </c>
      <c r="G1032" s="2">
        <v>4.4699999999999997E-2</v>
      </c>
      <c r="H1032" s="2">
        <v>0.2281</v>
      </c>
      <c r="I1032" s="2">
        <v>6.7799999999999999E-2</v>
      </c>
      <c r="L1032" s="2">
        <v>0.1024</v>
      </c>
      <c r="O1032">
        <v>31</v>
      </c>
    </row>
    <row r="1033" spans="1:15" x14ac:dyDescent="0.35">
      <c r="A1033" s="3" t="s">
        <v>227</v>
      </c>
      <c r="B1033" s="3" t="s">
        <v>231</v>
      </c>
      <c r="C1033" s="3" t="s">
        <v>223</v>
      </c>
      <c r="D1033" s="4">
        <v>0.22800000000000001</v>
      </c>
      <c r="E1033" s="4">
        <v>0.39910000000000001</v>
      </c>
      <c r="F1033" s="4">
        <v>0.50949999999999995</v>
      </c>
      <c r="G1033" s="4">
        <v>1.7399999999999999E-2</v>
      </c>
      <c r="H1033" s="5"/>
      <c r="I1033" s="4">
        <v>3.7100000000000001E-2</v>
      </c>
      <c r="J1033" s="4">
        <v>4.1399999999999999E-2</v>
      </c>
      <c r="K1033" s="5"/>
      <c r="L1033" s="5"/>
      <c r="M1033" s="5"/>
      <c r="N1033" s="5"/>
      <c r="O1033" s="5" t="s">
        <v>522</v>
      </c>
    </row>
    <row r="1034" spans="1:15" x14ac:dyDescent="0.35">
      <c r="A1034" t="s">
        <v>227</v>
      </c>
      <c r="B1034" t="s">
        <v>231</v>
      </c>
      <c r="C1034" t="s">
        <v>222</v>
      </c>
      <c r="D1034" s="2">
        <v>0.60829999999999995</v>
      </c>
      <c r="E1034" s="2">
        <v>0.1729</v>
      </c>
      <c r="F1034" s="2">
        <v>0.31990000000000002</v>
      </c>
      <c r="G1034" s="2">
        <v>0.13719999999999999</v>
      </c>
      <c r="I1034" s="2">
        <v>0.13950000000000001</v>
      </c>
      <c r="K1034" s="2">
        <v>7.3999999999999996E-2</v>
      </c>
      <c r="O1034">
        <v>42</v>
      </c>
    </row>
    <row r="1035" spans="1:15" x14ac:dyDescent="0.35">
      <c r="A1035" s="3" t="s">
        <v>227</v>
      </c>
      <c r="B1035" s="3" t="s">
        <v>231</v>
      </c>
      <c r="C1035" s="3" t="s">
        <v>225</v>
      </c>
      <c r="D1035" s="5"/>
      <c r="E1035" s="5"/>
      <c r="F1035" s="4">
        <v>0.11609999999999999</v>
      </c>
      <c r="G1035" s="4">
        <v>0.88390000000000002</v>
      </c>
      <c r="H1035" s="5"/>
      <c r="I1035" s="5"/>
      <c r="J1035" s="5"/>
      <c r="K1035" s="5"/>
      <c r="L1035" s="5"/>
      <c r="M1035" s="5"/>
      <c r="N1035" s="5"/>
      <c r="O1035" s="5" t="s">
        <v>434</v>
      </c>
    </row>
    <row r="1036" spans="1:15" x14ac:dyDescent="0.35">
      <c r="A1036" s="3" t="s">
        <v>227</v>
      </c>
      <c r="B1036" s="3" t="s">
        <v>230</v>
      </c>
      <c r="C1036" s="3" t="s">
        <v>224</v>
      </c>
      <c r="D1036" s="4">
        <v>0.20280000000000001</v>
      </c>
      <c r="E1036" s="4">
        <v>0.35809999999999997</v>
      </c>
      <c r="F1036" s="4">
        <v>0.14369999999999999</v>
      </c>
      <c r="G1036" s="4">
        <v>0.31969999999999998</v>
      </c>
      <c r="H1036" s="4">
        <v>0.17330000000000001</v>
      </c>
      <c r="I1036" s="4">
        <v>1.2999999999999999E-2</v>
      </c>
      <c r="J1036" s="4">
        <v>0.1371</v>
      </c>
      <c r="K1036" s="5"/>
      <c r="L1036" s="5"/>
      <c r="M1036" s="4">
        <v>0.1066</v>
      </c>
      <c r="N1036" s="5"/>
      <c r="O1036" s="5" t="s">
        <v>425</v>
      </c>
    </row>
    <row r="1037" spans="1:15" x14ac:dyDescent="0.35">
      <c r="A1037" t="s">
        <v>227</v>
      </c>
      <c r="B1037" t="s">
        <v>230</v>
      </c>
      <c r="C1037" t="s">
        <v>220</v>
      </c>
      <c r="D1037" s="2">
        <v>0.25819999999999999</v>
      </c>
      <c r="E1037" s="2">
        <v>0.43080000000000002</v>
      </c>
      <c r="F1037" s="2">
        <v>0.2029</v>
      </c>
      <c r="G1037" s="2">
        <v>0.1701</v>
      </c>
      <c r="H1037" s="2">
        <v>6.4299999999999996E-2</v>
      </c>
      <c r="I1037" s="2">
        <v>4.7800000000000002E-2</v>
      </c>
      <c r="J1037" s="2">
        <v>8.5000000000000006E-2</v>
      </c>
      <c r="K1037" s="2">
        <v>2.2599999999999999E-2</v>
      </c>
      <c r="L1037" s="2">
        <v>2.2599999999999999E-2</v>
      </c>
      <c r="M1037" s="2">
        <v>3.0000000000000001E-3</v>
      </c>
      <c r="N1037" s="2">
        <v>8.9999999999999998E-4</v>
      </c>
      <c r="O1037">
        <v>74</v>
      </c>
    </row>
    <row r="1038" spans="1:15" x14ac:dyDescent="0.35">
      <c r="A1038" t="s">
        <v>227</v>
      </c>
      <c r="B1038" t="s">
        <v>230</v>
      </c>
      <c r="C1038" t="s">
        <v>221</v>
      </c>
      <c r="D1038" s="2">
        <v>0.2717</v>
      </c>
      <c r="E1038" s="2">
        <v>0.24490000000000001</v>
      </c>
      <c r="F1038" s="2">
        <v>0.32529999999999998</v>
      </c>
      <c r="G1038" s="2">
        <v>2.5000000000000001E-2</v>
      </c>
      <c r="H1038" s="2">
        <v>9.9199999999999997E-2</v>
      </c>
      <c r="I1038" s="2">
        <v>9.7000000000000003E-3</v>
      </c>
      <c r="J1038" s="2">
        <v>6.9400000000000003E-2</v>
      </c>
      <c r="K1038" s="2">
        <v>3.0800000000000001E-2</v>
      </c>
      <c r="O1038">
        <v>69</v>
      </c>
    </row>
    <row r="1039" spans="1:15" x14ac:dyDescent="0.35">
      <c r="A1039" s="3" t="s">
        <v>227</v>
      </c>
      <c r="B1039" s="3" t="s">
        <v>230</v>
      </c>
      <c r="C1039" s="3" t="s">
        <v>223</v>
      </c>
      <c r="D1039" s="4">
        <v>1.2E-2</v>
      </c>
      <c r="E1039" s="4">
        <v>8.48E-2</v>
      </c>
      <c r="F1039" s="4">
        <v>0.32190000000000002</v>
      </c>
      <c r="G1039" s="4">
        <v>0.68910000000000005</v>
      </c>
      <c r="H1039" s="5"/>
      <c r="I1039" s="5"/>
      <c r="J1039" s="5"/>
      <c r="K1039" s="4">
        <v>0.16450000000000001</v>
      </c>
      <c r="L1039" s="5"/>
      <c r="M1039" s="5"/>
      <c r="N1039" s="5"/>
      <c r="O1039" s="5" t="s">
        <v>422</v>
      </c>
    </row>
    <row r="1040" spans="1:15" x14ac:dyDescent="0.35">
      <c r="A1040" t="s">
        <v>227</v>
      </c>
      <c r="B1040" t="s">
        <v>230</v>
      </c>
      <c r="C1040" t="s">
        <v>222</v>
      </c>
      <c r="D1040" s="2">
        <v>0.57030000000000003</v>
      </c>
      <c r="E1040" s="2">
        <v>0.17419999999999999</v>
      </c>
      <c r="F1040" s="2">
        <v>0.2402</v>
      </c>
      <c r="G1040" s="2">
        <v>4.2700000000000002E-2</v>
      </c>
      <c r="H1040" s="2">
        <v>4.4600000000000001E-2</v>
      </c>
      <c r="I1040" s="2">
        <v>6.8000000000000005E-2</v>
      </c>
      <c r="J1040" s="2">
        <v>8.3000000000000001E-3</v>
      </c>
      <c r="K1040" s="2">
        <v>3.3999999999999998E-3</v>
      </c>
      <c r="O1040">
        <v>126</v>
      </c>
    </row>
    <row r="1041" spans="1:15" x14ac:dyDescent="0.35">
      <c r="A1041" s="3" t="s">
        <v>227</v>
      </c>
      <c r="B1041" s="3" t="s">
        <v>230</v>
      </c>
      <c r="C1041" s="3" t="s">
        <v>225</v>
      </c>
      <c r="D1041" s="5"/>
      <c r="E1041" s="4">
        <v>0.23830000000000001</v>
      </c>
      <c r="F1041" s="4">
        <v>0.2215</v>
      </c>
      <c r="G1041" s="4">
        <v>0.27010000000000001</v>
      </c>
      <c r="H1041" s="5"/>
      <c r="I1041" s="5"/>
      <c r="J1041" s="4">
        <v>0.27010000000000001</v>
      </c>
      <c r="K1041" s="5"/>
      <c r="L1041" s="5"/>
      <c r="M1041" s="5"/>
      <c r="N1041" s="5"/>
      <c r="O1041" s="5" t="s">
        <v>341</v>
      </c>
    </row>
    <row r="1042" spans="1:15" x14ac:dyDescent="0.35">
      <c r="A1042" t="s">
        <v>228</v>
      </c>
      <c r="B1042" t="s">
        <v>228</v>
      </c>
      <c r="C1042" t="s">
        <v>228</v>
      </c>
      <c r="D1042" s="2">
        <v>0.35770000000000002</v>
      </c>
      <c r="E1042" s="2">
        <v>0.2787</v>
      </c>
      <c r="F1042" s="2">
        <v>0.24249999999999999</v>
      </c>
      <c r="G1042" s="2">
        <v>0.1245</v>
      </c>
      <c r="H1042" s="2">
        <v>8.1299999999999997E-2</v>
      </c>
      <c r="I1042" s="2">
        <v>6.5100000000000005E-2</v>
      </c>
      <c r="J1042" s="2">
        <v>6.2600000000000003E-2</v>
      </c>
      <c r="K1042" s="2">
        <v>3.73E-2</v>
      </c>
      <c r="L1042" s="2">
        <v>1.38E-2</v>
      </c>
      <c r="M1042" s="2">
        <v>4.7999999999999996E-3</v>
      </c>
      <c r="N1042" s="2">
        <v>1.8E-3</v>
      </c>
      <c r="O1042">
        <v>458</v>
      </c>
    </row>
    <row r="1044" spans="1:15" x14ac:dyDescent="0.35">
      <c r="A1044" s="1" t="s">
        <v>523</v>
      </c>
    </row>
    <row r="1045" spans="1:15" x14ac:dyDescent="0.35">
      <c r="A1045" t="s">
        <v>219</v>
      </c>
      <c r="B1045" t="s">
        <v>524</v>
      </c>
      <c r="C1045" t="s">
        <v>525</v>
      </c>
      <c r="D1045" t="s">
        <v>526</v>
      </c>
      <c r="E1045" t="s">
        <v>527</v>
      </c>
      <c r="F1045" t="s">
        <v>226</v>
      </c>
    </row>
    <row r="1046" spans="1:15" x14ac:dyDescent="0.35">
      <c r="A1046" t="s">
        <v>227</v>
      </c>
      <c r="B1046">
        <v>22.25</v>
      </c>
      <c r="C1046">
        <v>15</v>
      </c>
      <c r="D1046">
        <v>1</v>
      </c>
      <c r="E1046">
        <v>240</v>
      </c>
      <c r="F1046">
        <v>2704</v>
      </c>
    </row>
    <row r="1047" spans="1:15" x14ac:dyDescent="0.35">
      <c r="A1047" t="s">
        <v>228</v>
      </c>
      <c r="B1047">
        <v>22.25</v>
      </c>
      <c r="C1047">
        <v>15</v>
      </c>
      <c r="D1047">
        <v>1</v>
      </c>
      <c r="E1047">
        <v>240</v>
      </c>
      <c r="F1047">
        <v>2704</v>
      </c>
    </row>
    <row r="1049" spans="1:15" x14ac:dyDescent="0.35">
      <c r="A1049" s="1" t="s">
        <v>528</v>
      </c>
    </row>
    <row r="1050" spans="1:15" x14ac:dyDescent="0.35">
      <c r="A1050" t="s">
        <v>219</v>
      </c>
      <c r="B1050" t="s">
        <v>301</v>
      </c>
      <c r="C1050" t="s">
        <v>524</v>
      </c>
      <c r="D1050" t="s">
        <v>525</v>
      </c>
      <c r="E1050" t="s">
        <v>526</v>
      </c>
      <c r="F1050" t="s">
        <v>527</v>
      </c>
      <c r="G1050" t="s">
        <v>226</v>
      </c>
    </row>
    <row r="1051" spans="1:15" x14ac:dyDescent="0.35">
      <c r="A1051" t="s">
        <v>227</v>
      </c>
      <c r="B1051" t="s">
        <v>238</v>
      </c>
      <c r="C1051">
        <v>24.8</v>
      </c>
      <c r="D1051">
        <v>20</v>
      </c>
      <c r="E1051">
        <v>1</v>
      </c>
      <c r="F1051">
        <v>240</v>
      </c>
      <c r="G1051">
        <v>949</v>
      </c>
    </row>
    <row r="1052" spans="1:15" x14ac:dyDescent="0.35">
      <c r="A1052" t="s">
        <v>227</v>
      </c>
      <c r="B1052" t="s">
        <v>237</v>
      </c>
      <c r="C1052">
        <v>20.81</v>
      </c>
      <c r="D1052">
        <v>15</v>
      </c>
      <c r="E1052">
        <v>1</v>
      </c>
      <c r="F1052">
        <v>180</v>
      </c>
      <c r="G1052">
        <v>1755</v>
      </c>
    </row>
    <row r="1053" spans="1:15" x14ac:dyDescent="0.35">
      <c r="A1053" t="s">
        <v>228</v>
      </c>
      <c r="B1053" t="s">
        <v>228</v>
      </c>
      <c r="C1053">
        <v>22.25</v>
      </c>
      <c r="D1053">
        <v>15</v>
      </c>
      <c r="E1053">
        <v>1</v>
      </c>
      <c r="F1053">
        <v>240</v>
      </c>
      <c r="G1053">
        <v>2704</v>
      </c>
    </row>
    <row r="1055" spans="1:15" x14ac:dyDescent="0.35">
      <c r="A1055" s="1" t="s">
        <v>529</v>
      </c>
    </row>
    <row r="1056" spans="1:15" x14ac:dyDescent="0.35">
      <c r="A1056" t="s">
        <v>219</v>
      </c>
      <c r="B1056" t="s">
        <v>301</v>
      </c>
      <c r="C1056" t="s">
        <v>524</v>
      </c>
      <c r="D1056" t="s">
        <v>525</v>
      </c>
      <c r="E1056" t="s">
        <v>526</v>
      </c>
      <c r="F1056" t="s">
        <v>527</v>
      </c>
      <c r="G1056" t="s">
        <v>226</v>
      </c>
    </row>
    <row r="1057" spans="1:7" x14ac:dyDescent="0.35">
      <c r="A1057" t="s">
        <v>227</v>
      </c>
      <c r="B1057" t="s">
        <v>235</v>
      </c>
      <c r="C1057">
        <v>29.84</v>
      </c>
      <c r="D1057">
        <v>20</v>
      </c>
      <c r="E1057">
        <v>1</v>
      </c>
      <c r="F1057">
        <v>240</v>
      </c>
      <c r="G1057">
        <v>955</v>
      </c>
    </row>
    <row r="1058" spans="1:7" x14ac:dyDescent="0.35">
      <c r="A1058" t="s">
        <v>227</v>
      </c>
      <c r="B1058" t="s">
        <v>234</v>
      </c>
      <c r="C1058">
        <v>19.05</v>
      </c>
      <c r="D1058">
        <v>15</v>
      </c>
      <c r="E1058">
        <v>1</v>
      </c>
      <c r="F1058">
        <v>190</v>
      </c>
      <c r="G1058">
        <v>1749</v>
      </c>
    </row>
    <row r="1059" spans="1:7" x14ac:dyDescent="0.35">
      <c r="A1059" t="s">
        <v>228</v>
      </c>
      <c r="B1059" t="s">
        <v>228</v>
      </c>
      <c r="C1059">
        <v>22.25</v>
      </c>
      <c r="D1059">
        <v>15</v>
      </c>
      <c r="E1059">
        <v>1</v>
      </c>
      <c r="F1059">
        <v>240</v>
      </c>
      <c r="G1059">
        <v>2704</v>
      </c>
    </row>
    <row r="1061" spans="1:7" x14ac:dyDescent="0.35">
      <c r="A1061" s="1" t="s">
        <v>530</v>
      </c>
    </row>
    <row r="1062" spans="1:7" x14ac:dyDescent="0.35">
      <c r="A1062" t="s">
        <v>219</v>
      </c>
      <c r="B1062" t="s">
        <v>301</v>
      </c>
      <c r="C1062" t="s">
        <v>524</v>
      </c>
      <c r="D1062" t="s">
        <v>525</v>
      </c>
      <c r="E1062" t="s">
        <v>526</v>
      </c>
      <c r="F1062" t="s">
        <v>527</v>
      </c>
      <c r="G1062" t="s">
        <v>226</v>
      </c>
    </row>
    <row r="1063" spans="1:7" x14ac:dyDescent="0.35">
      <c r="A1063" t="s">
        <v>227</v>
      </c>
      <c r="B1063" t="s">
        <v>240</v>
      </c>
      <c r="C1063">
        <v>21.7</v>
      </c>
      <c r="D1063">
        <v>15</v>
      </c>
      <c r="E1063">
        <v>1</v>
      </c>
      <c r="F1063">
        <v>240</v>
      </c>
      <c r="G1063">
        <v>1701</v>
      </c>
    </row>
    <row r="1064" spans="1:7" x14ac:dyDescent="0.35">
      <c r="A1064" t="s">
        <v>227</v>
      </c>
      <c r="B1064" t="s">
        <v>241</v>
      </c>
      <c r="C1064">
        <v>23.31</v>
      </c>
      <c r="D1064">
        <v>15</v>
      </c>
      <c r="E1064">
        <v>1</v>
      </c>
      <c r="F1064">
        <v>190</v>
      </c>
      <c r="G1064">
        <v>841</v>
      </c>
    </row>
    <row r="1065" spans="1:7" x14ac:dyDescent="0.35">
      <c r="A1065" t="s">
        <v>227</v>
      </c>
      <c r="B1065" t="s">
        <v>242</v>
      </c>
      <c r="C1065">
        <v>23.07</v>
      </c>
      <c r="D1065">
        <v>15</v>
      </c>
      <c r="E1065">
        <v>1</v>
      </c>
      <c r="F1065">
        <v>180</v>
      </c>
      <c r="G1065">
        <v>162</v>
      </c>
    </row>
    <row r="1066" spans="1:7" x14ac:dyDescent="0.35">
      <c r="A1066" t="s">
        <v>228</v>
      </c>
      <c r="B1066" t="s">
        <v>228</v>
      </c>
      <c r="C1066">
        <v>22.25</v>
      </c>
      <c r="D1066">
        <v>15</v>
      </c>
      <c r="E1066">
        <v>1</v>
      </c>
      <c r="F1066">
        <v>240</v>
      </c>
      <c r="G1066">
        <v>2704</v>
      </c>
    </row>
    <row r="1068" spans="1:7" x14ac:dyDescent="0.35">
      <c r="A1068" s="1" t="s">
        <v>531</v>
      </c>
    </row>
    <row r="1069" spans="1:7" x14ac:dyDescent="0.35">
      <c r="A1069" t="s">
        <v>219</v>
      </c>
      <c r="B1069" t="s">
        <v>301</v>
      </c>
      <c r="C1069" t="s">
        <v>524</v>
      </c>
      <c r="D1069" t="s">
        <v>525</v>
      </c>
      <c r="E1069" t="s">
        <v>526</v>
      </c>
      <c r="F1069" t="s">
        <v>527</v>
      </c>
      <c r="G1069" t="s">
        <v>226</v>
      </c>
    </row>
    <row r="1070" spans="1:7" x14ac:dyDescent="0.35">
      <c r="A1070" t="s">
        <v>227</v>
      </c>
      <c r="B1070" t="s">
        <v>334</v>
      </c>
      <c r="C1070">
        <v>25.78</v>
      </c>
      <c r="D1070">
        <v>20</v>
      </c>
      <c r="E1070">
        <v>1</v>
      </c>
      <c r="F1070">
        <v>180</v>
      </c>
      <c r="G1070">
        <v>586</v>
      </c>
    </row>
    <row r="1071" spans="1:7" x14ac:dyDescent="0.35">
      <c r="A1071" t="s">
        <v>227</v>
      </c>
      <c r="B1071" t="s">
        <v>335</v>
      </c>
      <c r="C1071">
        <v>19.850000000000001</v>
      </c>
      <c r="D1071">
        <v>15</v>
      </c>
      <c r="E1071">
        <v>1</v>
      </c>
      <c r="F1071">
        <v>150</v>
      </c>
      <c r="G1071">
        <v>616</v>
      </c>
    </row>
    <row r="1072" spans="1:7" x14ac:dyDescent="0.35">
      <c r="A1072" t="s">
        <v>227</v>
      </c>
      <c r="B1072" t="s">
        <v>336</v>
      </c>
      <c r="C1072">
        <v>24.55</v>
      </c>
      <c r="D1072">
        <v>20</v>
      </c>
      <c r="E1072">
        <v>1</v>
      </c>
      <c r="F1072">
        <v>240</v>
      </c>
      <c r="G1072">
        <v>602</v>
      </c>
    </row>
    <row r="1073" spans="1:7" x14ac:dyDescent="0.35">
      <c r="A1073" t="s">
        <v>227</v>
      </c>
      <c r="B1073" t="s">
        <v>337</v>
      </c>
      <c r="C1073">
        <v>21.3</v>
      </c>
      <c r="D1073">
        <v>20</v>
      </c>
      <c r="E1073">
        <v>1</v>
      </c>
      <c r="F1073">
        <v>180</v>
      </c>
      <c r="G1073">
        <v>585</v>
      </c>
    </row>
    <row r="1074" spans="1:7" x14ac:dyDescent="0.35">
      <c r="A1074" t="s">
        <v>228</v>
      </c>
      <c r="B1074" t="s">
        <v>228</v>
      </c>
      <c r="C1074">
        <v>22.25</v>
      </c>
      <c r="D1074">
        <v>15</v>
      </c>
      <c r="E1074">
        <v>1</v>
      </c>
      <c r="F1074">
        <v>240</v>
      </c>
      <c r="G1074">
        <v>2704</v>
      </c>
    </row>
    <row r="1076" spans="1:7" x14ac:dyDescent="0.35">
      <c r="A1076" s="1" t="s">
        <v>532</v>
      </c>
    </row>
    <row r="1077" spans="1:7" x14ac:dyDescent="0.35">
      <c r="A1077" t="s">
        <v>219</v>
      </c>
      <c r="B1077" t="s">
        <v>301</v>
      </c>
      <c r="C1077" t="s">
        <v>524</v>
      </c>
      <c r="D1077" t="s">
        <v>525</v>
      </c>
      <c r="E1077" t="s">
        <v>526</v>
      </c>
      <c r="F1077" t="s">
        <v>527</v>
      </c>
      <c r="G1077" t="s">
        <v>226</v>
      </c>
    </row>
    <row r="1078" spans="1:7" x14ac:dyDescent="0.35">
      <c r="A1078" t="s">
        <v>227</v>
      </c>
      <c r="B1078" t="s">
        <v>263</v>
      </c>
      <c r="C1078">
        <v>21.7</v>
      </c>
      <c r="D1078">
        <v>15</v>
      </c>
      <c r="E1078">
        <v>1</v>
      </c>
      <c r="F1078">
        <v>190</v>
      </c>
      <c r="G1078">
        <v>570</v>
      </c>
    </row>
    <row r="1079" spans="1:7" x14ac:dyDescent="0.35">
      <c r="A1079" t="s">
        <v>227</v>
      </c>
      <c r="B1079" t="s">
        <v>262</v>
      </c>
      <c r="C1079">
        <v>23.15</v>
      </c>
      <c r="D1079">
        <v>15</v>
      </c>
      <c r="E1079">
        <v>1</v>
      </c>
      <c r="F1079">
        <v>180</v>
      </c>
      <c r="G1079">
        <v>1098</v>
      </c>
    </row>
    <row r="1080" spans="1:7" x14ac:dyDescent="0.35">
      <c r="A1080" t="s">
        <v>227</v>
      </c>
      <c r="B1080" t="s">
        <v>261</v>
      </c>
      <c r="C1080">
        <v>21.61</v>
      </c>
      <c r="D1080">
        <v>15</v>
      </c>
      <c r="E1080">
        <v>1</v>
      </c>
      <c r="F1080">
        <v>240</v>
      </c>
      <c r="G1080">
        <v>1034</v>
      </c>
    </row>
    <row r="1081" spans="1:7" x14ac:dyDescent="0.35">
      <c r="A1081" s="3" t="s">
        <v>227</v>
      </c>
      <c r="B1081" s="3" t="s">
        <v>232</v>
      </c>
      <c r="C1081" s="5">
        <v>67.5</v>
      </c>
      <c r="D1081" s="5">
        <v>15</v>
      </c>
      <c r="E1081" s="5">
        <v>15</v>
      </c>
      <c r="F1081" s="5">
        <v>120</v>
      </c>
      <c r="G1081" s="5">
        <v>2</v>
      </c>
    </row>
    <row r="1082" spans="1:7" x14ac:dyDescent="0.35">
      <c r="A1082" t="s">
        <v>228</v>
      </c>
      <c r="B1082" t="s">
        <v>228</v>
      </c>
      <c r="C1082">
        <v>22.25</v>
      </c>
      <c r="D1082">
        <v>15</v>
      </c>
      <c r="E1082">
        <v>1</v>
      </c>
      <c r="F1082">
        <v>240</v>
      </c>
      <c r="G1082">
        <v>2704</v>
      </c>
    </row>
    <row r="1084" spans="1:7" x14ac:dyDescent="0.35">
      <c r="A1084" s="1" t="s">
        <v>533</v>
      </c>
    </row>
    <row r="1085" spans="1:7" x14ac:dyDescent="0.35">
      <c r="A1085" t="s">
        <v>219</v>
      </c>
      <c r="B1085" t="s">
        <v>301</v>
      </c>
      <c r="C1085" t="s">
        <v>524</v>
      </c>
      <c r="D1085" t="s">
        <v>525</v>
      </c>
      <c r="E1085" t="s">
        <v>526</v>
      </c>
      <c r="F1085" t="s">
        <v>527</v>
      </c>
      <c r="G1085" t="s">
        <v>226</v>
      </c>
    </row>
    <row r="1086" spans="1:7" x14ac:dyDescent="0.35">
      <c r="A1086" t="s">
        <v>227</v>
      </c>
      <c r="B1086" t="s">
        <v>248</v>
      </c>
      <c r="C1086">
        <v>23.8</v>
      </c>
      <c r="D1086">
        <v>20</v>
      </c>
      <c r="E1086">
        <v>1</v>
      </c>
      <c r="F1086">
        <v>240</v>
      </c>
      <c r="G1086">
        <v>746</v>
      </c>
    </row>
    <row r="1087" spans="1:7" x14ac:dyDescent="0.35">
      <c r="A1087" t="s">
        <v>227</v>
      </c>
      <c r="B1087" t="s">
        <v>249</v>
      </c>
      <c r="C1087">
        <v>23.06</v>
      </c>
      <c r="D1087">
        <v>20</v>
      </c>
      <c r="E1087">
        <v>1</v>
      </c>
      <c r="F1087">
        <v>180</v>
      </c>
      <c r="G1087">
        <v>521</v>
      </c>
    </row>
    <row r="1088" spans="1:7" x14ac:dyDescent="0.35">
      <c r="A1088" t="s">
        <v>227</v>
      </c>
      <c r="B1088" t="s">
        <v>247</v>
      </c>
      <c r="C1088">
        <v>21.2</v>
      </c>
      <c r="D1088">
        <v>15</v>
      </c>
      <c r="E1088">
        <v>1</v>
      </c>
      <c r="F1088">
        <v>180</v>
      </c>
      <c r="G1088">
        <v>1437</v>
      </c>
    </row>
    <row r="1089" spans="1:7" x14ac:dyDescent="0.35">
      <c r="A1089" t="s">
        <v>228</v>
      </c>
      <c r="B1089" t="s">
        <v>228</v>
      </c>
      <c r="C1089">
        <v>22.25</v>
      </c>
      <c r="D1089">
        <v>15</v>
      </c>
      <c r="E1089">
        <v>1</v>
      </c>
      <c r="F1089">
        <v>240</v>
      </c>
      <c r="G1089">
        <v>2704</v>
      </c>
    </row>
    <row r="1091" spans="1:7" x14ac:dyDescent="0.35">
      <c r="A1091" s="1" t="s">
        <v>534</v>
      </c>
    </row>
    <row r="1092" spans="1:7" x14ac:dyDescent="0.35">
      <c r="A1092" t="s">
        <v>219</v>
      </c>
      <c r="B1092" t="s">
        <v>301</v>
      </c>
      <c r="C1092" t="s">
        <v>524</v>
      </c>
      <c r="D1092" t="s">
        <v>525</v>
      </c>
      <c r="E1092" t="s">
        <v>526</v>
      </c>
      <c r="F1092" t="s">
        <v>527</v>
      </c>
      <c r="G1092" t="s">
        <v>226</v>
      </c>
    </row>
    <row r="1093" spans="1:7" x14ac:dyDescent="0.35">
      <c r="A1093" t="s">
        <v>227</v>
      </c>
      <c r="B1093" t="s">
        <v>245</v>
      </c>
      <c r="C1093">
        <v>20.71</v>
      </c>
      <c r="D1093">
        <v>15</v>
      </c>
      <c r="E1093">
        <v>1</v>
      </c>
      <c r="F1093">
        <v>180</v>
      </c>
      <c r="G1093">
        <v>766</v>
      </c>
    </row>
    <row r="1094" spans="1:7" x14ac:dyDescent="0.35">
      <c r="A1094" t="s">
        <v>227</v>
      </c>
      <c r="B1094" t="s">
        <v>244</v>
      </c>
      <c r="C1094">
        <v>22.88</v>
      </c>
      <c r="D1094">
        <v>15</v>
      </c>
      <c r="E1094">
        <v>1</v>
      </c>
      <c r="F1094">
        <v>240</v>
      </c>
      <c r="G1094">
        <v>1938</v>
      </c>
    </row>
    <row r="1095" spans="1:7" x14ac:dyDescent="0.35">
      <c r="A1095" t="s">
        <v>228</v>
      </c>
      <c r="B1095" t="s">
        <v>228</v>
      </c>
      <c r="C1095">
        <v>22.25</v>
      </c>
      <c r="D1095">
        <v>15</v>
      </c>
      <c r="E1095">
        <v>1</v>
      </c>
      <c r="F1095">
        <v>240</v>
      </c>
      <c r="G1095">
        <v>2704</v>
      </c>
    </row>
    <row r="1097" spans="1:7" x14ac:dyDescent="0.35">
      <c r="A1097" s="1" t="s">
        <v>535</v>
      </c>
    </row>
    <row r="1098" spans="1:7" x14ac:dyDescent="0.35">
      <c r="A1098" t="s">
        <v>219</v>
      </c>
      <c r="B1098" t="s">
        <v>301</v>
      </c>
      <c r="C1098" t="s">
        <v>524</v>
      </c>
      <c r="D1098" t="s">
        <v>525</v>
      </c>
      <c r="E1098" t="s">
        <v>526</v>
      </c>
      <c r="F1098" t="s">
        <v>527</v>
      </c>
      <c r="G1098" t="s">
        <v>226</v>
      </c>
    </row>
    <row r="1099" spans="1:7" x14ac:dyDescent="0.35">
      <c r="A1099" t="s">
        <v>227</v>
      </c>
      <c r="B1099" t="s">
        <v>259</v>
      </c>
      <c r="C1099">
        <v>26.01</v>
      </c>
      <c r="D1099">
        <v>20</v>
      </c>
      <c r="E1099">
        <v>1</v>
      </c>
      <c r="F1099">
        <v>120</v>
      </c>
      <c r="G1099">
        <v>66</v>
      </c>
    </row>
    <row r="1100" spans="1:7" x14ac:dyDescent="0.35">
      <c r="A1100" t="s">
        <v>227</v>
      </c>
      <c r="B1100" t="s">
        <v>257</v>
      </c>
      <c r="C1100">
        <v>26.93</v>
      </c>
      <c r="D1100">
        <v>20</v>
      </c>
      <c r="E1100">
        <v>2</v>
      </c>
      <c r="F1100">
        <v>240</v>
      </c>
      <c r="G1100">
        <v>377</v>
      </c>
    </row>
    <row r="1101" spans="1:7" x14ac:dyDescent="0.35">
      <c r="A1101" t="s">
        <v>227</v>
      </c>
      <c r="B1101" t="s">
        <v>256</v>
      </c>
      <c r="C1101">
        <v>21.11</v>
      </c>
      <c r="D1101">
        <v>15</v>
      </c>
      <c r="E1101">
        <v>1</v>
      </c>
      <c r="F1101">
        <v>180</v>
      </c>
      <c r="G1101">
        <v>1736</v>
      </c>
    </row>
    <row r="1102" spans="1:7" x14ac:dyDescent="0.35">
      <c r="A1102" s="3" t="s">
        <v>227</v>
      </c>
      <c r="B1102" s="3" t="s">
        <v>232</v>
      </c>
      <c r="C1102" s="5">
        <v>39</v>
      </c>
      <c r="D1102" s="5">
        <v>50</v>
      </c>
      <c r="E1102" s="5">
        <v>15</v>
      </c>
      <c r="F1102" s="5">
        <v>60</v>
      </c>
      <c r="G1102" s="5">
        <v>8</v>
      </c>
    </row>
    <row r="1103" spans="1:7" x14ac:dyDescent="0.35">
      <c r="A1103" t="s">
        <v>227</v>
      </c>
      <c r="B1103" t="s">
        <v>258</v>
      </c>
      <c r="C1103">
        <v>21.66</v>
      </c>
      <c r="D1103">
        <v>15</v>
      </c>
      <c r="E1103">
        <v>1</v>
      </c>
      <c r="F1103">
        <v>180</v>
      </c>
      <c r="G1103">
        <v>517</v>
      </c>
    </row>
    <row r="1104" spans="1:7" x14ac:dyDescent="0.35">
      <c r="A1104" t="s">
        <v>228</v>
      </c>
      <c r="B1104" t="s">
        <v>228</v>
      </c>
      <c r="C1104">
        <v>22.25</v>
      </c>
      <c r="D1104">
        <v>15</v>
      </c>
      <c r="E1104">
        <v>1</v>
      </c>
      <c r="F1104">
        <v>240</v>
      </c>
      <c r="G1104">
        <v>2704</v>
      </c>
    </row>
    <row r="1106" spans="1:7" x14ac:dyDescent="0.35">
      <c r="A1106" s="1" t="s">
        <v>536</v>
      </c>
    </row>
    <row r="1107" spans="1:7" x14ac:dyDescent="0.35">
      <c r="A1107" t="s">
        <v>219</v>
      </c>
      <c r="B1107" t="s">
        <v>301</v>
      </c>
      <c r="C1107" t="s">
        <v>524</v>
      </c>
      <c r="D1107" t="s">
        <v>525</v>
      </c>
      <c r="E1107" t="s">
        <v>526</v>
      </c>
      <c r="F1107" t="s">
        <v>527</v>
      </c>
      <c r="G1107" t="s">
        <v>226</v>
      </c>
    </row>
    <row r="1108" spans="1:7" x14ac:dyDescent="0.35">
      <c r="A1108" t="s">
        <v>227</v>
      </c>
      <c r="B1108" t="s">
        <v>343</v>
      </c>
      <c r="C1108">
        <v>26.93</v>
      </c>
      <c r="D1108">
        <v>20</v>
      </c>
      <c r="E1108">
        <v>2</v>
      </c>
      <c r="F1108">
        <v>240</v>
      </c>
      <c r="G1108">
        <v>377</v>
      </c>
    </row>
    <row r="1109" spans="1:7" x14ac:dyDescent="0.35">
      <c r="A1109" t="s">
        <v>227</v>
      </c>
      <c r="B1109" t="s">
        <v>344</v>
      </c>
      <c r="C1109">
        <v>21.35</v>
      </c>
      <c r="D1109">
        <v>15</v>
      </c>
      <c r="E1109">
        <v>1</v>
      </c>
      <c r="F1109">
        <v>180</v>
      </c>
      <c r="G1109">
        <v>2327</v>
      </c>
    </row>
    <row r="1110" spans="1:7" x14ac:dyDescent="0.35">
      <c r="A1110" t="s">
        <v>228</v>
      </c>
      <c r="B1110" t="s">
        <v>228</v>
      </c>
      <c r="C1110">
        <v>22.25</v>
      </c>
      <c r="D1110">
        <v>15</v>
      </c>
      <c r="E1110">
        <v>1</v>
      </c>
      <c r="F1110">
        <v>240</v>
      </c>
      <c r="G1110">
        <v>2704</v>
      </c>
    </row>
    <row r="1112" spans="1:7" x14ac:dyDescent="0.35">
      <c r="A1112" s="1" t="s">
        <v>537</v>
      </c>
    </row>
    <row r="1113" spans="1:7" x14ac:dyDescent="0.35">
      <c r="A1113" t="s">
        <v>219</v>
      </c>
      <c r="B1113" t="s">
        <v>301</v>
      </c>
      <c r="C1113" t="s">
        <v>524</v>
      </c>
      <c r="D1113" t="s">
        <v>525</v>
      </c>
      <c r="E1113" t="s">
        <v>526</v>
      </c>
      <c r="F1113" t="s">
        <v>527</v>
      </c>
      <c r="G1113" t="s">
        <v>226</v>
      </c>
    </row>
    <row r="1114" spans="1:7" x14ac:dyDescent="0.35">
      <c r="A1114" t="s">
        <v>227</v>
      </c>
      <c r="B1114" t="s">
        <v>346</v>
      </c>
      <c r="C1114">
        <v>21.98</v>
      </c>
      <c r="D1114">
        <v>15</v>
      </c>
      <c r="E1114">
        <v>1</v>
      </c>
      <c r="F1114">
        <v>240</v>
      </c>
      <c r="G1114">
        <v>1413</v>
      </c>
    </row>
    <row r="1115" spans="1:7" x14ac:dyDescent="0.35">
      <c r="A1115" t="s">
        <v>227</v>
      </c>
      <c r="B1115" t="s">
        <v>347</v>
      </c>
      <c r="C1115">
        <v>28.63</v>
      </c>
      <c r="D1115">
        <v>20</v>
      </c>
      <c r="E1115">
        <v>1</v>
      </c>
      <c r="F1115">
        <v>190</v>
      </c>
      <c r="G1115">
        <v>557</v>
      </c>
    </row>
    <row r="1116" spans="1:7" x14ac:dyDescent="0.35">
      <c r="A1116" t="s">
        <v>227</v>
      </c>
      <c r="B1116" t="s">
        <v>348</v>
      </c>
      <c r="C1116">
        <v>22.27</v>
      </c>
      <c r="D1116">
        <v>20</v>
      </c>
      <c r="E1116">
        <v>1</v>
      </c>
      <c r="F1116">
        <v>150</v>
      </c>
      <c r="G1116">
        <v>734</v>
      </c>
    </row>
    <row r="1117" spans="1:7" x14ac:dyDescent="0.35">
      <c r="A1117" t="s">
        <v>228</v>
      </c>
      <c r="B1117" t="s">
        <v>228</v>
      </c>
      <c r="C1117">
        <v>22.25</v>
      </c>
      <c r="D1117">
        <v>15</v>
      </c>
      <c r="E1117">
        <v>1</v>
      </c>
      <c r="F1117">
        <v>240</v>
      </c>
      <c r="G1117">
        <v>2704</v>
      </c>
    </row>
    <row r="1119" spans="1:7" x14ac:dyDescent="0.35">
      <c r="A1119" s="1" t="s">
        <v>538</v>
      </c>
    </row>
    <row r="1120" spans="1:7" x14ac:dyDescent="0.35">
      <c r="A1120" t="s">
        <v>219</v>
      </c>
      <c r="B1120" t="s">
        <v>301</v>
      </c>
      <c r="C1120" t="s">
        <v>524</v>
      </c>
      <c r="D1120" t="s">
        <v>525</v>
      </c>
      <c r="E1120" t="s">
        <v>526</v>
      </c>
      <c r="F1120" t="s">
        <v>527</v>
      </c>
      <c r="G1120" t="s">
        <v>226</v>
      </c>
    </row>
    <row r="1121" spans="1:19" x14ac:dyDescent="0.35">
      <c r="A1121" t="s">
        <v>227</v>
      </c>
      <c r="B1121" t="s">
        <v>251</v>
      </c>
      <c r="C1121">
        <v>22.88</v>
      </c>
      <c r="D1121">
        <v>15</v>
      </c>
      <c r="E1121">
        <v>1</v>
      </c>
      <c r="F1121">
        <v>240</v>
      </c>
      <c r="G1121">
        <v>1938</v>
      </c>
    </row>
    <row r="1122" spans="1:19" x14ac:dyDescent="0.35">
      <c r="A1122" t="s">
        <v>227</v>
      </c>
      <c r="B1122" t="s">
        <v>252</v>
      </c>
      <c r="C1122">
        <v>20.88</v>
      </c>
      <c r="D1122">
        <v>15</v>
      </c>
      <c r="E1122">
        <v>1</v>
      </c>
      <c r="F1122">
        <v>180</v>
      </c>
      <c r="G1122">
        <v>607</v>
      </c>
    </row>
    <row r="1123" spans="1:19" x14ac:dyDescent="0.35">
      <c r="A1123" t="s">
        <v>227</v>
      </c>
      <c r="B1123" t="s">
        <v>253</v>
      </c>
      <c r="C1123">
        <v>20.22</v>
      </c>
      <c r="D1123">
        <v>15</v>
      </c>
      <c r="E1123">
        <v>2</v>
      </c>
      <c r="F1123">
        <v>120</v>
      </c>
      <c r="G1123">
        <v>150</v>
      </c>
    </row>
    <row r="1124" spans="1:19" x14ac:dyDescent="0.35">
      <c r="A1124" s="3" t="s">
        <v>227</v>
      </c>
      <c r="B1124" s="3" t="s">
        <v>254</v>
      </c>
      <c r="C1124" s="5">
        <v>13.81</v>
      </c>
      <c r="D1124" s="5">
        <v>15</v>
      </c>
      <c r="E1124" s="5">
        <v>5</v>
      </c>
      <c r="F1124" s="5">
        <v>30</v>
      </c>
      <c r="G1124" s="5">
        <v>9</v>
      </c>
    </row>
    <row r="1125" spans="1:19" x14ac:dyDescent="0.35">
      <c r="A1125" t="s">
        <v>228</v>
      </c>
      <c r="B1125" t="s">
        <v>228</v>
      </c>
      <c r="C1125">
        <v>22.25</v>
      </c>
      <c r="D1125">
        <v>15</v>
      </c>
      <c r="E1125">
        <v>1</v>
      </c>
      <c r="F1125">
        <v>240</v>
      </c>
      <c r="G1125">
        <v>2704</v>
      </c>
    </row>
    <row r="1127" spans="1:19" x14ac:dyDescent="0.35">
      <c r="A1127" s="1" t="s">
        <v>539</v>
      </c>
    </row>
    <row r="1128" spans="1:19" x14ac:dyDescent="0.35">
      <c r="A1128" t="s">
        <v>219</v>
      </c>
      <c r="B1128" t="s">
        <v>540</v>
      </c>
      <c r="C1128" t="s">
        <v>541</v>
      </c>
      <c r="D1128" t="s">
        <v>542</v>
      </c>
      <c r="E1128" t="s">
        <v>543</v>
      </c>
      <c r="F1128" t="s">
        <v>544</v>
      </c>
      <c r="G1128" t="s">
        <v>545</v>
      </c>
      <c r="H1128" t="s">
        <v>546</v>
      </c>
      <c r="I1128" t="s">
        <v>547</v>
      </c>
      <c r="J1128" t="s">
        <v>548</v>
      </c>
      <c r="K1128" t="s">
        <v>549</v>
      </c>
      <c r="L1128" t="s">
        <v>550</v>
      </c>
      <c r="M1128" t="s">
        <v>551</v>
      </c>
      <c r="N1128" t="s">
        <v>552</v>
      </c>
      <c r="O1128" t="s">
        <v>553</v>
      </c>
      <c r="P1128" t="s">
        <v>282</v>
      </c>
      <c r="Q1128" t="s">
        <v>277</v>
      </c>
      <c r="R1128" t="s">
        <v>226</v>
      </c>
    </row>
    <row r="1129" spans="1:19" x14ac:dyDescent="0.35">
      <c r="A1129" t="s">
        <v>227</v>
      </c>
      <c r="B1129" s="2">
        <v>0.40010000000000001</v>
      </c>
      <c r="C1129" s="2">
        <v>0.35039999999999999</v>
      </c>
      <c r="D1129" s="2">
        <v>0.2084</v>
      </c>
      <c r="E1129" s="2">
        <v>0.1074</v>
      </c>
      <c r="F1129" s="2">
        <v>0.10390000000000001</v>
      </c>
      <c r="G1129" s="2">
        <v>8.6499999999999994E-2</v>
      </c>
      <c r="H1129" s="2">
        <v>7.2300000000000003E-2</v>
      </c>
      <c r="I1129" s="2">
        <v>6.3399999999999998E-2</v>
      </c>
      <c r="J1129" s="2">
        <v>5.2499999999999998E-2</v>
      </c>
      <c r="K1129" s="2">
        <v>4.7899999999999998E-2</v>
      </c>
      <c r="L1129" s="2">
        <v>3.9600000000000003E-2</v>
      </c>
      <c r="M1129" s="2">
        <v>3.7199999999999997E-2</v>
      </c>
      <c r="N1129" s="2">
        <v>1.4999999999999999E-2</v>
      </c>
      <c r="O1129" s="2">
        <v>1.34E-2</v>
      </c>
      <c r="P1129" s="2">
        <v>2.2000000000000001E-3</v>
      </c>
      <c r="Q1129" s="2">
        <v>1.9E-3</v>
      </c>
      <c r="R1129">
        <v>2789</v>
      </c>
    </row>
    <row r="1130" spans="1:19" x14ac:dyDescent="0.35">
      <c r="A1130" t="s">
        <v>228</v>
      </c>
      <c r="B1130" s="2">
        <v>0.40010000000000001</v>
      </c>
      <c r="C1130" s="2">
        <v>0.35039999999999999</v>
      </c>
      <c r="D1130" s="2">
        <v>0.2084</v>
      </c>
      <c r="E1130" s="2">
        <v>0.1074</v>
      </c>
      <c r="F1130" s="2">
        <v>0.10390000000000001</v>
      </c>
      <c r="G1130" s="2">
        <v>8.6499999999999994E-2</v>
      </c>
      <c r="H1130" s="2">
        <v>7.2300000000000003E-2</v>
      </c>
      <c r="I1130" s="2">
        <v>6.3399999999999998E-2</v>
      </c>
      <c r="J1130" s="2">
        <v>5.2499999999999998E-2</v>
      </c>
      <c r="K1130" s="2">
        <v>4.7899999999999998E-2</v>
      </c>
      <c r="L1130" s="2">
        <v>3.9600000000000003E-2</v>
      </c>
      <c r="M1130" s="2">
        <v>3.7199999999999997E-2</v>
      </c>
      <c r="N1130" s="2">
        <v>1.4999999999999999E-2</v>
      </c>
      <c r="O1130" s="2">
        <v>1.34E-2</v>
      </c>
      <c r="P1130" s="2">
        <v>2.2000000000000001E-3</v>
      </c>
      <c r="Q1130" s="2">
        <v>1.9E-3</v>
      </c>
      <c r="R1130">
        <v>2789</v>
      </c>
    </row>
    <row r="1132" spans="1:19" x14ac:dyDescent="0.35">
      <c r="A1132" s="1" t="s">
        <v>554</v>
      </c>
    </row>
    <row r="1133" spans="1:19" x14ac:dyDescent="0.35">
      <c r="A1133" t="s">
        <v>219</v>
      </c>
      <c r="B1133" t="s">
        <v>301</v>
      </c>
      <c r="C1133" t="s">
        <v>540</v>
      </c>
      <c r="D1133" t="s">
        <v>541</v>
      </c>
      <c r="E1133" t="s">
        <v>542</v>
      </c>
      <c r="F1133" t="s">
        <v>543</v>
      </c>
      <c r="G1133" t="s">
        <v>544</v>
      </c>
      <c r="H1133" t="s">
        <v>545</v>
      </c>
      <c r="I1133" t="s">
        <v>546</v>
      </c>
      <c r="J1133" t="s">
        <v>547</v>
      </c>
      <c r="K1133" t="s">
        <v>548</v>
      </c>
      <c r="L1133" t="s">
        <v>549</v>
      </c>
      <c r="M1133" t="s">
        <v>550</v>
      </c>
      <c r="N1133" t="s">
        <v>551</v>
      </c>
      <c r="O1133" t="s">
        <v>552</v>
      </c>
      <c r="P1133" t="s">
        <v>553</v>
      </c>
      <c r="Q1133" t="s">
        <v>282</v>
      </c>
      <c r="R1133" t="s">
        <v>277</v>
      </c>
      <c r="S1133" t="s">
        <v>226</v>
      </c>
    </row>
    <row r="1134" spans="1:19" x14ac:dyDescent="0.35">
      <c r="A1134" t="s">
        <v>227</v>
      </c>
      <c r="B1134" t="s">
        <v>238</v>
      </c>
      <c r="C1134" s="2">
        <v>0.14349999999999999</v>
      </c>
      <c r="D1134" s="2">
        <v>0.50180000000000002</v>
      </c>
      <c r="E1134" s="2">
        <v>0.35389999999999999</v>
      </c>
      <c r="F1134" s="2">
        <v>0.18779999999999999</v>
      </c>
      <c r="G1134" s="2">
        <v>0.1893</v>
      </c>
      <c r="H1134" s="2">
        <v>0.16650000000000001</v>
      </c>
      <c r="I1134" s="2">
        <v>0.1047</v>
      </c>
      <c r="J1134" s="2">
        <v>7.5800000000000006E-2</v>
      </c>
      <c r="K1134" s="2">
        <v>7.0599999999999996E-2</v>
      </c>
      <c r="L1134" s="2">
        <v>8.2000000000000003E-2</v>
      </c>
      <c r="M1134" s="2">
        <v>7.3999999999999996E-2</v>
      </c>
      <c r="N1134" s="2">
        <v>8.4900000000000003E-2</v>
      </c>
      <c r="O1134" s="2">
        <v>1.84E-2</v>
      </c>
      <c r="P1134" s="2">
        <v>2.47E-2</v>
      </c>
      <c r="Q1134" s="2">
        <v>2.8E-3</v>
      </c>
      <c r="R1134" s="2">
        <v>4.0000000000000002E-4</v>
      </c>
      <c r="S1134">
        <v>991</v>
      </c>
    </row>
    <row r="1135" spans="1:19" x14ac:dyDescent="0.35">
      <c r="A1135" t="s">
        <v>227</v>
      </c>
      <c r="B1135" t="s">
        <v>237</v>
      </c>
      <c r="C1135" s="2">
        <v>0.54869999999999997</v>
      </c>
      <c r="D1135" s="2">
        <v>0.26269999999999999</v>
      </c>
      <c r="E1135" s="2">
        <v>0.1242</v>
      </c>
      <c r="F1135" s="2">
        <v>6.0900000000000003E-2</v>
      </c>
      <c r="G1135" s="2">
        <v>5.4399999999999997E-2</v>
      </c>
      <c r="H1135" s="2">
        <v>4.02E-2</v>
      </c>
      <c r="I1135" s="2">
        <v>5.3499999999999999E-2</v>
      </c>
      <c r="J1135" s="2">
        <v>5.62E-2</v>
      </c>
      <c r="K1135" s="2">
        <v>4.19E-2</v>
      </c>
      <c r="L1135" s="2">
        <v>2.81E-2</v>
      </c>
      <c r="M1135" s="2">
        <v>1.9599999999999999E-2</v>
      </c>
      <c r="N1135" s="2">
        <v>9.4999999999999998E-3</v>
      </c>
      <c r="O1135" s="2">
        <v>1.2999999999999999E-2</v>
      </c>
      <c r="P1135" s="2">
        <v>6.7999999999999996E-3</v>
      </c>
      <c r="Q1135" s="2">
        <v>1.9E-3</v>
      </c>
      <c r="R1135" s="2">
        <v>2.8E-3</v>
      </c>
      <c r="S1135">
        <v>1798</v>
      </c>
    </row>
    <row r="1136" spans="1:19" x14ac:dyDescent="0.35">
      <c r="A1136" t="s">
        <v>228</v>
      </c>
      <c r="B1136" t="s">
        <v>228</v>
      </c>
      <c r="C1136" s="2">
        <v>0.40010000000000001</v>
      </c>
      <c r="D1136" s="2">
        <v>0.35039999999999999</v>
      </c>
      <c r="E1136" s="2">
        <v>0.2084</v>
      </c>
      <c r="F1136" s="2">
        <v>0.1074</v>
      </c>
      <c r="G1136" s="2">
        <v>0.10390000000000001</v>
      </c>
      <c r="H1136" s="2">
        <v>8.6499999999999994E-2</v>
      </c>
      <c r="I1136" s="2">
        <v>7.2300000000000003E-2</v>
      </c>
      <c r="J1136" s="2">
        <v>6.3399999999999998E-2</v>
      </c>
      <c r="K1136" s="2">
        <v>5.2499999999999998E-2</v>
      </c>
      <c r="L1136" s="2">
        <v>4.7899999999999998E-2</v>
      </c>
      <c r="M1136" s="2">
        <v>3.9600000000000003E-2</v>
      </c>
      <c r="N1136" s="2">
        <v>3.7199999999999997E-2</v>
      </c>
      <c r="O1136" s="2">
        <v>1.4999999999999999E-2</v>
      </c>
      <c r="P1136" s="2">
        <v>1.34E-2</v>
      </c>
      <c r="Q1136" s="2">
        <v>2.2000000000000001E-3</v>
      </c>
      <c r="R1136" s="2">
        <v>1.9E-3</v>
      </c>
      <c r="S1136">
        <v>2789</v>
      </c>
    </row>
    <row r="1138" spans="1:19" x14ac:dyDescent="0.35">
      <c r="A1138" s="1" t="s">
        <v>555</v>
      </c>
    </row>
    <row r="1139" spans="1:19" x14ac:dyDescent="0.35">
      <c r="A1139" t="s">
        <v>219</v>
      </c>
      <c r="B1139" t="s">
        <v>301</v>
      </c>
      <c r="C1139" t="s">
        <v>540</v>
      </c>
      <c r="D1139" t="s">
        <v>541</v>
      </c>
      <c r="E1139" t="s">
        <v>542</v>
      </c>
      <c r="F1139" t="s">
        <v>543</v>
      </c>
      <c r="G1139" t="s">
        <v>544</v>
      </c>
      <c r="H1139" t="s">
        <v>545</v>
      </c>
      <c r="I1139" t="s">
        <v>546</v>
      </c>
      <c r="J1139" t="s">
        <v>547</v>
      </c>
      <c r="K1139" t="s">
        <v>548</v>
      </c>
      <c r="L1139" t="s">
        <v>549</v>
      </c>
      <c r="M1139" t="s">
        <v>550</v>
      </c>
      <c r="N1139" t="s">
        <v>551</v>
      </c>
      <c r="O1139" t="s">
        <v>552</v>
      </c>
      <c r="P1139" t="s">
        <v>553</v>
      </c>
      <c r="Q1139" t="s">
        <v>282</v>
      </c>
      <c r="R1139" t="s">
        <v>277</v>
      </c>
      <c r="S1139" t="s">
        <v>226</v>
      </c>
    </row>
    <row r="1140" spans="1:19" x14ac:dyDescent="0.35">
      <c r="A1140" t="s">
        <v>227</v>
      </c>
      <c r="B1140" t="s">
        <v>235</v>
      </c>
      <c r="C1140" s="2">
        <v>0.33119999999999999</v>
      </c>
      <c r="D1140" s="2">
        <v>0.41620000000000001</v>
      </c>
      <c r="E1140" s="2">
        <v>0.26379999999999998</v>
      </c>
      <c r="F1140" s="2">
        <v>0.12839999999999999</v>
      </c>
      <c r="G1140" s="2">
        <v>0.12809999999999999</v>
      </c>
      <c r="H1140" s="2">
        <v>0.1094</v>
      </c>
      <c r="I1140" s="2">
        <v>5.7200000000000001E-2</v>
      </c>
      <c r="J1140" s="2">
        <v>7.3999999999999996E-2</v>
      </c>
      <c r="K1140" s="2">
        <v>5.4699999999999999E-2</v>
      </c>
      <c r="L1140" s="2">
        <v>7.9399999999999998E-2</v>
      </c>
      <c r="M1140" s="2">
        <v>5.8099999999999999E-2</v>
      </c>
      <c r="N1140" s="2">
        <v>3.1300000000000001E-2</v>
      </c>
      <c r="O1140" s="2">
        <v>1.12E-2</v>
      </c>
      <c r="P1140" s="2">
        <v>1.15E-2</v>
      </c>
      <c r="Q1140" s="2">
        <v>2.9999999999999997E-4</v>
      </c>
      <c r="R1140" s="2">
        <v>6.4000000000000003E-3</v>
      </c>
      <c r="S1140">
        <v>985</v>
      </c>
    </row>
    <row r="1141" spans="1:19" x14ac:dyDescent="0.35">
      <c r="A1141" t="s">
        <v>227</v>
      </c>
      <c r="B1141" t="s">
        <v>234</v>
      </c>
      <c r="C1141" s="2">
        <v>0.42870000000000003</v>
      </c>
      <c r="D1141" s="2">
        <v>0.32300000000000001</v>
      </c>
      <c r="E1141" s="2">
        <v>0.18540000000000001</v>
      </c>
      <c r="F1141" s="2">
        <v>9.8699999999999996E-2</v>
      </c>
      <c r="G1141" s="2">
        <v>9.3799999999999994E-2</v>
      </c>
      <c r="H1141" s="2">
        <v>7.6999999999999999E-2</v>
      </c>
      <c r="I1141" s="2">
        <v>7.8600000000000003E-2</v>
      </c>
      <c r="J1141" s="2">
        <v>5.8999999999999997E-2</v>
      </c>
      <c r="K1141" s="2">
        <v>5.1499999999999997E-2</v>
      </c>
      <c r="L1141" s="2">
        <v>3.4799999999999998E-2</v>
      </c>
      <c r="M1141" s="2">
        <v>3.1899999999999998E-2</v>
      </c>
      <c r="N1141" s="2">
        <v>3.9600000000000003E-2</v>
      </c>
      <c r="O1141" s="2">
        <v>1.6500000000000001E-2</v>
      </c>
      <c r="P1141" s="2">
        <v>1.41E-2</v>
      </c>
      <c r="Q1141" s="2">
        <v>3.0000000000000001E-3</v>
      </c>
      <c r="R1141" s="2">
        <v>1E-4</v>
      </c>
      <c r="S1141">
        <v>1804</v>
      </c>
    </row>
    <row r="1142" spans="1:19" x14ac:dyDescent="0.35">
      <c r="A1142" t="s">
        <v>228</v>
      </c>
      <c r="B1142" t="s">
        <v>228</v>
      </c>
      <c r="C1142" s="2">
        <v>0.40010000000000001</v>
      </c>
      <c r="D1142" s="2">
        <v>0.35039999999999999</v>
      </c>
      <c r="E1142" s="2">
        <v>0.2084</v>
      </c>
      <c r="F1142" s="2">
        <v>0.1074</v>
      </c>
      <c r="G1142" s="2">
        <v>0.10390000000000001</v>
      </c>
      <c r="H1142" s="2">
        <v>8.6499999999999994E-2</v>
      </c>
      <c r="I1142" s="2">
        <v>7.2300000000000003E-2</v>
      </c>
      <c r="J1142" s="2">
        <v>6.3399999999999998E-2</v>
      </c>
      <c r="K1142" s="2">
        <v>5.2499999999999998E-2</v>
      </c>
      <c r="L1142" s="2">
        <v>4.7899999999999998E-2</v>
      </c>
      <c r="M1142" s="2">
        <v>3.9600000000000003E-2</v>
      </c>
      <c r="N1142" s="2">
        <v>3.7199999999999997E-2</v>
      </c>
      <c r="O1142" s="2">
        <v>1.4999999999999999E-2</v>
      </c>
      <c r="P1142" s="2">
        <v>1.34E-2</v>
      </c>
      <c r="Q1142" s="2">
        <v>2.2000000000000001E-3</v>
      </c>
      <c r="R1142" s="2">
        <v>1.9E-3</v>
      </c>
      <c r="S1142">
        <v>2789</v>
      </c>
    </row>
    <row r="1144" spans="1:19" x14ac:dyDescent="0.35">
      <c r="A1144" s="1" t="s">
        <v>556</v>
      </c>
    </row>
    <row r="1145" spans="1:19" x14ac:dyDescent="0.35">
      <c r="A1145" t="s">
        <v>219</v>
      </c>
      <c r="B1145" t="s">
        <v>301</v>
      </c>
      <c r="C1145" t="s">
        <v>540</v>
      </c>
      <c r="D1145" t="s">
        <v>541</v>
      </c>
      <c r="E1145" t="s">
        <v>542</v>
      </c>
      <c r="F1145" t="s">
        <v>543</v>
      </c>
      <c r="G1145" t="s">
        <v>544</v>
      </c>
      <c r="H1145" t="s">
        <v>545</v>
      </c>
      <c r="I1145" t="s">
        <v>546</v>
      </c>
      <c r="J1145" t="s">
        <v>547</v>
      </c>
      <c r="K1145" t="s">
        <v>548</v>
      </c>
      <c r="L1145" t="s">
        <v>549</v>
      </c>
      <c r="M1145" t="s">
        <v>550</v>
      </c>
      <c r="N1145" t="s">
        <v>551</v>
      </c>
      <c r="O1145" t="s">
        <v>552</v>
      </c>
      <c r="P1145" t="s">
        <v>553</v>
      </c>
      <c r="Q1145" t="s">
        <v>282</v>
      </c>
      <c r="R1145" t="s">
        <v>277</v>
      </c>
      <c r="S1145" t="s">
        <v>226</v>
      </c>
    </row>
    <row r="1146" spans="1:19" x14ac:dyDescent="0.35">
      <c r="A1146" t="s">
        <v>227</v>
      </c>
      <c r="B1146" t="s">
        <v>240</v>
      </c>
      <c r="C1146" s="2">
        <v>0.36680000000000001</v>
      </c>
      <c r="D1146" s="2">
        <v>0.35010000000000002</v>
      </c>
      <c r="E1146" s="2">
        <v>0.21640000000000001</v>
      </c>
      <c r="F1146" s="2">
        <v>0.11</v>
      </c>
      <c r="G1146" s="2">
        <v>0.1061</v>
      </c>
      <c r="H1146" s="2">
        <v>9.3200000000000005E-2</v>
      </c>
      <c r="I1146" s="2">
        <v>8.0299999999999996E-2</v>
      </c>
      <c r="J1146" s="2">
        <v>8.6199999999999999E-2</v>
      </c>
      <c r="K1146" s="2">
        <v>5.2999999999999999E-2</v>
      </c>
      <c r="L1146" s="2">
        <v>6.1400000000000003E-2</v>
      </c>
      <c r="M1146" s="2">
        <v>5.0900000000000001E-2</v>
      </c>
      <c r="N1146" s="2">
        <v>3.5700000000000003E-2</v>
      </c>
      <c r="O1146" s="2">
        <v>2.0799999999999999E-2</v>
      </c>
      <c r="P1146" s="2">
        <v>1.2500000000000001E-2</v>
      </c>
      <c r="Q1146" s="2">
        <v>5.9999999999999995E-4</v>
      </c>
      <c r="R1146" s="2">
        <v>2.8999999999999998E-3</v>
      </c>
      <c r="S1146">
        <v>1746</v>
      </c>
    </row>
    <row r="1147" spans="1:19" x14ac:dyDescent="0.35">
      <c r="A1147" t="s">
        <v>227</v>
      </c>
      <c r="B1147" t="s">
        <v>241</v>
      </c>
      <c r="C1147" s="2">
        <v>0.49330000000000002</v>
      </c>
      <c r="D1147" s="2">
        <v>0.34560000000000002</v>
      </c>
      <c r="E1147" s="2">
        <v>0.18329999999999999</v>
      </c>
      <c r="F1147" s="2">
        <v>8.3799999999999999E-2</v>
      </c>
      <c r="G1147" s="2">
        <v>0.1108</v>
      </c>
      <c r="H1147" s="2">
        <v>5.3999999999999999E-2</v>
      </c>
      <c r="I1147" s="2">
        <v>4.0399999999999998E-2</v>
      </c>
      <c r="J1147" s="2">
        <v>8.8999999999999999E-3</v>
      </c>
      <c r="K1147" s="2">
        <v>5.3199999999999997E-2</v>
      </c>
      <c r="L1147" s="2">
        <v>1.7999999999999999E-2</v>
      </c>
      <c r="M1147" s="2">
        <v>5.0000000000000001E-3</v>
      </c>
      <c r="N1147" s="2">
        <v>2.8899999999999999E-2</v>
      </c>
      <c r="O1147" s="2">
        <v>1.2999999999999999E-3</v>
      </c>
      <c r="P1147" s="2">
        <v>1.44E-2</v>
      </c>
      <c r="Q1147" s="2">
        <v>5.8999999999999999E-3</v>
      </c>
      <c r="R1147" s="2">
        <v>2.0000000000000001E-4</v>
      </c>
      <c r="S1147">
        <v>880</v>
      </c>
    </row>
    <row r="1148" spans="1:19" x14ac:dyDescent="0.35">
      <c r="A1148" t="s">
        <v>227</v>
      </c>
      <c r="B1148" t="s">
        <v>242</v>
      </c>
      <c r="C1148" s="2">
        <v>0.30659999999999998</v>
      </c>
      <c r="D1148" s="2">
        <v>0.37490000000000001</v>
      </c>
      <c r="E1148" s="2">
        <v>0.24360000000000001</v>
      </c>
      <c r="F1148" s="2">
        <v>0.18859999999999999</v>
      </c>
      <c r="G1148" s="2">
        <v>0.05</v>
      </c>
      <c r="H1148" s="2">
        <v>0.16839999999999999</v>
      </c>
      <c r="I1148" s="2">
        <v>0.13819999999999999</v>
      </c>
      <c r="J1148" s="2">
        <v>8.5500000000000007E-2</v>
      </c>
      <c r="K1148" s="2">
        <v>4.3799999999999999E-2</v>
      </c>
      <c r="L1148" s="2">
        <v>4.9799999999999997E-2</v>
      </c>
      <c r="M1148" s="2">
        <v>8.43E-2</v>
      </c>
      <c r="N1148" s="2">
        <v>8.9399999999999993E-2</v>
      </c>
      <c r="O1148" s="2">
        <v>1.9400000000000001E-2</v>
      </c>
      <c r="P1148" s="2">
        <v>1.6799999999999999E-2</v>
      </c>
      <c r="Q1148" s="2">
        <v>1.1000000000000001E-3</v>
      </c>
      <c r="S1148">
        <v>163</v>
      </c>
    </row>
    <row r="1149" spans="1:19" x14ac:dyDescent="0.35">
      <c r="A1149" t="s">
        <v>228</v>
      </c>
      <c r="B1149" t="s">
        <v>228</v>
      </c>
      <c r="C1149" s="2">
        <v>0.40010000000000001</v>
      </c>
      <c r="D1149" s="2">
        <v>0.35039999999999999</v>
      </c>
      <c r="E1149" s="2">
        <v>0.2084</v>
      </c>
      <c r="F1149" s="2">
        <v>0.1074</v>
      </c>
      <c r="G1149" s="2">
        <v>0.10390000000000001</v>
      </c>
      <c r="H1149" s="2">
        <v>8.6499999999999994E-2</v>
      </c>
      <c r="I1149" s="2">
        <v>7.2300000000000003E-2</v>
      </c>
      <c r="J1149" s="2">
        <v>6.3399999999999998E-2</v>
      </c>
      <c r="K1149" s="2">
        <v>5.2499999999999998E-2</v>
      </c>
      <c r="L1149" s="2">
        <v>4.7899999999999998E-2</v>
      </c>
      <c r="M1149" s="2">
        <v>3.9600000000000003E-2</v>
      </c>
      <c r="N1149" s="2">
        <v>3.7199999999999997E-2</v>
      </c>
      <c r="O1149" s="2">
        <v>1.4999999999999999E-2</v>
      </c>
      <c r="P1149" s="2">
        <v>1.34E-2</v>
      </c>
      <c r="Q1149" s="2">
        <v>2.2000000000000001E-3</v>
      </c>
      <c r="R1149" s="2">
        <v>1.9E-3</v>
      </c>
      <c r="S1149">
        <v>2789</v>
      </c>
    </row>
    <row r="1151" spans="1:19" x14ac:dyDescent="0.35">
      <c r="A1151" s="1" t="s">
        <v>557</v>
      </c>
    </row>
    <row r="1152" spans="1:19" x14ac:dyDescent="0.35">
      <c r="A1152" t="s">
        <v>219</v>
      </c>
      <c r="B1152" t="s">
        <v>301</v>
      </c>
      <c r="C1152" t="s">
        <v>540</v>
      </c>
      <c r="D1152" t="s">
        <v>541</v>
      </c>
      <c r="E1152" t="s">
        <v>542</v>
      </c>
      <c r="F1152" t="s">
        <v>543</v>
      </c>
      <c r="G1152" t="s">
        <v>544</v>
      </c>
      <c r="H1152" t="s">
        <v>545</v>
      </c>
      <c r="I1152" t="s">
        <v>546</v>
      </c>
      <c r="J1152" t="s">
        <v>547</v>
      </c>
      <c r="K1152" t="s">
        <v>548</v>
      </c>
      <c r="L1152" t="s">
        <v>549</v>
      </c>
      <c r="M1152" t="s">
        <v>550</v>
      </c>
      <c r="N1152" t="s">
        <v>551</v>
      </c>
      <c r="O1152" t="s">
        <v>552</v>
      </c>
      <c r="P1152" t="s">
        <v>553</v>
      </c>
      <c r="Q1152" t="s">
        <v>282</v>
      </c>
      <c r="R1152" t="s">
        <v>277</v>
      </c>
      <c r="S1152" t="s">
        <v>226</v>
      </c>
    </row>
    <row r="1153" spans="1:19" x14ac:dyDescent="0.35">
      <c r="A1153" t="s">
        <v>227</v>
      </c>
      <c r="B1153" t="s">
        <v>334</v>
      </c>
      <c r="C1153" s="2">
        <v>0.30430000000000001</v>
      </c>
      <c r="D1153" s="2">
        <v>0.38379999999999997</v>
      </c>
      <c r="E1153" s="2">
        <v>0.25130000000000002</v>
      </c>
      <c r="F1153" s="2">
        <v>0.14449999999999999</v>
      </c>
      <c r="G1153" s="2">
        <v>0.1227</v>
      </c>
      <c r="H1153" s="2">
        <v>0.11119999999999999</v>
      </c>
      <c r="I1153" s="2">
        <v>8.3000000000000004E-2</v>
      </c>
      <c r="J1153" s="2">
        <v>7.2900000000000006E-2</v>
      </c>
      <c r="K1153" s="2">
        <v>7.6100000000000001E-2</v>
      </c>
      <c r="L1153" s="2">
        <v>5.8299999999999998E-2</v>
      </c>
      <c r="M1153" s="2">
        <v>5.28E-2</v>
      </c>
      <c r="N1153" s="2">
        <v>5.5300000000000002E-2</v>
      </c>
      <c r="O1153" s="2">
        <v>1.7899999999999999E-2</v>
      </c>
      <c r="P1153" s="2">
        <v>8.3999999999999995E-3</v>
      </c>
      <c r="R1153" s="2">
        <v>2.0000000000000001E-4</v>
      </c>
      <c r="S1153">
        <v>618</v>
      </c>
    </row>
    <row r="1154" spans="1:19" x14ac:dyDescent="0.35">
      <c r="A1154" t="s">
        <v>227</v>
      </c>
      <c r="B1154" t="s">
        <v>335</v>
      </c>
      <c r="C1154" s="2">
        <v>0.53220000000000001</v>
      </c>
      <c r="D1154" s="2">
        <v>0.23480000000000001</v>
      </c>
      <c r="E1154" s="2">
        <v>0.1421</v>
      </c>
      <c r="F1154" s="2">
        <v>0.09</v>
      </c>
      <c r="G1154" s="2">
        <v>4.9299999999999997E-2</v>
      </c>
      <c r="H1154" s="2">
        <v>6.4699999999999994E-2</v>
      </c>
      <c r="I1154" s="2">
        <v>4.99E-2</v>
      </c>
      <c r="J1154" s="2">
        <v>7.8299999999999995E-2</v>
      </c>
      <c r="K1154" s="2">
        <v>2.0899999999999998E-2</v>
      </c>
      <c r="L1154" s="2">
        <v>4.07E-2</v>
      </c>
      <c r="M1154" s="2">
        <v>3.2599999999999997E-2</v>
      </c>
      <c r="N1154" s="2">
        <v>2.3300000000000001E-2</v>
      </c>
      <c r="O1154" s="2">
        <v>1.4E-2</v>
      </c>
      <c r="P1154" s="2">
        <v>1.95E-2</v>
      </c>
      <c r="Q1154" s="2">
        <v>3.3999999999999998E-3</v>
      </c>
      <c r="R1154" s="2">
        <v>5.7000000000000002E-3</v>
      </c>
      <c r="S1154">
        <v>621</v>
      </c>
    </row>
    <row r="1155" spans="1:19" x14ac:dyDescent="0.35">
      <c r="A1155" t="s">
        <v>227</v>
      </c>
      <c r="B1155" t="s">
        <v>336</v>
      </c>
      <c r="C1155" s="2">
        <v>0.29199999999999998</v>
      </c>
      <c r="D1155" s="2">
        <v>0.48349999999999999</v>
      </c>
      <c r="E1155" s="2">
        <v>0.26719999999999999</v>
      </c>
      <c r="F1155" s="2">
        <v>0.1358</v>
      </c>
      <c r="G1155" s="2">
        <v>0.12870000000000001</v>
      </c>
      <c r="H1155" s="2">
        <v>0.10879999999999999</v>
      </c>
      <c r="I1155" s="2">
        <v>8.6900000000000005E-2</v>
      </c>
      <c r="J1155" s="2">
        <v>4.7E-2</v>
      </c>
      <c r="K1155" s="2">
        <v>6.3799999999999996E-2</v>
      </c>
      <c r="L1155" s="2">
        <v>5.6399999999999999E-2</v>
      </c>
      <c r="M1155" s="2">
        <v>2.98E-2</v>
      </c>
      <c r="N1155" s="2">
        <v>2.86E-2</v>
      </c>
      <c r="O1155" s="2">
        <v>8.0000000000000002E-3</v>
      </c>
      <c r="P1155" s="2">
        <v>1.5800000000000002E-2</v>
      </c>
      <c r="Q1155" s="2">
        <v>4.0000000000000002E-4</v>
      </c>
      <c r="S1155">
        <v>618</v>
      </c>
    </row>
    <row r="1156" spans="1:19" x14ac:dyDescent="0.35">
      <c r="A1156" t="s">
        <v>227</v>
      </c>
      <c r="B1156" t="s">
        <v>337</v>
      </c>
      <c r="C1156" s="2">
        <v>0.35139999999999999</v>
      </c>
      <c r="D1156" s="2">
        <v>0.39600000000000002</v>
      </c>
      <c r="E1156" s="2">
        <v>0.22969999999999999</v>
      </c>
      <c r="F1156" s="2">
        <v>9.6699999999999994E-2</v>
      </c>
      <c r="G1156" s="2">
        <v>0.1419</v>
      </c>
      <c r="H1156" s="2">
        <v>9.1300000000000006E-2</v>
      </c>
      <c r="I1156" s="2">
        <v>7.9600000000000004E-2</v>
      </c>
      <c r="J1156" s="2">
        <v>4.3799999999999999E-2</v>
      </c>
      <c r="K1156" s="2">
        <v>6.6900000000000001E-2</v>
      </c>
      <c r="L1156" s="2">
        <v>3.7499999999999999E-2</v>
      </c>
      <c r="M1156" s="2">
        <v>6.1400000000000003E-2</v>
      </c>
      <c r="N1156" s="2">
        <v>5.3100000000000001E-2</v>
      </c>
      <c r="O1156" s="2">
        <v>9.7999999999999997E-3</v>
      </c>
      <c r="P1156" s="2">
        <v>1.2E-2</v>
      </c>
      <c r="S1156">
        <v>598</v>
      </c>
    </row>
    <row r="1157" spans="1:19" x14ac:dyDescent="0.35">
      <c r="A1157" t="s">
        <v>228</v>
      </c>
      <c r="B1157" t="s">
        <v>228</v>
      </c>
      <c r="C1157" s="2">
        <v>0.40010000000000001</v>
      </c>
      <c r="D1157" s="2">
        <v>0.35039999999999999</v>
      </c>
      <c r="E1157" s="2">
        <v>0.2084</v>
      </c>
      <c r="F1157" s="2">
        <v>0.1074</v>
      </c>
      <c r="G1157" s="2">
        <v>0.10390000000000001</v>
      </c>
      <c r="H1157" s="2">
        <v>8.6499999999999994E-2</v>
      </c>
      <c r="I1157" s="2">
        <v>7.2300000000000003E-2</v>
      </c>
      <c r="J1157" s="2">
        <v>6.3399999999999998E-2</v>
      </c>
      <c r="K1157" s="2">
        <v>5.2499999999999998E-2</v>
      </c>
      <c r="L1157" s="2">
        <v>4.7899999999999998E-2</v>
      </c>
      <c r="M1157" s="2">
        <v>3.9600000000000003E-2</v>
      </c>
      <c r="N1157" s="2">
        <v>3.7199999999999997E-2</v>
      </c>
      <c r="O1157" s="2">
        <v>1.4999999999999999E-2</v>
      </c>
      <c r="P1157" s="2">
        <v>1.34E-2</v>
      </c>
      <c r="Q1157" s="2">
        <v>2.2000000000000001E-3</v>
      </c>
      <c r="R1157" s="2">
        <v>1.9E-3</v>
      </c>
      <c r="S1157">
        <v>2455</v>
      </c>
    </row>
    <row r="1159" spans="1:19" x14ac:dyDescent="0.35">
      <c r="A1159" s="1" t="s">
        <v>558</v>
      </c>
    </row>
    <row r="1160" spans="1:19" x14ac:dyDescent="0.35">
      <c r="A1160" t="s">
        <v>219</v>
      </c>
      <c r="B1160" t="s">
        <v>301</v>
      </c>
      <c r="C1160" t="s">
        <v>540</v>
      </c>
      <c r="D1160" t="s">
        <v>541</v>
      </c>
      <c r="E1160" t="s">
        <v>542</v>
      </c>
      <c r="F1160" t="s">
        <v>543</v>
      </c>
      <c r="G1160" t="s">
        <v>544</v>
      </c>
      <c r="H1160" t="s">
        <v>545</v>
      </c>
      <c r="I1160" t="s">
        <v>546</v>
      </c>
      <c r="J1160" t="s">
        <v>547</v>
      </c>
      <c r="K1160" t="s">
        <v>548</v>
      </c>
      <c r="L1160" t="s">
        <v>549</v>
      </c>
      <c r="M1160" t="s">
        <v>550</v>
      </c>
      <c r="N1160" t="s">
        <v>551</v>
      </c>
      <c r="O1160" t="s">
        <v>552</v>
      </c>
      <c r="P1160" t="s">
        <v>553</v>
      </c>
      <c r="Q1160" t="s">
        <v>282</v>
      </c>
      <c r="R1160" t="s">
        <v>277</v>
      </c>
      <c r="S1160" t="s">
        <v>226</v>
      </c>
    </row>
    <row r="1161" spans="1:19" x14ac:dyDescent="0.35">
      <c r="A1161" t="s">
        <v>227</v>
      </c>
      <c r="B1161" t="s">
        <v>263</v>
      </c>
      <c r="C1161" s="2">
        <v>0.49859999999999999</v>
      </c>
      <c r="D1161" s="2">
        <v>0.26800000000000002</v>
      </c>
      <c r="E1161" s="2">
        <v>0.16930000000000001</v>
      </c>
      <c r="F1161" s="2">
        <v>6.4100000000000004E-2</v>
      </c>
      <c r="G1161" s="2">
        <v>8.6800000000000002E-2</v>
      </c>
      <c r="H1161" s="2">
        <v>7.0499999999999993E-2</v>
      </c>
      <c r="I1161" s="2">
        <v>7.9000000000000001E-2</v>
      </c>
      <c r="J1161" s="2">
        <v>6.0900000000000003E-2</v>
      </c>
      <c r="K1161" s="2">
        <v>4.1700000000000001E-2</v>
      </c>
      <c r="L1161" s="2">
        <v>2.9700000000000001E-2</v>
      </c>
      <c r="M1161" s="2">
        <v>2.2200000000000001E-2</v>
      </c>
      <c r="N1161" s="2">
        <v>3.7400000000000003E-2</v>
      </c>
      <c r="O1161" s="2">
        <v>1.41E-2</v>
      </c>
      <c r="P1161" s="2">
        <v>1.67E-2</v>
      </c>
      <c r="Q1161" s="2">
        <v>1.4E-3</v>
      </c>
      <c r="R1161" s="2">
        <v>5.0000000000000001E-4</v>
      </c>
      <c r="S1161">
        <v>587</v>
      </c>
    </row>
    <row r="1162" spans="1:19" x14ac:dyDescent="0.35">
      <c r="A1162" t="s">
        <v>227</v>
      </c>
      <c r="B1162" t="s">
        <v>262</v>
      </c>
      <c r="C1162" s="2">
        <v>0.4173</v>
      </c>
      <c r="D1162" s="2">
        <v>0.37019999999999997</v>
      </c>
      <c r="E1162" s="2">
        <v>0.19450000000000001</v>
      </c>
      <c r="F1162" s="2">
        <v>0.10340000000000001</v>
      </c>
      <c r="G1162" s="2">
        <v>0.1328</v>
      </c>
      <c r="H1162" s="2">
        <v>7.2599999999999998E-2</v>
      </c>
      <c r="I1162" s="2">
        <v>7.3200000000000001E-2</v>
      </c>
      <c r="J1162" s="2">
        <v>3.5799999999999998E-2</v>
      </c>
      <c r="K1162" s="2">
        <v>7.1199999999999999E-2</v>
      </c>
      <c r="L1162" s="2">
        <v>3.7400000000000003E-2</v>
      </c>
      <c r="M1162" s="2">
        <v>2.3800000000000002E-2</v>
      </c>
      <c r="N1162" s="2">
        <v>4.5199999999999997E-2</v>
      </c>
      <c r="O1162" s="2">
        <v>8.3000000000000001E-3</v>
      </c>
      <c r="P1162" s="2">
        <v>1.61E-2</v>
      </c>
      <c r="Q1162" s="2">
        <v>4.3E-3</v>
      </c>
      <c r="R1162" s="2">
        <v>1E-4</v>
      </c>
      <c r="S1162">
        <v>1146</v>
      </c>
    </row>
    <row r="1163" spans="1:19" x14ac:dyDescent="0.35">
      <c r="A1163" t="s">
        <v>227</v>
      </c>
      <c r="B1163" t="s">
        <v>261</v>
      </c>
      <c r="C1163" s="2">
        <v>0.33789999999999998</v>
      </c>
      <c r="D1163" s="2">
        <v>0.372</v>
      </c>
      <c r="E1163" s="2">
        <v>0.23719999999999999</v>
      </c>
      <c r="F1163" s="2">
        <v>0.13100000000000001</v>
      </c>
      <c r="G1163" s="2">
        <v>8.4599999999999995E-2</v>
      </c>
      <c r="H1163" s="2">
        <v>0.1052</v>
      </c>
      <c r="I1163" s="2">
        <v>6.8500000000000005E-2</v>
      </c>
      <c r="J1163" s="2">
        <v>8.8599999999999998E-2</v>
      </c>
      <c r="K1163" s="2">
        <v>4.1799999999999997E-2</v>
      </c>
      <c r="L1163" s="2">
        <v>6.6000000000000003E-2</v>
      </c>
      <c r="M1163" s="2">
        <v>6.0299999999999999E-2</v>
      </c>
      <c r="N1163" s="2">
        <v>3.0300000000000001E-2</v>
      </c>
      <c r="O1163" s="2">
        <v>2.12E-2</v>
      </c>
      <c r="P1163" s="2">
        <v>9.4000000000000004E-3</v>
      </c>
      <c r="Q1163" s="2">
        <v>8.0000000000000004E-4</v>
      </c>
      <c r="R1163" s="2">
        <v>4.1999999999999997E-3</v>
      </c>
      <c r="S1163">
        <v>1054</v>
      </c>
    </row>
    <row r="1164" spans="1:19" x14ac:dyDescent="0.35">
      <c r="A1164" s="3" t="s">
        <v>227</v>
      </c>
      <c r="B1164" s="3" t="s">
        <v>232</v>
      </c>
      <c r="C1164" s="5"/>
      <c r="D1164" s="4">
        <v>1</v>
      </c>
      <c r="E1164" s="4">
        <v>1</v>
      </c>
      <c r="F1164" s="4">
        <v>0.5</v>
      </c>
      <c r="G1164" s="4">
        <v>1</v>
      </c>
      <c r="H1164" s="4">
        <v>0.5</v>
      </c>
      <c r="I1164" s="5"/>
      <c r="J1164" s="5"/>
      <c r="K1164" s="5"/>
      <c r="L1164" s="5"/>
      <c r="M1164" s="4">
        <v>0.5</v>
      </c>
      <c r="N1164" s="5"/>
      <c r="O1164" s="5"/>
      <c r="P1164" s="5"/>
      <c r="Q1164" s="5"/>
      <c r="R1164" s="5"/>
      <c r="S1164" s="5" t="s">
        <v>434</v>
      </c>
    </row>
    <row r="1165" spans="1:19" x14ac:dyDescent="0.35">
      <c r="A1165" t="s">
        <v>228</v>
      </c>
      <c r="B1165" t="s">
        <v>228</v>
      </c>
      <c r="C1165" s="2">
        <v>0.40010000000000001</v>
      </c>
      <c r="D1165" s="2">
        <v>0.35039999999999999</v>
      </c>
      <c r="E1165" s="2">
        <v>0.2084</v>
      </c>
      <c r="F1165" s="2">
        <v>0.1074</v>
      </c>
      <c r="G1165" s="2">
        <v>0.10390000000000001</v>
      </c>
      <c r="H1165" s="2">
        <v>8.6499999999999994E-2</v>
      </c>
      <c r="I1165" s="2">
        <v>7.2300000000000003E-2</v>
      </c>
      <c r="J1165" s="2">
        <v>6.3399999999999998E-2</v>
      </c>
      <c r="K1165" s="2">
        <v>5.2499999999999998E-2</v>
      </c>
      <c r="L1165" s="2">
        <v>4.7899999999999998E-2</v>
      </c>
      <c r="M1165" s="2">
        <v>3.9600000000000003E-2</v>
      </c>
      <c r="N1165" s="2">
        <v>3.7199999999999997E-2</v>
      </c>
      <c r="O1165" s="2">
        <v>1.4999999999999999E-2</v>
      </c>
      <c r="P1165" s="2">
        <v>1.34E-2</v>
      </c>
      <c r="Q1165" s="2">
        <v>2.2000000000000001E-3</v>
      </c>
      <c r="R1165" s="2">
        <v>1.9E-3</v>
      </c>
      <c r="S1165">
        <v>2789</v>
      </c>
    </row>
    <row r="1167" spans="1:19" x14ac:dyDescent="0.35">
      <c r="A1167" s="1" t="s">
        <v>559</v>
      </c>
    </row>
    <row r="1168" spans="1:19" x14ac:dyDescent="0.35">
      <c r="A1168" t="s">
        <v>219</v>
      </c>
      <c r="B1168" t="s">
        <v>301</v>
      </c>
      <c r="C1168" t="s">
        <v>540</v>
      </c>
      <c r="D1168" t="s">
        <v>541</v>
      </c>
      <c r="E1168" t="s">
        <v>542</v>
      </c>
      <c r="F1168" t="s">
        <v>543</v>
      </c>
      <c r="G1168" t="s">
        <v>544</v>
      </c>
      <c r="H1168" t="s">
        <v>545</v>
      </c>
      <c r="I1168" t="s">
        <v>546</v>
      </c>
      <c r="J1168" t="s">
        <v>547</v>
      </c>
      <c r="K1168" t="s">
        <v>548</v>
      </c>
      <c r="L1168" t="s">
        <v>549</v>
      </c>
      <c r="M1168" t="s">
        <v>550</v>
      </c>
      <c r="N1168" t="s">
        <v>551</v>
      </c>
      <c r="O1168" t="s">
        <v>552</v>
      </c>
      <c r="P1168" t="s">
        <v>553</v>
      </c>
      <c r="Q1168" t="s">
        <v>282</v>
      </c>
      <c r="R1168" t="s">
        <v>277</v>
      </c>
      <c r="S1168" t="s">
        <v>226</v>
      </c>
    </row>
    <row r="1169" spans="1:19" x14ac:dyDescent="0.35">
      <c r="A1169" t="s">
        <v>227</v>
      </c>
      <c r="B1169" t="s">
        <v>248</v>
      </c>
      <c r="C1169" s="2">
        <v>0.2074</v>
      </c>
      <c r="D1169" s="2">
        <v>0.54449999999999998</v>
      </c>
      <c r="E1169" s="2">
        <v>0.33560000000000001</v>
      </c>
      <c r="F1169" s="2">
        <v>0.1762</v>
      </c>
      <c r="G1169" s="2">
        <v>0.18210000000000001</v>
      </c>
      <c r="H1169" s="2">
        <v>8.7099999999999997E-2</v>
      </c>
      <c r="I1169" s="2">
        <v>7.0099999999999996E-2</v>
      </c>
      <c r="J1169" s="2">
        <v>3.4700000000000002E-2</v>
      </c>
      <c r="K1169" s="2">
        <v>8.2699999999999996E-2</v>
      </c>
      <c r="L1169" s="2">
        <v>4.5999999999999999E-2</v>
      </c>
      <c r="M1169" s="2">
        <v>1.7000000000000001E-2</v>
      </c>
      <c r="N1169" s="2">
        <v>5.0200000000000002E-2</v>
      </c>
      <c r="O1169" s="2">
        <v>1.12E-2</v>
      </c>
      <c r="P1169" s="2">
        <v>9.1999999999999998E-3</v>
      </c>
      <c r="R1169" s="2">
        <v>2.0000000000000001E-4</v>
      </c>
      <c r="S1169">
        <v>787</v>
      </c>
    </row>
    <row r="1170" spans="1:19" x14ac:dyDescent="0.35">
      <c r="A1170" t="s">
        <v>227</v>
      </c>
      <c r="B1170" t="s">
        <v>249</v>
      </c>
      <c r="C1170" s="2">
        <v>0.1623</v>
      </c>
      <c r="D1170" s="2">
        <v>0.57240000000000002</v>
      </c>
      <c r="E1170" s="2">
        <v>0.34200000000000003</v>
      </c>
      <c r="F1170" s="2">
        <v>0.1961</v>
      </c>
      <c r="G1170" s="2">
        <v>0.11849999999999999</v>
      </c>
      <c r="H1170" s="2">
        <v>0.15329999999999999</v>
      </c>
      <c r="I1170" s="2">
        <v>9.2899999999999996E-2</v>
      </c>
      <c r="J1170" s="2">
        <v>7.8399999999999997E-2</v>
      </c>
      <c r="K1170" s="2">
        <v>6.4199999999999993E-2</v>
      </c>
      <c r="L1170" s="2">
        <v>7.8100000000000003E-2</v>
      </c>
      <c r="M1170" s="2">
        <v>6.1199999999999997E-2</v>
      </c>
      <c r="N1170" s="2">
        <v>9.69E-2</v>
      </c>
      <c r="O1170" s="2">
        <v>1.6299999999999999E-2</v>
      </c>
      <c r="P1170" s="2">
        <v>2.5399999999999999E-2</v>
      </c>
      <c r="Q1170" s="2">
        <v>1.1999999999999999E-3</v>
      </c>
      <c r="S1170">
        <v>538</v>
      </c>
    </row>
    <row r="1171" spans="1:19" x14ac:dyDescent="0.35">
      <c r="A1171" t="s">
        <v>227</v>
      </c>
      <c r="B1171" t="s">
        <v>247</v>
      </c>
      <c r="C1171" s="2">
        <v>0.58730000000000004</v>
      </c>
      <c r="D1171" s="2">
        <v>0.16830000000000001</v>
      </c>
      <c r="E1171" s="2">
        <v>9.3399999999999997E-2</v>
      </c>
      <c r="F1171" s="2">
        <v>3.9199999999999999E-2</v>
      </c>
      <c r="G1171" s="2">
        <v>5.79E-2</v>
      </c>
      <c r="H1171" s="2">
        <v>6.1699999999999998E-2</v>
      </c>
      <c r="I1171" s="2">
        <v>6.59E-2</v>
      </c>
      <c r="J1171" s="2">
        <v>7.2800000000000004E-2</v>
      </c>
      <c r="K1171" s="2">
        <v>3.2399999999999998E-2</v>
      </c>
      <c r="L1171" s="2">
        <v>3.7699999999999997E-2</v>
      </c>
      <c r="M1171" s="2">
        <v>4.3299999999999998E-2</v>
      </c>
      <c r="N1171" s="2">
        <v>8.5000000000000006E-3</v>
      </c>
      <c r="O1171" s="2">
        <v>1.6400000000000001E-2</v>
      </c>
      <c r="P1171" s="2">
        <v>1.11E-2</v>
      </c>
      <c r="Q1171" s="2">
        <v>3.7000000000000002E-3</v>
      </c>
      <c r="R1171" s="2">
        <v>3.5999999999999999E-3</v>
      </c>
      <c r="S1171">
        <v>1464</v>
      </c>
    </row>
    <row r="1172" spans="1:19" x14ac:dyDescent="0.35">
      <c r="A1172" t="s">
        <v>228</v>
      </c>
      <c r="B1172" t="s">
        <v>228</v>
      </c>
      <c r="C1172" s="2">
        <v>0.40010000000000001</v>
      </c>
      <c r="D1172" s="2">
        <v>0.35039999999999999</v>
      </c>
      <c r="E1172" s="2">
        <v>0.2084</v>
      </c>
      <c r="F1172" s="2">
        <v>0.1074</v>
      </c>
      <c r="G1172" s="2">
        <v>0.10390000000000001</v>
      </c>
      <c r="H1172" s="2">
        <v>8.6499999999999994E-2</v>
      </c>
      <c r="I1172" s="2">
        <v>7.2300000000000003E-2</v>
      </c>
      <c r="J1172" s="2">
        <v>6.3399999999999998E-2</v>
      </c>
      <c r="K1172" s="2">
        <v>5.2499999999999998E-2</v>
      </c>
      <c r="L1172" s="2">
        <v>4.7899999999999998E-2</v>
      </c>
      <c r="M1172" s="2">
        <v>3.9600000000000003E-2</v>
      </c>
      <c r="N1172" s="2">
        <v>3.7199999999999997E-2</v>
      </c>
      <c r="O1172" s="2">
        <v>1.4999999999999999E-2</v>
      </c>
      <c r="P1172" s="2">
        <v>1.34E-2</v>
      </c>
      <c r="Q1172" s="2">
        <v>2.2000000000000001E-3</v>
      </c>
      <c r="R1172" s="2">
        <v>1.9E-3</v>
      </c>
      <c r="S1172">
        <v>2789</v>
      </c>
    </row>
    <row r="1174" spans="1:19" x14ac:dyDescent="0.35">
      <c r="A1174" s="1" t="s">
        <v>560</v>
      </c>
    </row>
    <row r="1175" spans="1:19" x14ac:dyDescent="0.35">
      <c r="A1175" t="s">
        <v>219</v>
      </c>
      <c r="B1175" t="s">
        <v>301</v>
      </c>
      <c r="C1175" t="s">
        <v>540</v>
      </c>
      <c r="D1175" t="s">
        <v>541</v>
      </c>
      <c r="E1175" t="s">
        <v>542</v>
      </c>
      <c r="F1175" t="s">
        <v>543</v>
      </c>
      <c r="G1175" t="s">
        <v>544</v>
      </c>
      <c r="H1175" t="s">
        <v>545</v>
      </c>
      <c r="I1175" t="s">
        <v>546</v>
      </c>
      <c r="J1175" t="s">
        <v>547</v>
      </c>
      <c r="K1175" t="s">
        <v>548</v>
      </c>
      <c r="L1175" t="s">
        <v>549</v>
      </c>
      <c r="M1175" t="s">
        <v>550</v>
      </c>
      <c r="N1175" t="s">
        <v>551</v>
      </c>
      <c r="O1175" t="s">
        <v>552</v>
      </c>
      <c r="P1175" t="s">
        <v>553</v>
      </c>
      <c r="Q1175" t="s">
        <v>282</v>
      </c>
      <c r="R1175" t="s">
        <v>277</v>
      </c>
      <c r="S1175" t="s">
        <v>226</v>
      </c>
    </row>
    <row r="1176" spans="1:19" x14ac:dyDescent="0.35">
      <c r="A1176" t="s">
        <v>227</v>
      </c>
      <c r="B1176" t="s">
        <v>245</v>
      </c>
      <c r="C1176" s="2">
        <v>0.49149999999999999</v>
      </c>
      <c r="D1176" s="2">
        <v>0.2258</v>
      </c>
      <c r="E1176" s="2">
        <v>0.1414</v>
      </c>
      <c r="F1176" s="2">
        <v>8.0100000000000005E-2</v>
      </c>
      <c r="G1176" s="2">
        <v>5.9700000000000003E-2</v>
      </c>
      <c r="H1176" s="2">
        <v>0.1024</v>
      </c>
      <c r="I1176" s="2">
        <v>9.0300000000000005E-2</v>
      </c>
      <c r="J1176" s="2">
        <v>9.69E-2</v>
      </c>
      <c r="K1176" s="2">
        <v>3.6799999999999999E-2</v>
      </c>
      <c r="L1176" s="2">
        <v>5.57E-2</v>
      </c>
      <c r="M1176" s="2">
        <v>4.7100000000000003E-2</v>
      </c>
      <c r="N1176" s="2">
        <v>3.6499999999999998E-2</v>
      </c>
      <c r="O1176" s="2">
        <v>1.7600000000000001E-2</v>
      </c>
      <c r="P1176" s="2">
        <v>1.0800000000000001E-2</v>
      </c>
      <c r="Q1176" s="2">
        <v>5.9999999999999995E-4</v>
      </c>
      <c r="R1176" s="2">
        <v>2.0000000000000001E-4</v>
      </c>
      <c r="S1176">
        <v>774</v>
      </c>
    </row>
    <row r="1177" spans="1:19" x14ac:dyDescent="0.35">
      <c r="A1177" t="s">
        <v>227</v>
      </c>
      <c r="B1177" t="s">
        <v>244</v>
      </c>
      <c r="C1177" s="2">
        <v>0.36420000000000002</v>
      </c>
      <c r="D1177" s="2">
        <v>0.39929999999999999</v>
      </c>
      <c r="E1177" s="2">
        <v>0.23469999999999999</v>
      </c>
      <c r="F1177" s="2">
        <v>0.1181</v>
      </c>
      <c r="G1177" s="2">
        <v>0.1212</v>
      </c>
      <c r="H1177" s="2">
        <v>8.0299999999999996E-2</v>
      </c>
      <c r="I1177" s="2">
        <v>6.5299999999999997E-2</v>
      </c>
      <c r="J1177" s="2">
        <v>5.0299999999999997E-2</v>
      </c>
      <c r="K1177" s="2">
        <v>5.8599999999999999E-2</v>
      </c>
      <c r="L1177" s="2">
        <v>4.48E-2</v>
      </c>
      <c r="M1177" s="2">
        <v>3.6600000000000001E-2</v>
      </c>
      <c r="N1177" s="2">
        <v>3.7400000000000003E-2</v>
      </c>
      <c r="O1177" s="2">
        <v>1.3899999999999999E-2</v>
      </c>
      <c r="P1177" s="2">
        <v>1.44E-2</v>
      </c>
      <c r="Q1177" s="2">
        <v>2.8E-3</v>
      </c>
      <c r="R1177" s="2">
        <v>2.5999999999999999E-3</v>
      </c>
      <c r="S1177">
        <v>2015</v>
      </c>
    </row>
    <row r="1178" spans="1:19" x14ac:dyDescent="0.35">
      <c r="A1178" t="s">
        <v>228</v>
      </c>
      <c r="B1178" t="s">
        <v>228</v>
      </c>
      <c r="C1178" s="2">
        <v>0.40010000000000001</v>
      </c>
      <c r="D1178" s="2">
        <v>0.35039999999999999</v>
      </c>
      <c r="E1178" s="2">
        <v>0.2084</v>
      </c>
      <c r="F1178" s="2">
        <v>0.1074</v>
      </c>
      <c r="G1178" s="2">
        <v>0.10390000000000001</v>
      </c>
      <c r="H1178" s="2">
        <v>8.6499999999999994E-2</v>
      </c>
      <c r="I1178" s="2">
        <v>7.2300000000000003E-2</v>
      </c>
      <c r="J1178" s="2">
        <v>6.3399999999999998E-2</v>
      </c>
      <c r="K1178" s="2">
        <v>5.2499999999999998E-2</v>
      </c>
      <c r="L1178" s="2">
        <v>4.7899999999999998E-2</v>
      </c>
      <c r="M1178" s="2">
        <v>3.9600000000000003E-2</v>
      </c>
      <c r="N1178" s="2">
        <v>3.7199999999999997E-2</v>
      </c>
      <c r="O1178" s="2">
        <v>1.4999999999999999E-2</v>
      </c>
      <c r="P1178" s="2">
        <v>1.34E-2</v>
      </c>
      <c r="Q1178" s="2">
        <v>2.2000000000000001E-3</v>
      </c>
      <c r="R1178" s="2">
        <v>1.9E-3</v>
      </c>
      <c r="S1178">
        <v>2789</v>
      </c>
    </row>
    <row r="1180" spans="1:19" x14ac:dyDescent="0.35">
      <c r="A1180" s="1" t="s">
        <v>561</v>
      </c>
    </row>
    <row r="1181" spans="1:19" x14ac:dyDescent="0.35">
      <c r="A1181" t="s">
        <v>219</v>
      </c>
      <c r="B1181" t="s">
        <v>301</v>
      </c>
      <c r="C1181" t="s">
        <v>540</v>
      </c>
      <c r="D1181" t="s">
        <v>541</v>
      </c>
      <c r="E1181" t="s">
        <v>542</v>
      </c>
      <c r="F1181" t="s">
        <v>543</v>
      </c>
      <c r="G1181" t="s">
        <v>544</v>
      </c>
      <c r="H1181" t="s">
        <v>545</v>
      </c>
      <c r="I1181" t="s">
        <v>546</v>
      </c>
      <c r="J1181" t="s">
        <v>547</v>
      </c>
      <c r="K1181" t="s">
        <v>548</v>
      </c>
      <c r="L1181" t="s">
        <v>549</v>
      </c>
      <c r="M1181" t="s">
        <v>550</v>
      </c>
      <c r="N1181" t="s">
        <v>551</v>
      </c>
      <c r="O1181" t="s">
        <v>552</v>
      </c>
      <c r="P1181" t="s">
        <v>553</v>
      </c>
      <c r="Q1181" t="s">
        <v>282</v>
      </c>
      <c r="R1181" t="s">
        <v>277</v>
      </c>
      <c r="S1181" t="s">
        <v>226</v>
      </c>
    </row>
    <row r="1182" spans="1:19" x14ac:dyDescent="0.35">
      <c r="A1182" t="s">
        <v>227</v>
      </c>
      <c r="B1182" t="s">
        <v>259</v>
      </c>
      <c r="C1182" s="2">
        <v>0.47220000000000001</v>
      </c>
      <c r="D1182" s="2">
        <v>0.3765</v>
      </c>
      <c r="E1182" s="2">
        <v>0.27589999999999998</v>
      </c>
      <c r="F1182" s="2">
        <v>1.61E-2</v>
      </c>
      <c r="G1182" s="2">
        <v>0.13719999999999999</v>
      </c>
      <c r="H1182" s="2">
        <v>0.1726</v>
      </c>
      <c r="I1182" s="2">
        <v>1.7600000000000001E-2</v>
      </c>
      <c r="J1182" s="2">
        <v>3.6999999999999998E-2</v>
      </c>
      <c r="K1182" s="2">
        <v>5.8900000000000001E-2</v>
      </c>
      <c r="L1182" s="2">
        <v>3.5499999999999997E-2</v>
      </c>
      <c r="M1182" s="2">
        <v>1.6E-2</v>
      </c>
      <c r="N1182" s="2">
        <v>1.61E-2</v>
      </c>
      <c r="O1182" s="2">
        <v>1.4500000000000001E-2</v>
      </c>
      <c r="P1182" s="2">
        <v>5.0900000000000001E-2</v>
      </c>
      <c r="S1182">
        <v>67</v>
      </c>
    </row>
    <row r="1183" spans="1:19" x14ac:dyDescent="0.35">
      <c r="A1183" t="s">
        <v>227</v>
      </c>
      <c r="B1183" t="s">
        <v>257</v>
      </c>
      <c r="C1183" s="2">
        <v>0.31790000000000002</v>
      </c>
      <c r="D1183" s="2">
        <v>0.39419999999999999</v>
      </c>
      <c r="E1183" s="2">
        <v>0.21840000000000001</v>
      </c>
      <c r="F1183" s="2">
        <v>0.13950000000000001</v>
      </c>
      <c r="G1183" s="2">
        <v>0.11219999999999999</v>
      </c>
      <c r="H1183" s="2">
        <v>0.11609999999999999</v>
      </c>
      <c r="I1183" s="2">
        <v>8.3099999999999993E-2</v>
      </c>
      <c r="J1183" s="2">
        <v>5.5199999999999999E-2</v>
      </c>
      <c r="K1183" s="2">
        <v>9.8799999999999999E-2</v>
      </c>
      <c r="L1183" s="2">
        <v>5.8900000000000001E-2</v>
      </c>
      <c r="M1183" s="2">
        <v>4.4699999999999997E-2</v>
      </c>
      <c r="N1183" s="2">
        <v>6.0299999999999999E-2</v>
      </c>
      <c r="O1183" s="2">
        <v>2.58E-2</v>
      </c>
      <c r="P1183" s="2">
        <v>5.3E-3</v>
      </c>
      <c r="R1183" s="2">
        <v>5.9999999999999995E-4</v>
      </c>
      <c r="S1183">
        <v>402</v>
      </c>
    </row>
    <row r="1184" spans="1:19" x14ac:dyDescent="0.35">
      <c r="A1184" t="s">
        <v>227</v>
      </c>
      <c r="B1184" t="s">
        <v>256</v>
      </c>
      <c r="C1184" s="2">
        <v>0.41389999999999999</v>
      </c>
      <c r="D1184" s="2">
        <v>0.36049999999999999</v>
      </c>
      <c r="E1184" s="2">
        <v>0.21510000000000001</v>
      </c>
      <c r="F1184" s="2">
        <v>0.11169999999999999</v>
      </c>
      <c r="G1184" s="2">
        <v>0.10489999999999999</v>
      </c>
      <c r="H1184" s="2">
        <v>8.1100000000000005E-2</v>
      </c>
      <c r="I1184" s="2">
        <v>6.3299999999999995E-2</v>
      </c>
      <c r="J1184" s="2">
        <v>6.1499999999999999E-2</v>
      </c>
      <c r="K1184" s="2">
        <v>4.2599999999999999E-2</v>
      </c>
      <c r="L1184" s="2">
        <v>4.6899999999999997E-2</v>
      </c>
      <c r="M1184" s="2">
        <v>3.6999999999999998E-2</v>
      </c>
      <c r="N1184" s="2">
        <v>3.1899999999999998E-2</v>
      </c>
      <c r="O1184" s="2">
        <v>8.8999999999999999E-3</v>
      </c>
      <c r="P1184" s="2">
        <v>1.46E-2</v>
      </c>
      <c r="Q1184" s="2">
        <v>2.0999999999999999E-3</v>
      </c>
      <c r="R1184" s="2">
        <v>2.8E-3</v>
      </c>
      <c r="S1184">
        <v>1790</v>
      </c>
    </row>
    <row r="1185" spans="1:19" x14ac:dyDescent="0.35">
      <c r="A1185" s="3" t="s">
        <v>227</v>
      </c>
      <c r="B1185" s="3" t="s">
        <v>232</v>
      </c>
      <c r="C1185" s="4">
        <v>0.39479999999999998</v>
      </c>
      <c r="D1185" s="4">
        <v>0.21029999999999999</v>
      </c>
      <c r="E1185" s="4">
        <v>0.1191</v>
      </c>
      <c r="F1185" s="4">
        <v>5.3999999999999999E-2</v>
      </c>
      <c r="G1185" s="4">
        <v>0.34410000000000002</v>
      </c>
      <c r="H1185" s="4">
        <v>8.1900000000000001E-2</v>
      </c>
      <c r="I1185" s="5"/>
      <c r="J1185" s="4">
        <v>0.11509999999999999</v>
      </c>
      <c r="K1185" s="4">
        <v>6.8099999999999994E-2</v>
      </c>
      <c r="L1185" s="4">
        <v>0.11509999999999999</v>
      </c>
      <c r="M1185" s="5"/>
      <c r="N1185" s="5"/>
      <c r="O1185" s="5"/>
      <c r="P1185" s="4">
        <v>8.1900000000000001E-2</v>
      </c>
      <c r="Q1185" s="5"/>
      <c r="R1185" s="5"/>
      <c r="S1185" s="5" t="s">
        <v>307</v>
      </c>
    </row>
    <row r="1186" spans="1:19" x14ac:dyDescent="0.35">
      <c r="A1186" t="s">
        <v>227</v>
      </c>
      <c r="B1186" t="s">
        <v>258</v>
      </c>
      <c r="C1186" s="2">
        <v>0.42420000000000002</v>
      </c>
      <c r="D1186" s="2">
        <v>0.25269999999999998</v>
      </c>
      <c r="E1186" s="2">
        <v>0.1598</v>
      </c>
      <c r="F1186" s="2">
        <v>6.2199999999999998E-2</v>
      </c>
      <c r="G1186" s="2">
        <v>8.2299999999999998E-2</v>
      </c>
      <c r="H1186" s="2">
        <v>6.7400000000000002E-2</v>
      </c>
      <c r="I1186" s="2">
        <v>0.1081</v>
      </c>
      <c r="J1186" s="2">
        <v>8.3900000000000002E-2</v>
      </c>
      <c r="K1186" s="2">
        <v>4.2700000000000002E-2</v>
      </c>
      <c r="L1186" s="2">
        <v>0.04</v>
      </c>
      <c r="M1186" s="2">
        <v>4.8599999999999997E-2</v>
      </c>
      <c r="N1186" s="2">
        <v>3.7600000000000001E-2</v>
      </c>
      <c r="O1186" s="2">
        <v>3.0200000000000001E-2</v>
      </c>
      <c r="P1186" s="2">
        <v>1.2E-2</v>
      </c>
      <c r="Q1186" s="2">
        <v>5.7000000000000002E-3</v>
      </c>
      <c r="S1186">
        <v>519</v>
      </c>
    </row>
    <row r="1187" spans="1:19" x14ac:dyDescent="0.35">
      <c r="A1187" t="s">
        <v>228</v>
      </c>
      <c r="B1187" t="s">
        <v>228</v>
      </c>
      <c r="C1187" s="2">
        <v>0.40010000000000001</v>
      </c>
      <c r="D1187" s="2">
        <v>0.35039999999999999</v>
      </c>
      <c r="E1187" s="2">
        <v>0.2084</v>
      </c>
      <c r="F1187" s="2">
        <v>0.1074</v>
      </c>
      <c r="G1187" s="2">
        <v>0.10390000000000001</v>
      </c>
      <c r="H1187" s="2">
        <v>8.6499999999999994E-2</v>
      </c>
      <c r="I1187" s="2">
        <v>7.2300000000000003E-2</v>
      </c>
      <c r="J1187" s="2">
        <v>6.3399999999999998E-2</v>
      </c>
      <c r="K1187" s="2">
        <v>5.2499999999999998E-2</v>
      </c>
      <c r="L1187" s="2">
        <v>4.7899999999999998E-2</v>
      </c>
      <c r="M1187" s="2">
        <v>3.9600000000000003E-2</v>
      </c>
      <c r="N1187" s="2">
        <v>3.7199999999999997E-2</v>
      </c>
      <c r="O1187" s="2">
        <v>1.4999999999999999E-2</v>
      </c>
      <c r="P1187" s="2">
        <v>1.34E-2</v>
      </c>
      <c r="Q1187" s="2">
        <v>2.2000000000000001E-3</v>
      </c>
      <c r="R1187" s="2">
        <v>1.9E-3</v>
      </c>
      <c r="S1187">
        <v>2789</v>
      </c>
    </row>
    <row r="1189" spans="1:19" x14ac:dyDescent="0.35">
      <c r="A1189" s="1" t="s">
        <v>562</v>
      </c>
    </row>
    <row r="1190" spans="1:19" x14ac:dyDescent="0.35">
      <c r="A1190" t="s">
        <v>219</v>
      </c>
      <c r="B1190" t="s">
        <v>301</v>
      </c>
      <c r="C1190" t="s">
        <v>540</v>
      </c>
      <c r="D1190" t="s">
        <v>541</v>
      </c>
      <c r="E1190" t="s">
        <v>542</v>
      </c>
      <c r="F1190" t="s">
        <v>543</v>
      </c>
      <c r="G1190" t="s">
        <v>544</v>
      </c>
      <c r="H1190" t="s">
        <v>545</v>
      </c>
      <c r="I1190" t="s">
        <v>546</v>
      </c>
      <c r="J1190" t="s">
        <v>547</v>
      </c>
      <c r="K1190" t="s">
        <v>548</v>
      </c>
      <c r="L1190" t="s">
        <v>549</v>
      </c>
      <c r="M1190" t="s">
        <v>550</v>
      </c>
      <c r="N1190" t="s">
        <v>551</v>
      </c>
      <c r="O1190" t="s">
        <v>552</v>
      </c>
      <c r="P1190" t="s">
        <v>553</v>
      </c>
      <c r="Q1190" t="s">
        <v>282</v>
      </c>
      <c r="R1190" t="s">
        <v>277</v>
      </c>
      <c r="S1190" t="s">
        <v>226</v>
      </c>
    </row>
    <row r="1191" spans="1:19" x14ac:dyDescent="0.35">
      <c r="A1191" t="s">
        <v>227</v>
      </c>
      <c r="B1191" t="s">
        <v>343</v>
      </c>
      <c r="C1191" s="2">
        <v>0.31790000000000002</v>
      </c>
      <c r="D1191" s="2">
        <v>0.39419999999999999</v>
      </c>
      <c r="E1191" s="2">
        <v>0.21840000000000001</v>
      </c>
      <c r="F1191" s="2">
        <v>0.13950000000000001</v>
      </c>
      <c r="G1191" s="2">
        <v>0.11219999999999999</v>
      </c>
      <c r="H1191" s="2">
        <v>0.11609999999999999</v>
      </c>
      <c r="I1191" s="2">
        <v>8.3099999999999993E-2</v>
      </c>
      <c r="J1191" s="2">
        <v>5.5199999999999999E-2</v>
      </c>
      <c r="K1191" s="2">
        <v>9.8799999999999999E-2</v>
      </c>
      <c r="L1191" s="2">
        <v>5.8900000000000001E-2</v>
      </c>
      <c r="M1191" s="2">
        <v>4.4699999999999997E-2</v>
      </c>
      <c r="N1191" s="2">
        <v>6.0299999999999999E-2</v>
      </c>
      <c r="O1191" s="2">
        <v>2.58E-2</v>
      </c>
      <c r="P1191" s="2">
        <v>5.3E-3</v>
      </c>
      <c r="R1191" s="2">
        <v>5.9999999999999995E-4</v>
      </c>
      <c r="S1191">
        <v>402</v>
      </c>
    </row>
    <row r="1192" spans="1:19" x14ac:dyDescent="0.35">
      <c r="A1192" t="s">
        <v>227</v>
      </c>
      <c r="B1192" t="s">
        <v>344</v>
      </c>
      <c r="C1192" s="2">
        <v>0.4168</v>
      </c>
      <c r="D1192" s="2">
        <v>0.34139999999999998</v>
      </c>
      <c r="E1192" s="2">
        <v>0.2064</v>
      </c>
      <c r="F1192" s="2">
        <v>0.1009</v>
      </c>
      <c r="G1192" s="2">
        <v>0.1022</v>
      </c>
      <c r="H1192" s="2">
        <v>8.0500000000000002E-2</v>
      </c>
      <c r="I1192" s="2">
        <v>7.0099999999999996E-2</v>
      </c>
      <c r="J1192" s="2">
        <v>6.5100000000000005E-2</v>
      </c>
      <c r="K1192" s="2">
        <v>4.2999999999999997E-2</v>
      </c>
      <c r="L1192" s="2">
        <v>4.5600000000000002E-2</v>
      </c>
      <c r="M1192" s="2">
        <v>3.8600000000000002E-2</v>
      </c>
      <c r="N1192" s="2">
        <v>3.2500000000000001E-2</v>
      </c>
      <c r="O1192" s="2">
        <v>1.2800000000000001E-2</v>
      </c>
      <c r="P1192" s="2">
        <v>1.4999999999999999E-2</v>
      </c>
      <c r="Q1192" s="2">
        <v>2.5999999999999999E-3</v>
      </c>
      <c r="R1192" s="2">
        <v>2.2000000000000001E-3</v>
      </c>
      <c r="S1192">
        <v>2387</v>
      </c>
    </row>
    <row r="1193" spans="1:19" x14ac:dyDescent="0.35">
      <c r="A1193" t="s">
        <v>228</v>
      </c>
      <c r="B1193" t="s">
        <v>228</v>
      </c>
      <c r="C1193" s="2">
        <v>0.40010000000000001</v>
      </c>
      <c r="D1193" s="2">
        <v>0.35039999999999999</v>
      </c>
      <c r="E1193" s="2">
        <v>0.2084</v>
      </c>
      <c r="F1193" s="2">
        <v>0.1074</v>
      </c>
      <c r="G1193" s="2">
        <v>0.10390000000000001</v>
      </c>
      <c r="H1193" s="2">
        <v>8.6499999999999994E-2</v>
      </c>
      <c r="I1193" s="2">
        <v>7.2300000000000003E-2</v>
      </c>
      <c r="J1193" s="2">
        <v>6.3399999999999998E-2</v>
      </c>
      <c r="K1193" s="2">
        <v>5.2499999999999998E-2</v>
      </c>
      <c r="L1193" s="2">
        <v>4.7899999999999998E-2</v>
      </c>
      <c r="M1193" s="2">
        <v>3.9600000000000003E-2</v>
      </c>
      <c r="N1193" s="2">
        <v>3.7199999999999997E-2</v>
      </c>
      <c r="O1193" s="2">
        <v>1.4999999999999999E-2</v>
      </c>
      <c r="P1193" s="2">
        <v>1.34E-2</v>
      </c>
      <c r="Q1193" s="2">
        <v>2.2000000000000001E-3</v>
      </c>
      <c r="R1193" s="2">
        <v>1.9E-3</v>
      </c>
      <c r="S1193">
        <v>2789</v>
      </c>
    </row>
    <row r="1195" spans="1:19" x14ac:dyDescent="0.35">
      <c r="A1195" s="1" t="s">
        <v>563</v>
      </c>
    </row>
    <row r="1196" spans="1:19" x14ac:dyDescent="0.35">
      <c r="A1196" t="s">
        <v>219</v>
      </c>
      <c r="B1196" t="s">
        <v>301</v>
      </c>
      <c r="C1196" t="s">
        <v>540</v>
      </c>
      <c r="D1196" t="s">
        <v>541</v>
      </c>
      <c r="E1196" t="s">
        <v>542</v>
      </c>
      <c r="F1196" t="s">
        <v>543</v>
      </c>
      <c r="G1196" t="s">
        <v>544</v>
      </c>
      <c r="H1196" t="s">
        <v>545</v>
      </c>
      <c r="I1196" t="s">
        <v>546</v>
      </c>
      <c r="J1196" t="s">
        <v>547</v>
      </c>
      <c r="K1196" t="s">
        <v>548</v>
      </c>
      <c r="L1196" t="s">
        <v>549</v>
      </c>
      <c r="M1196" t="s">
        <v>550</v>
      </c>
      <c r="N1196" t="s">
        <v>551</v>
      </c>
      <c r="O1196" t="s">
        <v>552</v>
      </c>
      <c r="P1196" t="s">
        <v>553</v>
      </c>
      <c r="Q1196" t="s">
        <v>282</v>
      </c>
      <c r="R1196" t="s">
        <v>277</v>
      </c>
      <c r="S1196" t="s">
        <v>226</v>
      </c>
    </row>
    <row r="1197" spans="1:19" x14ac:dyDescent="0.35">
      <c r="A1197" t="s">
        <v>227</v>
      </c>
      <c r="B1197" t="s">
        <v>346</v>
      </c>
      <c r="C1197" s="2">
        <v>0.40010000000000001</v>
      </c>
      <c r="D1197" s="2">
        <v>0.3523</v>
      </c>
      <c r="E1197" s="2">
        <v>0.20760000000000001</v>
      </c>
      <c r="F1197" s="2">
        <v>0.10489999999999999</v>
      </c>
      <c r="G1197" s="2">
        <v>0.1056</v>
      </c>
      <c r="H1197" s="2">
        <v>8.8099999999999998E-2</v>
      </c>
      <c r="I1197" s="2">
        <v>7.3200000000000001E-2</v>
      </c>
      <c r="J1197" s="2">
        <v>6.6600000000000006E-2</v>
      </c>
      <c r="K1197" s="2">
        <v>5.1700000000000003E-2</v>
      </c>
      <c r="L1197" s="2">
        <v>4.9099999999999998E-2</v>
      </c>
      <c r="M1197" s="2">
        <v>4.2099999999999999E-2</v>
      </c>
      <c r="N1197" s="2">
        <v>3.6799999999999999E-2</v>
      </c>
      <c r="O1197" s="2">
        <v>1.4800000000000001E-2</v>
      </c>
      <c r="P1197" s="2">
        <v>1.29E-2</v>
      </c>
      <c r="Q1197" s="2">
        <v>2E-3</v>
      </c>
      <c r="R1197" s="2">
        <v>2.0999999999999999E-3</v>
      </c>
      <c r="S1197">
        <v>1452</v>
      </c>
    </row>
    <row r="1198" spans="1:19" x14ac:dyDescent="0.35">
      <c r="A1198" t="s">
        <v>227</v>
      </c>
      <c r="B1198" t="s">
        <v>347</v>
      </c>
      <c r="C1198" s="2">
        <v>0.36420000000000002</v>
      </c>
      <c r="D1198" s="2">
        <v>0.37569999999999998</v>
      </c>
      <c r="E1198" s="2">
        <v>0.25590000000000002</v>
      </c>
      <c r="F1198" s="2">
        <v>0.14810000000000001</v>
      </c>
      <c r="G1198" s="2">
        <v>0.1366</v>
      </c>
      <c r="H1198" s="2">
        <v>7.0699999999999999E-2</v>
      </c>
      <c r="I1198" s="2">
        <v>5.0099999999999999E-2</v>
      </c>
      <c r="J1198" s="2">
        <v>4.4299999999999999E-2</v>
      </c>
      <c r="K1198" s="2">
        <v>7.0300000000000001E-2</v>
      </c>
      <c r="L1198" s="2">
        <v>1.78E-2</v>
      </c>
      <c r="M1198" s="2">
        <v>3.0800000000000001E-2</v>
      </c>
      <c r="N1198" s="2">
        <v>0.06</v>
      </c>
      <c r="O1198" s="2">
        <v>3.3300000000000003E-2</v>
      </c>
      <c r="P1198" s="2">
        <v>1.15E-2</v>
      </c>
      <c r="Q1198" s="2">
        <v>8.0000000000000004E-4</v>
      </c>
      <c r="R1198" s="2">
        <v>8.0000000000000004E-4</v>
      </c>
      <c r="S1198">
        <v>578</v>
      </c>
    </row>
    <row r="1199" spans="1:19" x14ac:dyDescent="0.35">
      <c r="A1199" t="s">
        <v>227</v>
      </c>
      <c r="B1199" t="s">
        <v>348</v>
      </c>
      <c r="C1199" s="2">
        <v>0.41310000000000002</v>
      </c>
      <c r="D1199" s="2">
        <v>0.32319999999999999</v>
      </c>
      <c r="E1199" s="2">
        <v>0.19739999999999999</v>
      </c>
      <c r="F1199" s="2">
        <v>0.1145</v>
      </c>
      <c r="G1199" s="2">
        <v>7.5999999999999998E-2</v>
      </c>
      <c r="H1199" s="2">
        <v>7.8700000000000006E-2</v>
      </c>
      <c r="I1199" s="2">
        <v>7.2900000000000006E-2</v>
      </c>
      <c r="J1199" s="2">
        <v>4.1700000000000001E-2</v>
      </c>
      <c r="K1199" s="2">
        <v>5.28E-2</v>
      </c>
      <c r="L1199" s="2">
        <v>4.82E-2</v>
      </c>
      <c r="M1199" s="2">
        <v>2.0299999999999999E-2</v>
      </c>
      <c r="N1199" s="2">
        <v>3.1699999999999999E-2</v>
      </c>
      <c r="O1199" s="2">
        <v>9.2999999999999992E-3</v>
      </c>
      <c r="P1199" s="2">
        <v>1.78E-2</v>
      </c>
      <c r="Q1199" s="2">
        <v>5.0000000000000001E-3</v>
      </c>
      <c r="R1199" s="2">
        <v>1.1000000000000001E-3</v>
      </c>
      <c r="S1199">
        <v>759</v>
      </c>
    </row>
    <row r="1200" spans="1:19" x14ac:dyDescent="0.35">
      <c r="A1200" t="s">
        <v>228</v>
      </c>
      <c r="B1200" t="s">
        <v>228</v>
      </c>
      <c r="C1200" s="2">
        <v>0.40010000000000001</v>
      </c>
      <c r="D1200" s="2">
        <v>0.35039999999999999</v>
      </c>
      <c r="E1200" s="2">
        <v>0.2084</v>
      </c>
      <c r="F1200" s="2">
        <v>0.1074</v>
      </c>
      <c r="G1200" s="2">
        <v>0.10390000000000001</v>
      </c>
      <c r="H1200" s="2">
        <v>8.6499999999999994E-2</v>
      </c>
      <c r="I1200" s="2">
        <v>7.2300000000000003E-2</v>
      </c>
      <c r="J1200" s="2">
        <v>6.3399999999999998E-2</v>
      </c>
      <c r="K1200" s="2">
        <v>5.2499999999999998E-2</v>
      </c>
      <c r="L1200" s="2">
        <v>4.7899999999999998E-2</v>
      </c>
      <c r="M1200" s="2">
        <v>3.9600000000000003E-2</v>
      </c>
      <c r="N1200" s="2">
        <v>3.7199999999999997E-2</v>
      </c>
      <c r="O1200" s="2">
        <v>1.4999999999999999E-2</v>
      </c>
      <c r="P1200" s="2">
        <v>1.34E-2</v>
      </c>
      <c r="Q1200" s="2">
        <v>2.2000000000000001E-3</v>
      </c>
      <c r="R1200" s="2">
        <v>1.9E-3</v>
      </c>
      <c r="S1200">
        <v>2789</v>
      </c>
    </row>
    <row r="1202" spans="1:19" x14ac:dyDescent="0.35">
      <c r="A1202" s="1" t="s">
        <v>564</v>
      </c>
    </row>
    <row r="1203" spans="1:19" x14ac:dyDescent="0.35">
      <c r="A1203" t="s">
        <v>219</v>
      </c>
      <c r="B1203" t="s">
        <v>301</v>
      </c>
      <c r="C1203" t="s">
        <v>540</v>
      </c>
      <c r="D1203" t="s">
        <v>541</v>
      </c>
      <c r="E1203" t="s">
        <v>542</v>
      </c>
      <c r="F1203" t="s">
        <v>543</v>
      </c>
      <c r="G1203" t="s">
        <v>544</v>
      </c>
      <c r="H1203" t="s">
        <v>545</v>
      </c>
      <c r="I1203" t="s">
        <v>546</v>
      </c>
      <c r="J1203" t="s">
        <v>547</v>
      </c>
      <c r="K1203" t="s">
        <v>548</v>
      </c>
      <c r="L1203" t="s">
        <v>549</v>
      </c>
      <c r="M1203" t="s">
        <v>550</v>
      </c>
      <c r="N1203" t="s">
        <v>551</v>
      </c>
      <c r="O1203" t="s">
        <v>552</v>
      </c>
      <c r="P1203" t="s">
        <v>553</v>
      </c>
      <c r="Q1203" t="s">
        <v>282</v>
      </c>
      <c r="R1203" t="s">
        <v>277</v>
      </c>
      <c r="S1203" t="s">
        <v>226</v>
      </c>
    </row>
    <row r="1204" spans="1:19" x14ac:dyDescent="0.35">
      <c r="A1204" t="s">
        <v>227</v>
      </c>
      <c r="B1204" t="s">
        <v>251</v>
      </c>
      <c r="C1204" s="2">
        <v>0.36420000000000002</v>
      </c>
      <c r="D1204" s="2">
        <v>0.39929999999999999</v>
      </c>
      <c r="E1204" s="2">
        <v>0.23469999999999999</v>
      </c>
      <c r="F1204" s="2">
        <v>0.1181</v>
      </c>
      <c r="G1204" s="2">
        <v>0.1212</v>
      </c>
      <c r="H1204" s="2">
        <v>8.0299999999999996E-2</v>
      </c>
      <c r="I1204" s="2">
        <v>6.5299999999999997E-2</v>
      </c>
      <c r="J1204" s="2">
        <v>5.0299999999999997E-2</v>
      </c>
      <c r="K1204" s="2">
        <v>5.8599999999999999E-2</v>
      </c>
      <c r="L1204" s="2">
        <v>4.48E-2</v>
      </c>
      <c r="M1204" s="2">
        <v>3.6600000000000001E-2</v>
      </c>
      <c r="N1204" s="2">
        <v>3.7400000000000003E-2</v>
      </c>
      <c r="O1204" s="2">
        <v>1.3899999999999999E-2</v>
      </c>
      <c r="P1204" s="2">
        <v>1.44E-2</v>
      </c>
      <c r="Q1204" s="2">
        <v>2.8E-3</v>
      </c>
      <c r="R1204" s="2">
        <v>2.5999999999999999E-3</v>
      </c>
      <c r="S1204">
        <v>2015</v>
      </c>
    </row>
    <row r="1205" spans="1:19" x14ac:dyDescent="0.35">
      <c r="A1205" t="s">
        <v>227</v>
      </c>
      <c r="B1205" t="s">
        <v>252</v>
      </c>
      <c r="C1205" s="2">
        <v>0.43740000000000001</v>
      </c>
      <c r="D1205" s="2">
        <v>0.2515</v>
      </c>
      <c r="E1205" s="2">
        <v>0.1633</v>
      </c>
      <c r="F1205" s="2">
        <v>8.72E-2</v>
      </c>
      <c r="G1205" s="2">
        <v>6.1100000000000002E-2</v>
      </c>
      <c r="H1205" s="2">
        <v>0.108</v>
      </c>
      <c r="I1205" s="2">
        <v>0.10879999999999999</v>
      </c>
      <c r="J1205" s="2">
        <v>0.1181</v>
      </c>
      <c r="K1205" s="2">
        <v>3.1600000000000003E-2</v>
      </c>
      <c r="L1205" s="2">
        <v>6.0400000000000002E-2</v>
      </c>
      <c r="M1205" s="2">
        <v>5.6500000000000002E-2</v>
      </c>
      <c r="N1205" s="2">
        <v>4.4299999999999999E-2</v>
      </c>
      <c r="O1205" s="2">
        <v>1.72E-2</v>
      </c>
      <c r="P1205" s="2">
        <v>1.26E-2</v>
      </c>
      <c r="Q1205" s="2">
        <v>8.0000000000000004E-4</v>
      </c>
      <c r="R1205" s="2">
        <v>2.9999999999999997E-4</v>
      </c>
      <c r="S1205">
        <v>614</v>
      </c>
    </row>
    <row r="1206" spans="1:19" x14ac:dyDescent="0.35">
      <c r="A1206" t="s">
        <v>227</v>
      </c>
      <c r="B1206" t="s">
        <v>253</v>
      </c>
      <c r="C1206" s="2">
        <v>0.72870000000000001</v>
      </c>
      <c r="D1206" s="2">
        <v>0.1067</v>
      </c>
      <c r="E1206" s="2">
        <v>4.9099999999999998E-2</v>
      </c>
      <c r="F1206" s="2">
        <v>5.1200000000000002E-2</v>
      </c>
      <c r="G1206" s="2">
        <v>5.3100000000000001E-2</v>
      </c>
      <c r="H1206" s="2">
        <v>8.1000000000000003E-2</v>
      </c>
      <c r="I1206" s="2">
        <v>1.12E-2</v>
      </c>
      <c r="J1206" s="2">
        <v>5.7999999999999996E-3</v>
      </c>
      <c r="K1206" s="2">
        <v>6.1400000000000003E-2</v>
      </c>
      <c r="L1206" s="2">
        <v>3.6700000000000003E-2</v>
      </c>
      <c r="M1206" s="2">
        <v>7.4000000000000003E-3</v>
      </c>
      <c r="N1206" s="2">
        <v>3.2000000000000002E-3</v>
      </c>
      <c r="O1206" s="2">
        <v>2.0199999999999999E-2</v>
      </c>
      <c r="P1206" s="2">
        <v>3.2000000000000002E-3</v>
      </c>
      <c r="S1206">
        <v>151</v>
      </c>
    </row>
    <row r="1207" spans="1:19" x14ac:dyDescent="0.35">
      <c r="A1207" s="3" t="s">
        <v>227</v>
      </c>
      <c r="B1207" s="3" t="s">
        <v>254</v>
      </c>
      <c r="C1207" s="4">
        <v>0.59030000000000005</v>
      </c>
      <c r="D1207" s="4">
        <v>0.35170000000000001</v>
      </c>
      <c r="E1207" s="5"/>
      <c r="F1207" s="5"/>
      <c r="G1207" s="4">
        <v>5.8000000000000003E-2</v>
      </c>
      <c r="H1207" s="5"/>
      <c r="I1207" s="5"/>
      <c r="J1207" s="5"/>
      <c r="K1207" s="5"/>
      <c r="L1207" s="5"/>
      <c r="M1207" s="5"/>
      <c r="N1207" s="5"/>
      <c r="O1207" s="5"/>
      <c r="P1207" s="5"/>
      <c r="Q1207" s="5"/>
      <c r="R1207" s="5"/>
      <c r="S1207" s="5" t="s">
        <v>515</v>
      </c>
    </row>
    <row r="1208" spans="1:19" x14ac:dyDescent="0.35">
      <c r="A1208" t="s">
        <v>228</v>
      </c>
      <c r="B1208" t="s">
        <v>228</v>
      </c>
      <c r="C1208" s="2">
        <v>0.40010000000000001</v>
      </c>
      <c r="D1208" s="2">
        <v>0.35039999999999999</v>
      </c>
      <c r="E1208" s="2">
        <v>0.2084</v>
      </c>
      <c r="F1208" s="2">
        <v>0.1074</v>
      </c>
      <c r="G1208" s="2">
        <v>0.10390000000000001</v>
      </c>
      <c r="H1208" s="2">
        <v>8.6499999999999994E-2</v>
      </c>
      <c r="I1208" s="2">
        <v>7.2300000000000003E-2</v>
      </c>
      <c r="J1208" s="2">
        <v>6.3399999999999998E-2</v>
      </c>
      <c r="K1208" s="2">
        <v>5.2499999999999998E-2</v>
      </c>
      <c r="L1208" s="2">
        <v>4.7899999999999998E-2</v>
      </c>
      <c r="M1208" s="2">
        <v>3.9600000000000003E-2</v>
      </c>
      <c r="N1208" s="2">
        <v>3.7199999999999997E-2</v>
      </c>
      <c r="O1208" s="2">
        <v>1.4999999999999999E-2</v>
      </c>
      <c r="P1208" s="2">
        <v>1.34E-2</v>
      </c>
      <c r="Q1208" s="2">
        <v>2.2000000000000001E-3</v>
      </c>
      <c r="R1208" s="2">
        <v>1.9E-3</v>
      </c>
      <c r="S1208">
        <v>2789</v>
      </c>
    </row>
    <row r="1210" spans="1:19" x14ac:dyDescent="0.35">
      <c r="A1210" s="1" t="s">
        <v>565</v>
      </c>
    </row>
    <row r="1211" spans="1:19" x14ac:dyDescent="0.35">
      <c r="A1211" t="s">
        <v>219</v>
      </c>
      <c r="B1211" t="s">
        <v>566</v>
      </c>
      <c r="C1211" t="s">
        <v>567</v>
      </c>
      <c r="D1211" t="s">
        <v>568</v>
      </c>
      <c r="E1211" t="s">
        <v>569</v>
      </c>
      <c r="F1211" t="s">
        <v>570</v>
      </c>
      <c r="G1211" t="s">
        <v>277</v>
      </c>
      <c r="H1211" t="s">
        <v>282</v>
      </c>
      <c r="I1211" t="s">
        <v>226</v>
      </c>
    </row>
    <row r="1212" spans="1:19" x14ac:dyDescent="0.35">
      <c r="A1212" t="s">
        <v>227</v>
      </c>
      <c r="B1212" s="2">
        <v>0.75780000000000003</v>
      </c>
      <c r="C1212" s="2">
        <v>8.3699999999999997E-2</v>
      </c>
      <c r="D1212" s="2">
        <v>6.6600000000000006E-2</v>
      </c>
      <c r="E1212" s="2">
        <v>4.1300000000000003E-2</v>
      </c>
      <c r="F1212" s="2">
        <v>3.5999999999999997E-2</v>
      </c>
      <c r="G1212" s="2">
        <v>1.37E-2</v>
      </c>
      <c r="H1212" s="2">
        <v>8.9999999999999998E-4</v>
      </c>
      <c r="I1212">
        <v>1671</v>
      </c>
    </row>
    <row r="1213" spans="1:19" x14ac:dyDescent="0.35">
      <c r="A1213" t="s">
        <v>228</v>
      </c>
      <c r="B1213" s="2">
        <v>0.75780000000000003</v>
      </c>
      <c r="C1213" s="2">
        <v>8.3699999999999997E-2</v>
      </c>
      <c r="D1213" s="2">
        <v>6.6600000000000006E-2</v>
      </c>
      <c r="E1213" s="2">
        <v>4.1300000000000003E-2</v>
      </c>
      <c r="F1213" s="2">
        <v>3.5999999999999997E-2</v>
      </c>
      <c r="G1213" s="2">
        <v>1.37E-2</v>
      </c>
      <c r="H1213" s="2">
        <v>8.9999999999999998E-4</v>
      </c>
      <c r="I1213">
        <v>1671</v>
      </c>
    </row>
    <row r="1215" spans="1:19" x14ac:dyDescent="0.35">
      <c r="A1215" s="1" t="s">
        <v>571</v>
      </c>
    </row>
    <row r="1216" spans="1:19" x14ac:dyDescent="0.35">
      <c r="A1216" t="s">
        <v>219</v>
      </c>
      <c r="B1216" t="s">
        <v>301</v>
      </c>
      <c r="C1216" t="s">
        <v>566</v>
      </c>
      <c r="D1216" t="s">
        <v>567</v>
      </c>
      <c r="E1216" t="s">
        <v>568</v>
      </c>
      <c r="F1216" t="s">
        <v>569</v>
      </c>
      <c r="G1216" t="s">
        <v>570</v>
      </c>
      <c r="H1216" t="s">
        <v>277</v>
      </c>
      <c r="I1216" t="s">
        <v>282</v>
      </c>
      <c r="J1216" t="s">
        <v>226</v>
      </c>
    </row>
    <row r="1217" spans="1:10" x14ac:dyDescent="0.35">
      <c r="A1217" t="s">
        <v>227</v>
      </c>
      <c r="B1217" t="s">
        <v>238</v>
      </c>
      <c r="C1217" s="2">
        <v>0.70389999999999997</v>
      </c>
      <c r="D1217" s="2">
        <v>8.2600000000000007E-2</v>
      </c>
      <c r="E1217" s="2">
        <v>8.4099999999999994E-2</v>
      </c>
      <c r="F1217" s="2">
        <v>6.6199999999999995E-2</v>
      </c>
      <c r="G1217" s="2">
        <v>5.0099999999999999E-2</v>
      </c>
      <c r="H1217" s="2">
        <v>1.14E-2</v>
      </c>
      <c r="I1217" s="2">
        <v>1.6000000000000001E-3</v>
      </c>
      <c r="J1217">
        <v>871</v>
      </c>
    </row>
    <row r="1218" spans="1:10" x14ac:dyDescent="0.35">
      <c r="A1218" t="s">
        <v>227</v>
      </c>
      <c r="B1218" t="s">
        <v>237</v>
      </c>
      <c r="C1218" s="2">
        <v>0.81759999999999999</v>
      </c>
      <c r="D1218" s="2">
        <v>8.4900000000000003E-2</v>
      </c>
      <c r="E1218" s="2">
        <v>4.7300000000000002E-2</v>
      </c>
      <c r="F1218" s="2">
        <v>1.3599999999999999E-2</v>
      </c>
      <c r="G1218" s="2">
        <v>2.0400000000000001E-2</v>
      </c>
      <c r="H1218" s="2">
        <v>1.6199999999999999E-2</v>
      </c>
      <c r="J1218">
        <v>800</v>
      </c>
    </row>
    <row r="1219" spans="1:10" x14ac:dyDescent="0.35">
      <c r="A1219" t="s">
        <v>228</v>
      </c>
      <c r="B1219" t="s">
        <v>228</v>
      </c>
      <c r="C1219" s="2">
        <v>0.75780000000000003</v>
      </c>
      <c r="D1219" s="2">
        <v>8.3699999999999997E-2</v>
      </c>
      <c r="E1219" s="2">
        <v>6.6600000000000006E-2</v>
      </c>
      <c r="F1219" s="2">
        <v>4.1300000000000003E-2</v>
      </c>
      <c r="G1219" s="2">
        <v>3.5999999999999997E-2</v>
      </c>
      <c r="H1219" s="2">
        <v>1.37E-2</v>
      </c>
      <c r="I1219" s="2">
        <v>8.9999999999999998E-4</v>
      </c>
      <c r="J1219">
        <v>1671</v>
      </c>
    </row>
    <row r="1221" spans="1:10" x14ac:dyDescent="0.35">
      <c r="A1221" s="1" t="s">
        <v>572</v>
      </c>
    </row>
    <row r="1222" spans="1:10" x14ac:dyDescent="0.35">
      <c r="A1222" t="s">
        <v>219</v>
      </c>
      <c r="B1222" t="s">
        <v>301</v>
      </c>
      <c r="C1222" t="s">
        <v>566</v>
      </c>
      <c r="D1222" t="s">
        <v>567</v>
      </c>
      <c r="E1222" t="s">
        <v>568</v>
      </c>
      <c r="F1222" t="s">
        <v>569</v>
      </c>
      <c r="G1222" t="s">
        <v>570</v>
      </c>
      <c r="H1222" t="s">
        <v>277</v>
      </c>
      <c r="I1222" t="s">
        <v>282</v>
      </c>
      <c r="J1222" t="s">
        <v>226</v>
      </c>
    </row>
    <row r="1223" spans="1:10" x14ac:dyDescent="0.35">
      <c r="A1223" t="s">
        <v>227</v>
      </c>
      <c r="B1223" t="s">
        <v>235</v>
      </c>
      <c r="C1223" s="2">
        <v>0.74229999999999996</v>
      </c>
      <c r="D1223" s="2">
        <v>9.0899999999999995E-2</v>
      </c>
      <c r="E1223" s="2">
        <v>5.6000000000000001E-2</v>
      </c>
      <c r="F1223" s="2">
        <v>6.0400000000000002E-2</v>
      </c>
      <c r="G1223" s="2">
        <v>3.6600000000000001E-2</v>
      </c>
      <c r="H1223" s="2">
        <v>1.3899999999999999E-2</v>
      </c>
      <c r="J1223">
        <v>605</v>
      </c>
    </row>
    <row r="1224" spans="1:10" x14ac:dyDescent="0.35">
      <c r="A1224" t="s">
        <v>227</v>
      </c>
      <c r="B1224" t="s">
        <v>234</v>
      </c>
      <c r="C1224" s="2">
        <v>0.76539999999999997</v>
      </c>
      <c r="D1224" s="2">
        <v>8.0199999999999994E-2</v>
      </c>
      <c r="E1224" s="2">
        <v>7.1800000000000003E-2</v>
      </c>
      <c r="F1224" s="2">
        <v>3.1899999999999998E-2</v>
      </c>
      <c r="G1224" s="2">
        <v>3.5799999999999998E-2</v>
      </c>
      <c r="H1224" s="2">
        <v>1.3599999999999999E-2</v>
      </c>
      <c r="I1224" s="2">
        <v>1.2999999999999999E-3</v>
      </c>
      <c r="J1224">
        <v>1066</v>
      </c>
    </row>
    <row r="1225" spans="1:10" x14ac:dyDescent="0.35">
      <c r="A1225" t="s">
        <v>228</v>
      </c>
      <c r="B1225" t="s">
        <v>228</v>
      </c>
      <c r="C1225" s="2">
        <v>0.75780000000000003</v>
      </c>
      <c r="D1225" s="2">
        <v>8.3699999999999997E-2</v>
      </c>
      <c r="E1225" s="2">
        <v>6.6600000000000006E-2</v>
      </c>
      <c r="F1225" s="2">
        <v>4.1300000000000003E-2</v>
      </c>
      <c r="G1225" s="2">
        <v>3.5999999999999997E-2</v>
      </c>
      <c r="H1225" s="2">
        <v>1.37E-2</v>
      </c>
      <c r="I1225" s="2">
        <v>8.9999999999999998E-4</v>
      </c>
      <c r="J1225">
        <v>1671</v>
      </c>
    </row>
    <row r="1227" spans="1:10" x14ac:dyDescent="0.35">
      <c r="A1227" s="1" t="s">
        <v>573</v>
      </c>
    </row>
    <row r="1228" spans="1:10" x14ac:dyDescent="0.35">
      <c r="A1228" t="s">
        <v>219</v>
      </c>
      <c r="B1228" t="s">
        <v>301</v>
      </c>
      <c r="C1228" t="s">
        <v>566</v>
      </c>
      <c r="D1228" t="s">
        <v>567</v>
      </c>
      <c r="E1228" t="s">
        <v>568</v>
      </c>
      <c r="F1228" t="s">
        <v>569</v>
      </c>
      <c r="G1228" t="s">
        <v>570</v>
      </c>
      <c r="H1228" t="s">
        <v>277</v>
      </c>
      <c r="I1228" t="s">
        <v>282</v>
      </c>
      <c r="J1228" t="s">
        <v>226</v>
      </c>
    </row>
    <row r="1229" spans="1:10" x14ac:dyDescent="0.35">
      <c r="A1229" t="s">
        <v>227</v>
      </c>
      <c r="B1229" t="s">
        <v>240</v>
      </c>
      <c r="C1229" s="2">
        <v>0.77410000000000001</v>
      </c>
      <c r="D1229" s="2">
        <v>6.8500000000000005E-2</v>
      </c>
      <c r="E1229" s="2">
        <v>6.59E-2</v>
      </c>
      <c r="F1229" s="2">
        <v>4.19E-2</v>
      </c>
      <c r="G1229" s="2">
        <v>3.7400000000000003E-2</v>
      </c>
      <c r="H1229" s="2">
        <v>1.2200000000000001E-2</v>
      </c>
      <c r="J1229">
        <v>1080</v>
      </c>
    </row>
    <row r="1230" spans="1:10" x14ac:dyDescent="0.35">
      <c r="A1230" t="s">
        <v>227</v>
      </c>
      <c r="B1230" t="s">
        <v>241</v>
      </c>
      <c r="C1230" s="2">
        <v>0.74329999999999996</v>
      </c>
      <c r="D1230" s="2">
        <v>0.1172</v>
      </c>
      <c r="E1230" s="2">
        <v>5.0799999999999998E-2</v>
      </c>
      <c r="F1230" s="2">
        <v>3.4000000000000002E-2</v>
      </c>
      <c r="G1230" s="2">
        <v>3.09E-2</v>
      </c>
      <c r="H1230" s="2">
        <v>2.0299999999999999E-2</v>
      </c>
      <c r="I1230" s="2">
        <v>3.5000000000000001E-3</v>
      </c>
      <c r="J1230">
        <v>480</v>
      </c>
    </row>
    <row r="1231" spans="1:10" x14ac:dyDescent="0.35">
      <c r="A1231" t="s">
        <v>227</v>
      </c>
      <c r="B1231" t="s">
        <v>242</v>
      </c>
      <c r="C1231" s="2">
        <v>0.66310000000000002</v>
      </c>
      <c r="D1231" s="2">
        <v>0.1082</v>
      </c>
      <c r="E1231" s="2">
        <v>0.1236</v>
      </c>
      <c r="F1231" s="2">
        <v>5.9200000000000003E-2</v>
      </c>
      <c r="G1231" s="2">
        <v>4.1000000000000002E-2</v>
      </c>
      <c r="H1231" s="2">
        <v>4.8999999999999998E-3</v>
      </c>
      <c r="J1231">
        <v>111</v>
      </c>
    </row>
    <row r="1232" spans="1:10" x14ac:dyDescent="0.35">
      <c r="A1232" t="s">
        <v>228</v>
      </c>
      <c r="B1232" t="s">
        <v>228</v>
      </c>
      <c r="C1232" s="2">
        <v>0.75780000000000003</v>
      </c>
      <c r="D1232" s="2">
        <v>8.3699999999999997E-2</v>
      </c>
      <c r="E1232" s="2">
        <v>6.6600000000000006E-2</v>
      </c>
      <c r="F1232" s="2">
        <v>4.1300000000000003E-2</v>
      </c>
      <c r="G1232" s="2">
        <v>3.5999999999999997E-2</v>
      </c>
      <c r="H1232" s="2">
        <v>1.37E-2</v>
      </c>
      <c r="I1232" s="2">
        <v>8.9999999999999998E-4</v>
      </c>
      <c r="J1232">
        <v>1671</v>
      </c>
    </row>
    <row r="1234" spans="1:10" x14ac:dyDescent="0.35">
      <c r="A1234" s="1" t="s">
        <v>574</v>
      </c>
    </row>
    <row r="1235" spans="1:10" x14ac:dyDescent="0.35">
      <c r="A1235" t="s">
        <v>219</v>
      </c>
      <c r="B1235" t="s">
        <v>301</v>
      </c>
      <c r="C1235" t="s">
        <v>566</v>
      </c>
      <c r="D1235" t="s">
        <v>567</v>
      </c>
      <c r="E1235" t="s">
        <v>568</v>
      </c>
      <c r="F1235" t="s">
        <v>569</v>
      </c>
      <c r="G1235" t="s">
        <v>570</v>
      </c>
      <c r="H1235" t="s">
        <v>277</v>
      </c>
      <c r="I1235" t="s">
        <v>282</v>
      </c>
      <c r="J1235" t="s">
        <v>226</v>
      </c>
    </row>
    <row r="1236" spans="1:10" x14ac:dyDescent="0.35">
      <c r="A1236" t="s">
        <v>227</v>
      </c>
      <c r="B1236" t="s">
        <v>334</v>
      </c>
      <c r="C1236" s="2">
        <v>0.64780000000000004</v>
      </c>
      <c r="D1236" s="2">
        <v>0.11360000000000001</v>
      </c>
      <c r="E1236" s="2">
        <v>8.5199999999999998E-2</v>
      </c>
      <c r="F1236" s="2">
        <v>7.3099999999999998E-2</v>
      </c>
      <c r="G1236" s="2">
        <v>4.58E-2</v>
      </c>
      <c r="H1236" s="2">
        <v>3.1E-2</v>
      </c>
      <c r="I1236" s="2">
        <v>3.5000000000000001E-3</v>
      </c>
      <c r="J1236">
        <v>452</v>
      </c>
    </row>
    <row r="1237" spans="1:10" x14ac:dyDescent="0.35">
      <c r="A1237" t="s">
        <v>227</v>
      </c>
      <c r="B1237" t="s">
        <v>335</v>
      </c>
      <c r="C1237" s="2">
        <v>0.80489999999999995</v>
      </c>
      <c r="D1237" s="2">
        <v>7.1300000000000002E-2</v>
      </c>
      <c r="E1237" s="2">
        <v>5.74E-2</v>
      </c>
      <c r="F1237" s="2">
        <v>1.8700000000000001E-2</v>
      </c>
      <c r="G1237" s="2">
        <v>4.7699999999999999E-2</v>
      </c>
      <c r="J1237">
        <v>278</v>
      </c>
    </row>
    <row r="1238" spans="1:10" x14ac:dyDescent="0.35">
      <c r="A1238" t="s">
        <v>227</v>
      </c>
      <c r="B1238" t="s">
        <v>336</v>
      </c>
      <c r="C1238" s="2">
        <v>0.80169999999999997</v>
      </c>
      <c r="D1238" s="2">
        <v>6.3899999999999998E-2</v>
      </c>
      <c r="E1238" s="2">
        <v>7.4800000000000005E-2</v>
      </c>
      <c r="F1238" s="2">
        <v>2.3099999999999999E-2</v>
      </c>
      <c r="G1238" s="2">
        <v>2.41E-2</v>
      </c>
      <c r="H1238" s="2">
        <v>1.24E-2</v>
      </c>
      <c r="J1238">
        <v>437</v>
      </c>
    </row>
    <row r="1239" spans="1:10" x14ac:dyDescent="0.35">
      <c r="A1239" t="s">
        <v>227</v>
      </c>
      <c r="B1239" t="s">
        <v>337</v>
      </c>
      <c r="C1239" s="2">
        <v>0.76729999999999998</v>
      </c>
      <c r="D1239" s="2">
        <v>8.6699999999999999E-2</v>
      </c>
      <c r="E1239" s="2">
        <v>4.87E-2</v>
      </c>
      <c r="F1239" s="2">
        <v>5.8799999999999998E-2</v>
      </c>
      <c r="G1239" s="2">
        <v>3.5400000000000001E-2</v>
      </c>
      <c r="H1239" s="2">
        <v>3.0999999999999999E-3</v>
      </c>
      <c r="J1239">
        <v>356</v>
      </c>
    </row>
    <row r="1240" spans="1:10" x14ac:dyDescent="0.35">
      <c r="A1240" t="s">
        <v>228</v>
      </c>
      <c r="B1240" t="s">
        <v>228</v>
      </c>
      <c r="C1240" s="2">
        <v>0.75780000000000003</v>
      </c>
      <c r="D1240" s="2">
        <v>8.3699999999999997E-2</v>
      </c>
      <c r="E1240" s="2">
        <v>6.6600000000000006E-2</v>
      </c>
      <c r="F1240" s="2">
        <v>4.1300000000000003E-2</v>
      </c>
      <c r="G1240" s="2">
        <v>3.5999999999999997E-2</v>
      </c>
      <c r="H1240" s="2">
        <v>1.37E-2</v>
      </c>
      <c r="I1240" s="2">
        <v>8.9999999999999998E-4</v>
      </c>
      <c r="J1240">
        <v>1523</v>
      </c>
    </row>
    <row r="1242" spans="1:10" x14ac:dyDescent="0.35">
      <c r="A1242" s="1" t="s">
        <v>575</v>
      </c>
    </row>
    <row r="1243" spans="1:10" x14ac:dyDescent="0.35">
      <c r="A1243" t="s">
        <v>219</v>
      </c>
      <c r="B1243" t="s">
        <v>301</v>
      </c>
      <c r="C1243" t="s">
        <v>566</v>
      </c>
      <c r="D1243" t="s">
        <v>567</v>
      </c>
      <c r="E1243" t="s">
        <v>568</v>
      </c>
      <c r="F1243" t="s">
        <v>569</v>
      </c>
      <c r="G1243" t="s">
        <v>570</v>
      </c>
      <c r="H1243" t="s">
        <v>277</v>
      </c>
      <c r="I1243" t="s">
        <v>282</v>
      </c>
      <c r="J1243" t="s">
        <v>226</v>
      </c>
    </row>
    <row r="1244" spans="1:10" x14ac:dyDescent="0.35">
      <c r="A1244" t="s">
        <v>227</v>
      </c>
      <c r="B1244" t="s">
        <v>263</v>
      </c>
      <c r="C1244" s="2">
        <v>0.77649999999999997</v>
      </c>
      <c r="D1244" s="2">
        <v>9.2899999999999996E-2</v>
      </c>
      <c r="E1244" s="2">
        <v>5.21E-2</v>
      </c>
      <c r="F1244" s="2">
        <v>2.1600000000000001E-2</v>
      </c>
      <c r="G1244" s="2">
        <v>5.0099999999999999E-2</v>
      </c>
      <c r="H1244" s="2">
        <v>6.7000000000000002E-3</v>
      </c>
      <c r="J1244">
        <v>299</v>
      </c>
    </row>
    <row r="1245" spans="1:10" x14ac:dyDescent="0.35">
      <c r="A1245" t="s">
        <v>227</v>
      </c>
      <c r="B1245" t="s">
        <v>262</v>
      </c>
      <c r="C1245" s="2">
        <v>0.73719999999999997</v>
      </c>
      <c r="D1245" s="2">
        <v>9.2399999999999996E-2</v>
      </c>
      <c r="E1245" s="2">
        <v>6.3399999999999998E-2</v>
      </c>
      <c r="F1245" s="2">
        <v>4.4200000000000003E-2</v>
      </c>
      <c r="G1245" s="2">
        <v>4.65E-2</v>
      </c>
      <c r="H1245" s="2">
        <v>1.4E-2</v>
      </c>
      <c r="I1245" s="2">
        <v>2.3999999999999998E-3</v>
      </c>
      <c r="J1245">
        <v>681</v>
      </c>
    </row>
    <row r="1246" spans="1:10" x14ac:dyDescent="0.35">
      <c r="A1246" t="s">
        <v>227</v>
      </c>
      <c r="B1246" t="s">
        <v>261</v>
      </c>
      <c r="C1246" s="2">
        <v>0.76790000000000003</v>
      </c>
      <c r="D1246" s="2">
        <v>7.17E-2</v>
      </c>
      <c r="E1246" s="2">
        <v>7.4800000000000005E-2</v>
      </c>
      <c r="F1246" s="2">
        <v>4.65E-2</v>
      </c>
      <c r="G1246" s="2">
        <v>2.3E-2</v>
      </c>
      <c r="H1246" s="2">
        <v>1.61E-2</v>
      </c>
      <c r="J1246">
        <v>689</v>
      </c>
    </row>
    <row r="1247" spans="1:10" x14ac:dyDescent="0.35">
      <c r="A1247" s="3" t="s">
        <v>227</v>
      </c>
      <c r="B1247" s="3" t="s">
        <v>232</v>
      </c>
      <c r="C1247" s="4">
        <v>0.5</v>
      </c>
      <c r="D1247" s="4">
        <v>0.5</v>
      </c>
      <c r="E1247" s="5"/>
      <c r="F1247" s="5"/>
      <c r="G1247" s="5"/>
      <c r="H1247" s="5"/>
      <c r="I1247" s="5"/>
      <c r="J1247" s="5" t="s">
        <v>434</v>
      </c>
    </row>
    <row r="1248" spans="1:10" x14ac:dyDescent="0.35">
      <c r="A1248" t="s">
        <v>228</v>
      </c>
      <c r="B1248" t="s">
        <v>228</v>
      </c>
      <c r="C1248" s="2">
        <v>0.75780000000000003</v>
      </c>
      <c r="D1248" s="2">
        <v>8.3699999999999997E-2</v>
      </c>
      <c r="E1248" s="2">
        <v>6.6600000000000006E-2</v>
      </c>
      <c r="F1248" s="2">
        <v>4.1300000000000003E-2</v>
      </c>
      <c r="G1248" s="2">
        <v>3.5999999999999997E-2</v>
      </c>
      <c r="H1248" s="2">
        <v>1.37E-2</v>
      </c>
      <c r="I1248" s="2">
        <v>8.9999999999999998E-4</v>
      </c>
      <c r="J1248">
        <v>1671</v>
      </c>
    </row>
    <row r="1250" spans="1:10" x14ac:dyDescent="0.35">
      <c r="A1250" s="1" t="s">
        <v>576</v>
      </c>
    </row>
    <row r="1251" spans="1:10" x14ac:dyDescent="0.35">
      <c r="A1251" t="s">
        <v>219</v>
      </c>
      <c r="B1251" t="s">
        <v>301</v>
      </c>
      <c r="C1251" t="s">
        <v>566</v>
      </c>
      <c r="D1251" t="s">
        <v>567</v>
      </c>
      <c r="E1251" t="s">
        <v>568</v>
      </c>
      <c r="F1251" t="s">
        <v>569</v>
      </c>
      <c r="G1251" t="s">
        <v>570</v>
      </c>
      <c r="H1251" t="s">
        <v>277</v>
      </c>
      <c r="I1251" t="s">
        <v>282</v>
      </c>
      <c r="J1251" t="s">
        <v>226</v>
      </c>
    </row>
    <row r="1252" spans="1:10" x14ac:dyDescent="0.35">
      <c r="A1252" t="s">
        <v>227</v>
      </c>
      <c r="B1252" t="s">
        <v>248</v>
      </c>
      <c r="C1252" s="2">
        <v>0.79349999999999998</v>
      </c>
      <c r="D1252" s="2">
        <v>7.6100000000000001E-2</v>
      </c>
      <c r="E1252" s="2">
        <v>4.9500000000000002E-2</v>
      </c>
      <c r="F1252" s="2">
        <v>2.8299999999999999E-2</v>
      </c>
      <c r="G1252" s="2">
        <v>3.2399999999999998E-2</v>
      </c>
      <c r="H1252" s="2">
        <v>1.7899999999999999E-2</v>
      </c>
      <c r="I1252" s="2">
        <v>2.3999999999999998E-3</v>
      </c>
      <c r="J1252">
        <v>645</v>
      </c>
    </row>
    <row r="1253" spans="1:10" x14ac:dyDescent="0.35">
      <c r="A1253" t="s">
        <v>227</v>
      </c>
      <c r="B1253" t="s">
        <v>249</v>
      </c>
      <c r="C1253" s="2">
        <v>0.74099999999999999</v>
      </c>
      <c r="D1253" s="2">
        <v>8.4400000000000003E-2</v>
      </c>
      <c r="E1253" s="2">
        <v>6.5699999999999995E-2</v>
      </c>
      <c r="F1253" s="2">
        <v>6.5799999999999997E-2</v>
      </c>
      <c r="G1253" s="2">
        <v>3.9899999999999998E-2</v>
      </c>
      <c r="H1253" s="2">
        <v>3.2000000000000002E-3</v>
      </c>
      <c r="J1253">
        <v>450</v>
      </c>
    </row>
    <row r="1254" spans="1:10" x14ac:dyDescent="0.35">
      <c r="A1254" t="s">
        <v>227</v>
      </c>
      <c r="B1254" t="s">
        <v>247</v>
      </c>
      <c r="C1254" s="2">
        <v>0.73470000000000002</v>
      </c>
      <c r="D1254" s="2">
        <v>9.0800000000000006E-2</v>
      </c>
      <c r="E1254" s="2">
        <v>8.4400000000000003E-2</v>
      </c>
      <c r="F1254" s="2">
        <v>3.5999999999999997E-2</v>
      </c>
      <c r="G1254" s="2">
        <v>3.6799999999999999E-2</v>
      </c>
      <c r="H1254" s="2">
        <v>1.72E-2</v>
      </c>
      <c r="J1254">
        <v>576</v>
      </c>
    </row>
    <row r="1255" spans="1:10" x14ac:dyDescent="0.35">
      <c r="A1255" t="s">
        <v>228</v>
      </c>
      <c r="B1255" t="s">
        <v>228</v>
      </c>
      <c r="C1255" s="2">
        <v>0.75780000000000003</v>
      </c>
      <c r="D1255" s="2">
        <v>8.3699999999999997E-2</v>
      </c>
      <c r="E1255" s="2">
        <v>6.6600000000000006E-2</v>
      </c>
      <c r="F1255" s="2">
        <v>4.1300000000000003E-2</v>
      </c>
      <c r="G1255" s="2">
        <v>3.5999999999999997E-2</v>
      </c>
      <c r="H1255" s="2">
        <v>1.37E-2</v>
      </c>
      <c r="I1255" s="2">
        <v>8.9999999999999998E-4</v>
      </c>
      <c r="J1255">
        <v>1671</v>
      </c>
    </row>
    <row r="1257" spans="1:10" x14ac:dyDescent="0.35">
      <c r="A1257" s="1" t="s">
        <v>577</v>
      </c>
    </row>
    <row r="1258" spans="1:10" x14ac:dyDescent="0.35">
      <c r="A1258" t="s">
        <v>219</v>
      </c>
      <c r="B1258" t="s">
        <v>301</v>
      </c>
      <c r="C1258" t="s">
        <v>566</v>
      </c>
      <c r="D1258" t="s">
        <v>567</v>
      </c>
      <c r="E1258" t="s">
        <v>568</v>
      </c>
      <c r="F1258" t="s">
        <v>569</v>
      </c>
      <c r="G1258" t="s">
        <v>570</v>
      </c>
      <c r="H1258" t="s">
        <v>277</v>
      </c>
      <c r="I1258" t="s">
        <v>282</v>
      </c>
      <c r="J1258" t="s">
        <v>226</v>
      </c>
    </row>
    <row r="1259" spans="1:10" x14ac:dyDescent="0.35">
      <c r="A1259" t="s">
        <v>227</v>
      </c>
      <c r="B1259" t="s">
        <v>245</v>
      </c>
      <c r="C1259" s="2">
        <v>0.74180000000000001</v>
      </c>
      <c r="D1259" s="2">
        <v>8.3000000000000004E-2</v>
      </c>
      <c r="E1259" s="2">
        <v>9.2600000000000002E-2</v>
      </c>
      <c r="F1259" s="2">
        <v>3.3099999999999997E-2</v>
      </c>
      <c r="G1259" s="2">
        <v>3.2199999999999999E-2</v>
      </c>
      <c r="H1259" s="2">
        <v>1.7299999999999999E-2</v>
      </c>
      <c r="J1259">
        <v>373</v>
      </c>
    </row>
    <row r="1260" spans="1:10" x14ac:dyDescent="0.35">
      <c r="A1260" t="s">
        <v>227</v>
      </c>
      <c r="B1260" t="s">
        <v>244</v>
      </c>
      <c r="C1260" s="2">
        <v>0.76300000000000001</v>
      </c>
      <c r="D1260" s="2">
        <v>8.3900000000000002E-2</v>
      </c>
      <c r="E1260" s="2">
        <v>5.8299999999999998E-2</v>
      </c>
      <c r="F1260" s="2">
        <v>4.3900000000000002E-2</v>
      </c>
      <c r="G1260" s="2">
        <v>3.73E-2</v>
      </c>
      <c r="H1260" s="2">
        <v>1.2500000000000001E-2</v>
      </c>
      <c r="I1260" s="2">
        <v>1.1000000000000001E-3</v>
      </c>
      <c r="J1260">
        <v>1298</v>
      </c>
    </row>
    <row r="1261" spans="1:10" x14ac:dyDescent="0.35">
      <c r="A1261" t="s">
        <v>228</v>
      </c>
      <c r="B1261" t="s">
        <v>228</v>
      </c>
      <c r="C1261" s="2">
        <v>0.75780000000000003</v>
      </c>
      <c r="D1261" s="2">
        <v>8.3699999999999997E-2</v>
      </c>
      <c r="E1261" s="2">
        <v>6.6600000000000006E-2</v>
      </c>
      <c r="F1261" s="2">
        <v>4.1300000000000003E-2</v>
      </c>
      <c r="G1261" s="2">
        <v>3.5999999999999997E-2</v>
      </c>
      <c r="H1261" s="2">
        <v>1.37E-2</v>
      </c>
      <c r="I1261" s="2">
        <v>8.9999999999999998E-4</v>
      </c>
      <c r="J1261">
        <v>1671</v>
      </c>
    </row>
    <row r="1263" spans="1:10" x14ac:dyDescent="0.35">
      <c r="A1263" s="1" t="s">
        <v>578</v>
      </c>
    </row>
    <row r="1264" spans="1:10" x14ac:dyDescent="0.35">
      <c r="A1264" t="s">
        <v>219</v>
      </c>
      <c r="B1264" t="s">
        <v>301</v>
      </c>
      <c r="C1264" t="s">
        <v>566</v>
      </c>
      <c r="D1264" t="s">
        <v>567</v>
      </c>
      <c r="E1264" t="s">
        <v>568</v>
      </c>
      <c r="F1264" t="s">
        <v>569</v>
      </c>
      <c r="G1264" t="s">
        <v>570</v>
      </c>
      <c r="H1264" t="s">
        <v>277</v>
      </c>
      <c r="I1264" t="s">
        <v>282</v>
      </c>
      <c r="J1264" t="s">
        <v>226</v>
      </c>
    </row>
    <row r="1265" spans="1:10" x14ac:dyDescent="0.35">
      <c r="A1265" t="s">
        <v>227</v>
      </c>
      <c r="B1265" t="s">
        <v>259</v>
      </c>
      <c r="C1265" s="2">
        <v>0.84609999999999996</v>
      </c>
      <c r="D1265" s="2">
        <v>6.3200000000000006E-2</v>
      </c>
      <c r="E1265" s="2">
        <v>8.77E-2</v>
      </c>
      <c r="F1265" s="2">
        <v>2.8999999999999998E-3</v>
      </c>
      <c r="J1265">
        <v>46</v>
      </c>
    </row>
    <row r="1266" spans="1:10" x14ac:dyDescent="0.35">
      <c r="A1266" t="s">
        <v>227</v>
      </c>
      <c r="B1266" t="s">
        <v>257</v>
      </c>
      <c r="C1266" s="2">
        <v>0.72560000000000002</v>
      </c>
      <c r="D1266" s="2">
        <v>7.9500000000000001E-2</v>
      </c>
      <c r="E1266" s="2">
        <v>0.1018</v>
      </c>
      <c r="F1266" s="2">
        <v>4.5199999999999997E-2</v>
      </c>
      <c r="G1266" s="2">
        <v>4.2599999999999999E-2</v>
      </c>
      <c r="H1266" s="2">
        <v>5.4000000000000003E-3</v>
      </c>
      <c r="J1266">
        <v>271</v>
      </c>
    </row>
    <row r="1267" spans="1:10" x14ac:dyDescent="0.35">
      <c r="A1267" t="s">
        <v>227</v>
      </c>
      <c r="B1267" t="s">
        <v>256</v>
      </c>
      <c r="C1267" s="2">
        <v>0.76859999999999995</v>
      </c>
      <c r="D1267" s="2">
        <v>7.6899999999999996E-2</v>
      </c>
      <c r="E1267" s="2">
        <v>6.1499999999999999E-2</v>
      </c>
      <c r="F1267" s="2">
        <v>4.19E-2</v>
      </c>
      <c r="G1267" s="2">
        <v>3.27E-2</v>
      </c>
      <c r="H1267" s="2">
        <v>1.84E-2</v>
      </c>
      <c r="J1267">
        <v>1036</v>
      </c>
    </row>
    <row r="1268" spans="1:10" x14ac:dyDescent="0.35">
      <c r="A1268" s="3" t="s">
        <v>227</v>
      </c>
      <c r="B1268" s="3" t="s">
        <v>232</v>
      </c>
      <c r="C1268" s="4">
        <v>0.36409999999999998</v>
      </c>
      <c r="D1268" s="5"/>
      <c r="E1268" s="4">
        <v>0.1353</v>
      </c>
      <c r="F1268" s="5"/>
      <c r="G1268" s="4">
        <v>6.7299999999999999E-2</v>
      </c>
      <c r="H1268" s="5"/>
      <c r="I1268" s="4">
        <v>0.43319999999999997</v>
      </c>
      <c r="J1268" s="5" t="s">
        <v>326</v>
      </c>
    </row>
    <row r="1269" spans="1:10" x14ac:dyDescent="0.35">
      <c r="A1269" t="s">
        <v>227</v>
      </c>
      <c r="B1269" t="s">
        <v>258</v>
      </c>
      <c r="C1269" s="2">
        <v>0.74860000000000004</v>
      </c>
      <c r="D1269" s="2">
        <v>0.1242</v>
      </c>
      <c r="E1269" s="2">
        <v>3.9E-2</v>
      </c>
      <c r="F1269" s="2">
        <v>3.78E-2</v>
      </c>
      <c r="G1269" s="2">
        <v>4.5600000000000002E-2</v>
      </c>
      <c r="H1269" s="2">
        <v>4.7999999999999996E-3</v>
      </c>
      <c r="J1269">
        <v>310</v>
      </c>
    </row>
    <row r="1270" spans="1:10" x14ac:dyDescent="0.35">
      <c r="A1270" t="s">
        <v>228</v>
      </c>
      <c r="B1270" t="s">
        <v>228</v>
      </c>
      <c r="C1270" s="2">
        <v>0.75780000000000003</v>
      </c>
      <c r="D1270" s="2">
        <v>8.3699999999999997E-2</v>
      </c>
      <c r="E1270" s="2">
        <v>6.6600000000000006E-2</v>
      </c>
      <c r="F1270" s="2">
        <v>4.1300000000000003E-2</v>
      </c>
      <c r="G1270" s="2">
        <v>3.5999999999999997E-2</v>
      </c>
      <c r="H1270" s="2">
        <v>1.37E-2</v>
      </c>
      <c r="I1270" s="2">
        <v>8.9999999999999998E-4</v>
      </c>
      <c r="J1270">
        <v>1671</v>
      </c>
    </row>
    <row r="1272" spans="1:10" x14ac:dyDescent="0.35">
      <c r="A1272" s="1" t="s">
        <v>579</v>
      </c>
    </row>
    <row r="1273" spans="1:10" x14ac:dyDescent="0.35">
      <c r="A1273" t="s">
        <v>219</v>
      </c>
      <c r="B1273" t="s">
        <v>301</v>
      </c>
      <c r="C1273" t="s">
        <v>566</v>
      </c>
      <c r="D1273" t="s">
        <v>567</v>
      </c>
      <c r="E1273" t="s">
        <v>568</v>
      </c>
      <c r="F1273" t="s">
        <v>569</v>
      </c>
      <c r="G1273" t="s">
        <v>570</v>
      </c>
      <c r="H1273" t="s">
        <v>277</v>
      </c>
      <c r="I1273" t="s">
        <v>282</v>
      </c>
      <c r="J1273" t="s">
        <v>226</v>
      </c>
    </row>
    <row r="1274" spans="1:10" x14ac:dyDescent="0.35">
      <c r="A1274" t="s">
        <v>227</v>
      </c>
      <c r="B1274" t="s">
        <v>343</v>
      </c>
      <c r="C1274" s="2">
        <v>0.72560000000000002</v>
      </c>
      <c r="D1274" s="2">
        <v>7.9500000000000001E-2</v>
      </c>
      <c r="E1274" s="2">
        <v>0.1018</v>
      </c>
      <c r="F1274" s="2">
        <v>4.5199999999999997E-2</v>
      </c>
      <c r="G1274" s="2">
        <v>4.2599999999999999E-2</v>
      </c>
      <c r="H1274" s="2">
        <v>5.4000000000000003E-3</v>
      </c>
      <c r="J1274">
        <v>271</v>
      </c>
    </row>
    <row r="1275" spans="1:10" x14ac:dyDescent="0.35">
      <c r="A1275" t="s">
        <v>227</v>
      </c>
      <c r="B1275" t="s">
        <v>344</v>
      </c>
      <c r="C1275" s="2">
        <v>0.76549999999999996</v>
      </c>
      <c r="D1275" s="2">
        <v>8.4699999999999998E-2</v>
      </c>
      <c r="E1275" s="2">
        <v>5.8200000000000002E-2</v>
      </c>
      <c r="F1275" s="2">
        <v>4.0300000000000002E-2</v>
      </c>
      <c r="G1275" s="2">
        <v>3.4500000000000003E-2</v>
      </c>
      <c r="H1275" s="2">
        <v>1.5699999999999999E-2</v>
      </c>
      <c r="I1275" s="2">
        <v>1.1000000000000001E-3</v>
      </c>
      <c r="J1275">
        <v>1400</v>
      </c>
    </row>
    <row r="1276" spans="1:10" x14ac:dyDescent="0.35">
      <c r="A1276" t="s">
        <v>228</v>
      </c>
      <c r="B1276" t="s">
        <v>228</v>
      </c>
      <c r="C1276" s="2">
        <v>0.75780000000000003</v>
      </c>
      <c r="D1276" s="2">
        <v>8.3699999999999997E-2</v>
      </c>
      <c r="E1276" s="2">
        <v>6.6600000000000006E-2</v>
      </c>
      <c r="F1276" s="2">
        <v>4.1300000000000003E-2</v>
      </c>
      <c r="G1276" s="2">
        <v>3.5999999999999997E-2</v>
      </c>
      <c r="H1276" s="2">
        <v>1.37E-2</v>
      </c>
      <c r="I1276" s="2">
        <v>8.9999999999999998E-4</v>
      </c>
      <c r="J1276">
        <v>1671</v>
      </c>
    </row>
    <row r="1278" spans="1:10" x14ac:dyDescent="0.35">
      <c r="A1278" s="1" t="s">
        <v>580</v>
      </c>
    </row>
    <row r="1279" spans="1:10" x14ac:dyDescent="0.35">
      <c r="A1279" t="s">
        <v>219</v>
      </c>
      <c r="B1279" t="s">
        <v>301</v>
      </c>
      <c r="C1279" t="s">
        <v>566</v>
      </c>
      <c r="D1279" t="s">
        <v>567</v>
      </c>
      <c r="E1279" t="s">
        <v>568</v>
      </c>
      <c r="F1279" t="s">
        <v>569</v>
      </c>
      <c r="G1279" t="s">
        <v>570</v>
      </c>
      <c r="H1279" t="s">
        <v>277</v>
      </c>
      <c r="I1279" t="s">
        <v>282</v>
      </c>
      <c r="J1279" t="s">
        <v>226</v>
      </c>
    </row>
    <row r="1280" spans="1:10" x14ac:dyDescent="0.35">
      <c r="A1280" t="s">
        <v>227</v>
      </c>
      <c r="B1280" t="s">
        <v>346</v>
      </c>
      <c r="C1280" s="2">
        <v>0.75470000000000004</v>
      </c>
      <c r="D1280" s="2">
        <v>8.3599999999999994E-2</v>
      </c>
      <c r="E1280" s="2">
        <v>6.6600000000000006E-2</v>
      </c>
      <c r="F1280" s="2">
        <v>4.3200000000000002E-2</v>
      </c>
      <c r="G1280" s="2">
        <v>3.61E-2</v>
      </c>
      <c r="H1280" s="2">
        <v>1.4800000000000001E-2</v>
      </c>
      <c r="I1280" s="2">
        <v>1E-3</v>
      </c>
      <c r="J1280">
        <v>838</v>
      </c>
    </row>
    <row r="1281" spans="1:20" x14ac:dyDescent="0.35">
      <c r="A1281" t="s">
        <v>227</v>
      </c>
      <c r="B1281" t="s">
        <v>347</v>
      </c>
      <c r="C1281" s="2">
        <v>0.75080000000000002</v>
      </c>
      <c r="D1281" s="2">
        <v>0.10150000000000001</v>
      </c>
      <c r="E1281" s="2">
        <v>6.9699999999999998E-2</v>
      </c>
      <c r="F1281" s="2">
        <v>7.7999999999999996E-3</v>
      </c>
      <c r="G1281" s="2">
        <v>6.9099999999999995E-2</v>
      </c>
      <c r="H1281" s="2">
        <v>1.1000000000000001E-3</v>
      </c>
      <c r="J1281">
        <v>371</v>
      </c>
    </row>
    <row r="1282" spans="1:20" x14ac:dyDescent="0.35">
      <c r="A1282" t="s">
        <v>227</v>
      </c>
      <c r="B1282" t="s">
        <v>348</v>
      </c>
      <c r="C1282" s="2">
        <v>0.78959999999999997</v>
      </c>
      <c r="D1282" s="2">
        <v>7.7200000000000005E-2</v>
      </c>
      <c r="E1282" s="2">
        <v>6.5799999999999997E-2</v>
      </c>
      <c r="F1282" s="2">
        <v>3.6900000000000002E-2</v>
      </c>
      <c r="G1282" s="2">
        <v>2.1899999999999999E-2</v>
      </c>
      <c r="H1282" s="2">
        <v>8.6999999999999994E-3</v>
      </c>
      <c r="J1282">
        <v>462</v>
      </c>
    </row>
    <row r="1283" spans="1:20" x14ac:dyDescent="0.35">
      <c r="A1283" t="s">
        <v>228</v>
      </c>
      <c r="B1283" t="s">
        <v>228</v>
      </c>
      <c r="C1283" s="2">
        <v>0.75780000000000003</v>
      </c>
      <c r="D1283" s="2">
        <v>8.3699999999999997E-2</v>
      </c>
      <c r="E1283" s="2">
        <v>6.6600000000000006E-2</v>
      </c>
      <c r="F1283" s="2">
        <v>4.1300000000000003E-2</v>
      </c>
      <c r="G1283" s="2">
        <v>3.5999999999999997E-2</v>
      </c>
      <c r="H1283" s="2">
        <v>1.37E-2</v>
      </c>
      <c r="I1283" s="2">
        <v>8.9999999999999998E-4</v>
      </c>
      <c r="J1283">
        <v>1671</v>
      </c>
    </row>
    <row r="1285" spans="1:20" x14ac:dyDescent="0.35">
      <c r="A1285" s="1" t="s">
        <v>581</v>
      </c>
    </row>
    <row r="1286" spans="1:20" x14ac:dyDescent="0.35">
      <c r="A1286" t="s">
        <v>219</v>
      </c>
      <c r="B1286" t="s">
        <v>301</v>
      </c>
      <c r="C1286" t="s">
        <v>566</v>
      </c>
      <c r="D1286" t="s">
        <v>567</v>
      </c>
      <c r="E1286" t="s">
        <v>568</v>
      </c>
      <c r="F1286" t="s">
        <v>569</v>
      </c>
      <c r="G1286" t="s">
        <v>570</v>
      </c>
      <c r="H1286" t="s">
        <v>277</v>
      </c>
      <c r="I1286" t="s">
        <v>282</v>
      </c>
      <c r="J1286" t="s">
        <v>226</v>
      </c>
    </row>
    <row r="1287" spans="1:20" x14ac:dyDescent="0.35">
      <c r="A1287" t="s">
        <v>227</v>
      </c>
      <c r="B1287" t="s">
        <v>251</v>
      </c>
      <c r="C1287" s="2">
        <v>0.76300000000000001</v>
      </c>
      <c r="D1287" s="2">
        <v>8.3900000000000002E-2</v>
      </c>
      <c r="E1287" s="2">
        <v>5.8299999999999998E-2</v>
      </c>
      <c r="F1287" s="2">
        <v>4.3900000000000002E-2</v>
      </c>
      <c r="G1287" s="2">
        <v>3.73E-2</v>
      </c>
      <c r="H1287" s="2">
        <v>1.2500000000000001E-2</v>
      </c>
      <c r="I1287" s="2">
        <v>1.1000000000000001E-3</v>
      </c>
      <c r="J1287">
        <v>1298</v>
      </c>
    </row>
    <row r="1288" spans="1:20" x14ac:dyDescent="0.35">
      <c r="A1288" t="s">
        <v>227</v>
      </c>
      <c r="B1288" t="s">
        <v>252</v>
      </c>
      <c r="C1288" s="2">
        <v>0.72929999999999995</v>
      </c>
      <c r="D1288" s="2">
        <v>9.2200000000000004E-2</v>
      </c>
      <c r="E1288" s="2">
        <v>9.0700000000000003E-2</v>
      </c>
      <c r="F1288" s="2">
        <v>3.6799999999999999E-2</v>
      </c>
      <c r="G1288" s="2">
        <v>3.1600000000000003E-2</v>
      </c>
      <c r="H1288" s="2">
        <v>1.9400000000000001E-2</v>
      </c>
      <c r="J1288">
        <v>329</v>
      </c>
    </row>
    <row r="1289" spans="1:20" x14ac:dyDescent="0.35">
      <c r="A1289" t="s">
        <v>227</v>
      </c>
      <c r="B1289" t="s">
        <v>253</v>
      </c>
      <c r="C1289" s="2">
        <v>0.83579999999999999</v>
      </c>
      <c r="D1289" s="2">
        <v>8.6E-3</v>
      </c>
      <c r="E1289" s="2">
        <v>0.1129</v>
      </c>
      <c r="F1289" s="2">
        <v>3.0999999999999999E-3</v>
      </c>
      <c r="G1289" s="2">
        <v>3.95E-2</v>
      </c>
      <c r="J1289">
        <v>42</v>
      </c>
    </row>
    <row r="1290" spans="1:20" x14ac:dyDescent="0.35">
      <c r="A1290" s="3" t="s">
        <v>227</v>
      </c>
      <c r="B1290" s="3" t="s">
        <v>254</v>
      </c>
      <c r="C1290" s="4">
        <v>1</v>
      </c>
      <c r="D1290" s="5"/>
      <c r="E1290" s="5"/>
      <c r="F1290" s="5"/>
      <c r="G1290" s="5"/>
      <c r="H1290" s="5"/>
      <c r="I1290" s="5"/>
      <c r="J1290" s="5" t="s">
        <v>434</v>
      </c>
    </row>
    <row r="1291" spans="1:20" x14ac:dyDescent="0.35">
      <c r="A1291" t="s">
        <v>228</v>
      </c>
      <c r="B1291" t="s">
        <v>228</v>
      </c>
      <c r="C1291" s="2">
        <v>0.75780000000000003</v>
      </c>
      <c r="D1291" s="2">
        <v>8.3699999999999997E-2</v>
      </c>
      <c r="E1291" s="2">
        <v>6.6600000000000006E-2</v>
      </c>
      <c r="F1291" s="2">
        <v>4.1300000000000003E-2</v>
      </c>
      <c r="G1291" s="2">
        <v>3.5999999999999997E-2</v>
      </c>
      <c r="H1291" s="2">
        <v>1.37E-2</v>
      </c>
      <c r="I1291" s="2">
        <v>8.9999999999999998E-4</v>
      </c>
      <c r="J1291">
        <v>1671</v>
      </c>
    </row>
    <row r="1293" spans="1:20" x14ac:dyDescent="0.35">
      <c r="A1293" s="1" t="s">
        <v>582</v>
      </c>
    </row>
    <row r="1294" spans="1:20" x14ac:dyDescent="0.35">
      <c r="A1294" t="s">
        <v>219</v>
      </c>
      <c r="B1294" t="s">
        <v>312</v>
      </c>
      <c r="C1294" t="s">
        <v>583</v>
      </c>
      <c r="D1294" t="s">
        <v>584</v>
      </c>
      <c r="E1294" t="s">
        <v>585</v>
      </c>
      <c r="F1294" t="s">
        <v>586</v>
      </c>
      <c r="G1294" t="s">
        <v>587</v>
      </c>
      <c r="H1294" t="s">
        <v>588</v>
      </c>
      <c r="I1294" t="s">
        <v>589</v>
      </c>
      <c r="J1294" t="s">
        <v>590</v>
      </c>
      <c r="K1294" t="s">
        <v>591</v>
      </c>
      <c r="L1294" t="s">
        <v>592</v>
      </c>
      <c r="M1294" t="s">
        <v>593</v>
      </c>
      <c r="N1294" t="s">
        <v>594</v>
      </c>
      <c r="O1294" t="s">
        <v>595</v>
      </c>
      <c r="P1294" t="s">
        <v>596</v>
      </c>
      <c r="Q1294" t="s">
        <v>597</v>
      </c>
      <c r="R1294" t="s">
        <v>277</v>
      </c>
      <c r="S1294" t="s">
        <v>282</v>
      </c>
      <c r="T1294" t="s">
        <v>226</v>
      </c>
    </row>
    <row r="1295" spans="1:20" x14ac:dyDescent="0.35">
      <c r="A1295" t="s">
        <v>227</v>
      </c>
      <c r="B1295" s="2">
        <v>0.57579999999999998</v>
      </c>
      <c r="C1295" s="2">
        <v>0.21099999999999999</v>
      </c>
      <c r="D1295" s="2">
        <v>0.13300000000000001</v>
      </c>
      <c r="E1295" s="2">
        <v>7.0599999999999996E-2</v>
      </c>
      <c r="F1295" s="2">
        <v>6.08E-2</v>
      </c>
      <c r="G1295" s="2">
        <v>5.74E-2</v>
      </c>
      <c r="H1295" s="2">
        <v>3.9300000000000002E-2</v>
      </c>
      <c r="I1295" s="2">
        <v>2.07E-2</v>
      </c>
      <c r="J1295" s="2">
        <v>1.9199999999999998E-2</v>
      </c>
      <c r="K1295" s="2">
        <v>1.37E-2</v>
      </c>
      <c r="L1295" s="2">
        <v>1.23E-2</v>
      </c>
      <c r="M1295" s="2">
        <v>1.2E-2</v>
      </c>
      <c r="N1295" s="2">
        <v>1.17E-2</v>
      </c>
      <c r="O1295" s="2">
        <v>1.12E-2</v>
      </c>
      <c r="P1295" s="2">
        <v>1.01E-2</v>
      </c>
      <c r="Q1295" s="2">
        <v>2.8999999999999998E-3</v>
      </c>
      <c r="R1295" s="2">
        <v>1.8E-3</v>
      </c>
      <c r="S1295" s="2">
        <v>2.9999999999999997E-4</v>
      </c>
      <c r="T1295">
        <v>2083</v>
      </c>
    </row>
    <row r="1296" spans="1:20" x14ac:dyDescent="0.35">
      <c r="A1296" t="s">
        <v>228</v>
      </c>
      <c r="B1296" s="2">
        <v>0.57579999999999998</v>
      </c>
      <c r="C1296" s="2">
        <v>0.21099999999999999</v>
      </c>
      <c r="D1296" s="2">
        <v>0.13300000000000001</v>
      </c>
      <c r="E1296" s="2">
        <v>7.0599999999999996E-2</v>
      </c>
      <c r="F1296" s="2">
        <v>6.08E-2</v>
      </c>
      <c r="G1296" s="2">
        <v>5.74E-2</v>
      </c>
      <c r="H1296" s="2">
        <v>3.9300000000000002E-2</v>
      </c>
      <c r="I1296" s="2">
        <v>2.07E-2</v>
      </c>
      <c r="J1296" s="2">
        <v>1.9199999999999998E-2</v>
      </c>
      <c r="K1296" s="2">
        <v>1.37E-2</v>
      </c>
      <c r="L1296" s="2">
        <v>1.23E-2</v>
      </c>
      <c r="M1296" s="2">
        <v>1.2E-2</v>
      </c>
      <c r="N1296" s="2">
        <v>1.17E-2</v>
      </c>
      <c r="O1296" s="2">
        <v>1.12E-2</v>
      </c>
      <c r="P1296" s="2">
        <v>1.01E-2</v>
      </c>
      <c r="Q1296" s="2">
        <v>2.8999999999999998E-3</v>
      </c>
      <c r="R1296" s="2">
        <v>1.8E-3</v>
      </c>
      <c r="S1296" s="2">
        <v>2.9999999999999997E-4</v>
      </c>
      <c r="T1296">
        <v>2083</v>
      </c>
    </row>
    <row r="1298" spans="1:21" x14ac:dyDescent="0.35">
      <c r="A1298" s="1" t="s">
        <v>598</v>
      </c>
    </row>
    <row r="1299" spans="1:21" x14ac:dyDescent="0.35">
      <c r="A1299" t="s">
        <v>219</v>
      </c>
      <c r="B1299" t="s">
        <v>301</v>
      </c>
      <c r="C1299" t="s">
        <v>312</v>
      </c>
      <c r="D1299" t="s">
        <v>583</v>
      </c>
      <c r="E1299" t="s">
        <v>584</v>
      </c>
      <c r="F1299" t="s">
        <v>585</v>
      </c>
      <c r="G1299" t="s">
        <v>586</v>
      </c>
      <c r="H1299" t="s">
        <v>587</v>
      </c>
      <c r="I1299" t="s">
        <v>588</v>
      </c>
      <c r="J1299" t="s">
        <v>589</v>
      </c>
      <c r="K1299" t="s">
        <v>590</v>
      </c>
      <c r="L1299" t="s">
        <v>591</v>
      </c>
      <c r="M1299" t="s">
        <v>592</v>
      </c>
      <c r="N1299" t="s">
        <v>593</v>
      </c>
      <c r="O1299" t="s">
        <v>594</v>
      </c>
      <c r="P1299" t="s">
        <v>595</v>
      </c>
      <c r="Q1299" t="s">
        <v>596</v>
      </c>
      <c r="R1299" t="s">
        <v>597</v>
      </c>
      <c r="S1299" t="s">
        <v>277</v>
      </c>
      <c r="T1299" t="s">
        <v>282</v>
      </c>
      <c r="U1299" t="s">
        <v>226</v>
      </c>
    </row>
    <row r="1300" spans="1:21" x14ac:dyDescent="0.35">
      <c r="A1300" t="s">
        <v>227</v>
      </c>
      <c r="B1300" t="s">
        <v>238</v>
      </c>
      <c r="C1300" s="2">
        <v>0.46500000000000002</v>
      </c>
      <c r="D1300" s="2">
        <v>0.32750000000000001</v>
      </c>
      <c r="E1300" s="2">
        <v>0.17910000000000001</v>
      </c>
      <c r="F1300" s="2">
        <v>8.3099999999999993E-2</v>
      </c>
      <c r="G1300" s="2">
        <v>8.8099999999999998E-2</v>
      </c>
      <c r="H1300" s="2">
        <v>4.9700000000000001E-2</v>
      </c>
      <c r="I1300" s="2">
        <v>4.8000000000000001E-2</v>
      </c>
      <c r="J1300" s="2">
        <v>2.9600000000000001E-2</v>
      </c>
      <c r="K1300" s="2">
        <v>2.52E-2</v>
      </c>
      <c r="L1300" s="2">
        <v>1.21E-2</v>
      </c>
      <c r="M1300" s="2">
        <v>1.7899999999999999E-2</v>
      </c>
      <c r="N1300" s="2">
        <v>7.3000000000000001E-3</v>
      </c>
      <c r="O1300" s="2">
        <v>1.44E-2</v>
      </c>
      <c r="P1300" s="2">
        <v>2.0799999999999999E-2</v>
      </c>
      <c r="Q1300" s="2">
        <v>1.06E-2</v>
      </c>
      <c r="R1300" s="2">
        <v>5.1000000000000004E-3</v>
      </c>
      <c r="U1300">
        <v>927</v>
      </c>
    </row>
    <row r="1301" spans="1:21" x14ac:dyDescent="0.35">
      <c r="A1301" t="s">
        <v>227</v>
      </c>
      <c r="B1301" t="s">
        <v>237</v>
      </c>
      <c r="C1301" s="2">
        <v>0.66339999999999999</v>
      </c>
      <c r="D1301" s="2">
        <v>0.11890000000000001</v>
      </c>
      <c r="E1301" s="2">
        <v>9.6600000000000005E-2</v>
      </c>
      <c r="F1301" s="2">
        <v>6.08E-2</v>
      </c>
      <c r="G1301" s="2">
        <v>3.9300000000000002E-2</v>
      </c>
      <c r="H1301" s="2">
        <v>6.3500000000000001E-2</v>
      </c>
      <c r="I1301" s="2">
        <v>3.2399999999999998E-2</v>
      </c>
      <c r="J1301" s="2">
        <v>1.37E-2</v>
      </c>
      <c r="K1301" s="2">
        <v>1.4500000000000001E-2</v>
      </c>
      <c r="L1301" s="2">
        <v>1.49E-2</v>
      </c>
      <c r="M1301" s="2">
        <v>7.7999999999999996E-3</v>
      </c>
      <c r="N1301" s="2">
        <v>1.5800000000000002E-2</v>
      </c>
      <c r="O1301" s="2">
        <v>9.5999999999999992E-3</v>
      </c>
      <c r="P1301" s="2">
        <v>3.5999999999999999E-3</v>
      </c>
      <c r="Q1301" s="2">
        <v>9.7000000000000003E-3</v>
      </c>
      <c r="R1301" s="2">
        <v>1.1000000000000001E-3</v>
      </c>
      <c r="S1301" s="2">
        <v>3.2000000000000002E-3</v>
      </c>
      <c r="T1301" s="2">
        <v>4.0000000000000002E-4</v>
      </c>
      <c r="U1301">
        <v>1156</v>
      </c>
    </row>
    <row r="1302" spans="1:21" x14ac:dyDescent="0.35">
      <c r="A1302" t="s">
        <v>228</v>
      </c>
      <c r="B1302" t="s">
        <v>228</v>
      </c>
      <c r="C1302" s="2">
        <v>0.57579999999999998</v>
      </c>
      <c r="D1302" s="2">
        <v>0.21099999999999999</v>
      </c>
      <c r="E1302" s="2">
        <v>0.13300000000000001</v>
      </c>
      <c r="F1302" s="2">
        <v>7.0599999999999996E-2</v>
      </c>
      <c r="G1302" s="2">
        <v>6.08E-2</v>
      </c>
      <c r="H1302" s="2">
        <v>5.74E-2</v>
      </c>
      <c r="I1302" s="2">
        <v>3.9300000000000002E-2</v>
      </c>
      <c r="J1302" s="2">
        <v>2.07E-2</v>
      </c>
      <c r="K1302" s="2">
        <v>1.9199999999999998E-2</v>
      </c>
      <c r="L1302" s="2">
        <v>1.37E-2</v>
      </c>
      <c r="M1302" s="2">
        <v>1.23E-2</v>
      </c>
      <c r="N1302" s="2">
        <v>1.2E-2</v>
      </c>
      <c r="O1302" s="2">
        <v>1.17E-2</v>
      </c>
      <c r="P1302" s="2">
        <v>1.12E-2</v>
      </c>
      <c r="Q1302" s="2">
        <v>1.01E-2</v>
      </c>
      <c r="R1302" s="2">
        <v>2.8999999999999998E-3</v>
      </c>
      <c r="S1302" s="2">
        <v>1.8E-3</v>
      </c>
      <c r="T1302" s="2">
        <v>2.9999999999999997E-4</v>
      </c>
      <c r="U1302">
        <v>2083</v>
      </c>
    </row>
    <row r="1304" spans="1:21" x14ac:dyDescent="0.35">
      <c r="A1304" s="1" t="s">
        <v>599</v>
      </c>
    </row>
    <row r="1305" spans="1:21" x14ac:dyDescent="0.35">
      <c r="A1305" t="s">
        <v>219</v>
      </c>
      <c r="B1305" t="s">
        <v>301</v>
      </c>
      <c r="C1305" t="s">
        <v>312</v>
      </c>
      <c r="D1305" t="s">
        <v>583</v>
      </c>
      <c r="E1305" t="s">
        <v>584</v>
      </c>
      <c r="F1305" t="s">
        <v>585</v>
      </c>
      <c r="G1305" t="s">
        <v>586</v>
      </c>
      <c r="H1305" t="s">
        <v>587</v>
      </c>
      <c r="I1305" t="s">
        <v>588</v>
      </c>
      <c r="J1305" t="s">
        <v>589</v>
      </c>
      <c r="K1305" t="s">
        <v>590</v>
      </c>
      <c r="L1305" t="s">
        <v>591</v>
      </c>
      <c r="M1305" t="s">
        <v>592</v>
      </c>
      <c r="N1305" t="s">
        <v>593</v>
      </c>
      <c r="O1305" t="s">
        <v>594</v>
      </c>
      <c r="P1305" t="s">
        <v>595</v>
      </c>
      <c r="Q1305" t="s">
        <v>596</v>
      </c>
      <c r="R1305" t="s">
        <v>597</v>
      </c>
      <c r="S1305" t="s">
        <v>277</v>
      </c>
      <c r="T1305" t="s">
        <v>282</v>
      </c>
      <c r="U1305" t="s">
        <v>226</v>
      </c>
    </row>
    <row r="1306" spans="1:21" x14ac:dyDescent="0.35">
      <c r="A1306" t="s">
        <v>227</v>
      </c>
      <c r="B1306" t="s">
        <v>235</v>
      </c>
      <c r="C1306" s="2">
        <v>0.53600000000000003</v>
      </c>
      <c r="D1306" s="2">
        <v>0.22239999999999999</v>
      </c>
      <c r="E1306" s="2">
        <v>0.1459</v>
      </c>
      <c r="F1306" s="2">
        <v>8.0299999999999996E-2</v>
      </c>
      <c r="G1306" s="2">
        <v>0.11650000000000001</v>
      </c>
      <c r="H1306" s="2">
        <v>4.99E-2</v>
      </c>
      <c r="I1306" s="2">
        <v>3.6200000000000003E-2</v>
      </c>
      <c r="J1306" s="2">
        <v>2.8199999999999999E-2</v>
      </c>
      <c r="K1306" s="2">
        <v>2.0199999999999999E-2</v>
      </c>
      <c r="L1306" s="2">
        <v>1.5299999999999999E-2</v>
      </c>
      <c r="M1306" s="2">
        <v>4.1000000000000003E-3</v>
      </c>
      <c r="N1306" s="2">
        <v>6.7999999999999996E-3</v>
      </c>
      <c r="O1306" s="2">
        <v>8.8999999999999999E-3</v>
      </c>
      <c r="P1306" s="2">
        <v>9.9000000000000008E-3</v>
      </c>
      <c r="Q1306" s="2">
        <v>1.9900000000000001E-2</v>
      </c>
      <c r="R1306" s="2">
        <v>2.0000000000000001E-4</v>
      </c>
      <c r="S1306" s="2">
        <v>2.9999999999999997E-4</v>
      </c>
      <c r="T1306" s="2">
        <v>8.0000000000000004E-4</v>
      </c>
      <c r="U1306">
        <v>748</v>
      </c>
    </row>
    <row r="1307" spans="1:21" x14ac:dyDescent="0.35">
      <c r="A1307" t="s">
        <v>227</v>
      </c>
      <c r="B1307" t="s">
        <v>234</v>
      </c>
      <c r="C1307" s="2">
        <v>0.59430000000000005</v>
      </c>
      <c r="D1307" s="2">
        <v>0.20569999999999999</v>
      </c>
      <c r="E1307" s="2">
        <v>0.127</v>
      </c>
      <c r="F1307" s="2">
        <v>6.6199999999999995E-2</v>
      </c>
      <c r="G1307" s="2">
        <v>3.5000000000000003E-2</v>
      </c>
      <c r="H1307" s="2">
        <v>6.0900000000000003E-2</v>
      </c>
      <c r="I1307" s="2">
        <v>4.07E-2</v>
      </c>
      <c r="J1307" s="2">
        <v>1.72E-2</v>
      </c>
      <c r="K1307" s="2">
        <v>1.8800000000000001E-2</v>
      </c>
      <c r="L1307" s="2">
        <v>1.29E-2</v>
      </c>
      <c r="M1307" s="2">
        <v>1.6E-2</v>
      </c>
      <c r="N1307" s="2">
        <v>1.4500000000000001E-2</v>
      </c>
      <c r="O1307" s="2">
        <v>1.2999999999999999E-2</v>
      </c>
      <c r="P1307" s="2">
        <v>1.18E-2</v>
      </c>
      <c r="Q1307" s="2">
        <v>5.4999999999999997E-3</v>
      </c>
      <c r="R1307" s="2">
        <v>4.1000000000000003E-3</v>
      </c>
      <c r="S1307" s="2">
        <v>2.3999999999999998E-3</v>
      </c>
      <c r="U1307">
        <v>1335</v>
      </c>
    </row>
    <row r="1308" spans="1:21" x14ac:dyDescent="0.35">
      <c r="A1308" t="s">
        <v>228</v>
      </c>
      <c r="B1308" t="s">
        <v>228</v>
      </c>
      <c r="C1308" s="2">
        <v>0.57579999999999998</v>
      </c>
      <c r="D1308" s="2">
        <v>0.21099999999999999</v>
      </c>
      <c r="E1308" s="2">
        <v>0.13300000000000001</v>
      </c>
      <c r="F1308" s="2">
        <v>7.0599999999999996E-2</v>
      </c>
      <c r="G1308" s="2">
        <v>6.08E-2</v>
      </c>
      <c r="H1308" s="2">
        <v>5.74E-2</v>
      </c>
      <c r="I1308" s="2">
        <v>3.9300000000000002E-2</v>
      </c>
      <c r="J1308" s="2">
        <v>2.07E-2</v>
      </c>
      <c r="K1308" s="2">
        <v>1.9199999999999998E-2</v>
      </c>
      <c r="L1308" s="2">
        <v>1.37E-2</v>
      </c>
      <c r="M1308" s="2">
        <v>1.23E-2</v>
      </c>
      <c r="N1308" s="2">
        <v>1.2E-2</v>
      </c>
      <c r="O1308" s="2">
        <v>1.17E-2</v>
      </c>
      <c r="P1308" s="2">
        <v>1.12E-2</v>
      </c>
      <c r="Q1308" s="2">
        <v>1.01E-2</v>
      </c>
      <c r="R1308" s="2">
        <v>2.8999999999999998E-3</v>
      </c>
      <c r="S1308" s="2">
        <v>1.8E-3</v>
      </c>
      <c r="T1308" s="2">
        <v>2.9999999999999997E-4</v>
      </c>
      <c r="U1308">
        <v>2083</v>
      </c>
    </row>
    <row r="1310" spans="1:21" x14ac:dyDescent="0.35">
      <c r="A1310" s="1" t="s">
        <v>600</v>
      </c>
    </row>
    <row r="1311" spans="1:21" x14ac:dyDescent="0.35">
      <c r="A1311" t="s">
        <v>219</v>
      </c>
      <c r="B1311" t="s">
        <v>301</v>
      </c>
      <c r="C1311" t="s">
        <v>312</v>
      </c>
      <c r="D1311" t="s">
        <v>583</v>
      </c>
      <c r="E1311" t="s">
        <v>584</v>
      </c>
      <c r="F1311" t="s">
        <v>585</v>
      </c>
      <c r="G1311" t="s">
        <v>586</v>
      </c>
      <c r="H1311" t="s">
        <v>587</v>
      </c>
      <c r="I1311" t="s">
        <v>588</v>
      </c>
      <c r="J1311" t="s">
        <v>589</v>
      </c>
      <c r="K1311" t="s">
        <v>590</v>
      </c>
      <c r="L1311" t="s">
        <v>591</v>
      </c>
      <c r="M1311" t="s">
        <v>592</v>
      </c>
      <c r="N1311" t="s">
        <v>593</v>
      </c>
      <c r="O1311" t="s">
        <v>594</v>
      </c>
      <c r="P1311" t="s">
        <v>595</v>
      </c>
      <c r="Q1311" t="s">
        <v>596</v>
      </c>
      <c r="R1311" t="s">
        <v>597</v>
      </c>
      <c r="S1311" t="s">
        <v>277</v>
      </c>
      <c r="T1311" t="s">
        <v>282</v>
      </c>
      <c r="U1311" t="s">
        <v>226</v>
      </c>
    </row>
    <row r="1312" spans="1:21" x14ac:dyDescent="0.35">
      <c r="A1312" t="s">
        <v>227</v>
      </c>
      <c r="B1312" t="s">
        <v>240</v>
      </c>
      <c r="C1312" s="2">
        <v>0.58779999999999999</v>
      </c>
      <c r="D1312" s="2">
        <v>0.1915</v>
      </c>
      <c r="E1312" s="2">
        <v>0.1176</v>
      </c>
      <c r="F1312" s="2">
        <v>7.3499999999999996E-2</v>
      </c>
      <c r="G1312" s="2">
        <v>5.5500000000000001E-2</v>
      </c>
      <c r="H1312" s="2">
        <v>6.2199999999999998E-2</v>
      </c>
      <c r="I1312" s="2">
        <v>4.2500000000000003E-2</v>
      </c>
      <c r="J1312" s="2">
        <v>2.3699999999999999E-2</v>
      </c>
      <c r="K1312" s="2">
        <v>1.9699999999999999E-2</v>
      </c>
      <c r="L1312" s="2">
        <v>1.46E-2</v>
      </c>
      <c r="M1312" s="2">
        <v>1.21E-2</v>
      </c>
      <c r="N1312" s="2">
        <v>1.14E-2</v>
      </c>
      <c r="O1312" s="2">
        <v>1.17E-2</v>
      </c>
      <c r="P1312" s="2">
        <v>1.1599999999999999E-2</v>
      </c>
      <c r="Q1312" s="2">
        <v>8.6999999999999994E-3</v>
      </c>
      <c r="R1312" s="2">
        <v>3.2000000000000002E-3</v>
      </c>
      <c r="S1312" s="2">
        <v>2.9999999999999997E-4</v>
      </c>
      <c r="T1312" s="2">
        <v>4.0000000000000002E-4</v>
      </c>
      <c r="U1312">
        <v>1377</v>
      </c>
    </row>
    <row r="1313" spans="1:21" x14ac:dyDescent="0.35">
      <c r="A1313" t="s">
        <v>227</v>
      </c>
      <c r="B1313" t="s">
        <v>241</v>
      </c>
      <c r="C1313" s="2">
        <v>0.54520000000000002</v>
      </c>
      <c r="D1313" s="2">
        <v>0.2364</v>
      </c>
      <c r="E1313" s="2">
        <v>0.14990000000000001</v>
      </c>
      <c r="F1313" s="2">
        <v>5.79E-2</v>
      </c>
      <c r="G1313" s="2">
        <v>6.8900000000000003E-2</v>
      </c>
      <c r="H1313" s="2">
        <v>4.4699999999999997E-2</v>
      </c>
      <c r="I1313" s="2">
        <v>3.6799999999999999E-2</v>
      </c>
      <c r="K1313" s="2">
        <v>1.9800000000000002E-2</v>
      </c>
      <c r="L1313" s="2">
        <v>1.55E-2</v>
      </c>
      <c r="M1313" s="2">
        <v>1.5699999999999999E-2</v>
      </c>
      <c r="N1313" s="2">
        <v>1.38E-2</v>
      </c>
      <c r="O1313" s="2">
        <v>1.03E-2</v>
      </c>
      <c r="P1313" s="2">
        <v>0.01</v>
      </c>
      <c r="Q1313" s="2">
        <v>1.26E-2</v>
      </c>
      <c r="R1313" s="2">
        <v>2.5000000000000001E-3</v>
      </c>
      <c r="S1313" s="2">
        <v>6.1999999999999998E-3</v>
      </c>
      <c r="U1313">
        <v>559</v>
      </c>
    </row>
    <row r="1314" spans="1:21" x14ac:dyDescent="0.35">
      <c r="A1314" t="s">
        <v>227</v>
      </c>
      <c r="B1314" t="s">
        <v>242</v>
      </c>
      <c r="C1314" s="2">
        <v>0.5706</v>
      </c>
      <c r="D1314" s="2">
        <v>0.29849999999999999</v>
      </c>
      <c r="E1314" s="2">
        <v>0.21179999999999999</v>
      </c>
      <c r="F1314" s="2">
        <v>8.6999999999999994E-2</v>
      </c>
      <c r="G1314" s="2">
        <v>8.0600000000000005E-2</v>
      </c>
      <c r="H1314" s="2">
        <v>5.7099999999999998E-2</v>
      </c>
      <c r="I1314" s="2">
        <v>1.9699999999999999E-2</v>
      </c>
      <c r="J1314" s="2">
        <v>6.1100000000000002E-2</v>
      </c>
      <c r="K1314" s="2">
        <v>1.35E-2</v>
      </c>
      <c r="M1314" s="2">
        <v>2.7000000000000001E-3</v>
      </c>
      <c r="N1314" s="2">
        <v>1.21E-2</v>
      </c>
      <c r="O1314" s="2">
        <v>1.6E-2</v>
      </c>
      <c r="P1314" s="2">
        <v>1.09E-2</v>
      </c>
      <c r="Q1314" s="2">
        <v>1.37E-2</v>
      </c>
      <c r="R1314" s="2">
        <v>1.1999999999999999E-3</v>
      </c>
      <c r="U1314">
        <v>147</v>
      </c>
    </row>
    <row r="1315" spans="1:21" x14ac:dyDescent="0.35">
      <c r="A1315" t="s">
        <v>228</v>
      </c>
      <c r="B1315" t="s">
        <v>228</v>
      </c>
      <c r="C1315" s="2">
        <v>0.57579999999999998</v>
      </c>
      <c r="D1315" s="2">
        <v>0.21099999999999999</v>
      </c>
      <c r="E1315" s="2">
        <v>0.13300000000000001</v>
      </c>
      <c r="F1315" s="2">
        <v>7.0599999999999996E-2</v>
      </c>
      <c r="G1315" s="2">
        <v>6.08E-2</v>
      </c>
      <c r="H1315" s="2">
        <v>5.74E-2</v>
      </c>
      <c r="I1315" s="2">
        <v>3.9300000000000002E-2</v>
      </c>
      <c r="J1315" s="2">
        <v>2.07E-2</v>
      </c>
      <c r="K1315" s="2">
        <v>1.9199999999999998E-2</v>
      </c>
      <c r="L1315" s="2">
        <v>1.37E-2</v>
      </c>
      <c r="M1315" s="2">
        <v>1.23E-2</v>
      </c>
      <c r="N1315" s="2">
        <v>1.2E-2</v>
      </c>
      <c r="O1315" s="2">
        <v>1.17E-2</v>
      </c>
      <c r="P1315" s="2">
        <v>1.12E-2</v>
      </c>
      <c r="Q1315" s="2">
        <v>1.01E-2</v>
      </c>
      <c r="R1315" s="2">
        <v>2.8999999999999998E-3</v>
      </c>
      <c r="S1315" s="2">
        <v>1.8E-3</v>
      </c>
      <c r="T1315" s="2">
        <v>2.9999999999999997E-4</v>
      </c>
      <c r="U1315">
        <v>2083</v>
      </c>
    </row>
    <row r="1317" spans="1:21" x14ac:dyDescent="0.35">
      <c r="A1317" s="1" t="s">
        <v>601</v>
      </c>
    </row>
    <row r="1318" spans="1:21" x14ac:dyDescent="0.35">
      <c r="A1318" t="s">
        <v>219</v>
      </c>
      <c r="B1318" t="s">
        <v>301</v>
      </c>
      <c r="C1318" t="s">
        <v>312</v>
      </c>
      <c r="D1318" t="s">
        <v>583</v>
      </c>
      <c r="E1318" t="s">
        <v>584</v>
      </c>
      <c r="F1318" t="s">
        <v>585</v>
      </c>
      <c r="G1318" t="s">
        <v>586</v>
      </c>
      <c r="H1318" t="s">
        <v>587</v>
      </c>
      <c r="I1318" t="s">
        <v>588</v>
      </c>
      <c r="J1318" t="s">
        <v>589</v>
      </c>
      <c r="K1318" t="s">
        <v>590</v>
      </c>
      <c r="L1318" t="s">
        <v>591</v>
      </c>
      <c r="M1318" t="s">
        <v>592</v>
      </c>
      <c r="N1318" t="s">
        <v>593</v>
      </c>
      <c r="O1318" t="s">
        <v>594</v>
      </c>
      <c r="P1318" t="s">
        <v>595</v>
      </c>
      <c r="Q1318" t="s">
        <v>596</v>
      </c>
      <c r="R1318" t="s">
        <v>597</v>
      </c>
      <c r="S1318" t="s">
        <v>277</v>
      </c>
      <c r="T1318" t="s">
        <v>282</v>
      </c>
      <c r="U1318" t="s">
        <v>226</v>
      </c>
    </row>
    <row r="1319" spans="1:21" x14ac:dyDescent="0.35">
      <c r="A1319" t="s">
        <v>227</v>
      </c>
      <c r="B1319" t="s">
        <v>334</v>
      </c>
      <c r="C1319" s="2">
        <v>0.47610000000000002</v>
      </c>
      <c r="D1319" s="2">
        <v>0.32819999999999999</v>
      </c>
      <c r="E1319" s="2">
        <v>0.19089999999999999</v>
      </c>
      <c r="F1319" s="2">
        <v>7.6600000000000001E-2</v>
      </c>
      <c r="G1319" s="2">
        <v>0.111</v>
      </c>
      <c r="H1319" s="2">
        <v>5.04E-2</v>
      </c>
      <c r="I1319" s="2">
        <v>3.8100000000000002E-2</v>
      </c>
      <c r="J1319" s="2">
        <v>4.4499999999999998E-2</v>
      </c>
      <c r="K1319" s="2">
        <v>3.5999999999999997E-2</v>
      </c>
      <c r="L1319" s="2">
        <v>8.0000000000000002E-3</v>
      </c>
      <c r="M1319" s="2">
        <v>8.5000000000000006E-3</v>
      </c>
      <c r="N1319" s="2">
        <v>1.46E-2</v>
      </c>
      <c r="O1319" s="2">
        <v>1.6400000000000001E-2</v>
      </c>
      <c r="P1319" s="2">
        <v>1.49E-2</v>
      </c>
      <c r="Q1319" s="2">
        <v>2.3099999999999999E-2</v>
      </c>
      <c r="R1319" s="2">
        <v>5.8999999999999999E-3</v>
      </c>
      <c r="U1319">
        <v>528</v>
      </c>
    </row>
    <row r="1320" spans="1:21" x14ac:dyDescent="0.35">
      <c r="A1320" t="s">
        <v>227</v>
      </c>
      <c r="B1320" t="s">
        <v>335</v>
      </c>
      <c r="C1320" s="2">
        <v>0.61929999999999996</v>
      </c>
      <c r="D1320" s="2">
        <v>0.15160000000000001</v>
      </c>
      <c r="E1320" s="2">
        <v>8.9599999999999999E-2</v>
      </c>
      <c r="F1320" s="2">
        <v>0.10920000000000001</v>
      </c>
      <c r="G1320" s="2">
        <v>2.3199999999999998E-2</v>
      </c>
      <c r="H1320" s="2">
        <v>7.7100000000000002E-2</v>
      </c>
      <c r="I1320" s="2">
        <v>2.76E-2</v>
      </c>
      <c r="J1320" s="2">
        <v>2.64E-2</v>
      </c>
      <c r="K1320" s="2">
        <v>1.83E-2</v>
      </c>
      <c r="L1320" s="2">
        <v>2.06E-2</v>
      </c>
      <c r="M1320" s="2">
        <v>8.8999999999999999E-3</v>
      </c>
      <c r="N1320" s="2">
        <v>1.9599999999999999E-2</v>
      </c>
      <c r="O1320" s="2">
        <v>1.1900000000000001E-2</v>
      </c>
      <c r="P1320" s="2">
        <v>8.0000000000000002E-3</v>
      </c>
      <c r="Q1320" s="2">
        <v>7.9000000000000008E-3</v>
      </c>
      <c r="R1320" s="2">
        <v>1.1999999999999999E-3</v>
      </c>
      <c r="U1320">
        <v>399</v>
      </c>
    </row>
    <row r="1321" spans="1:21" x14ac:dyDescent="0.35">
      <c r="A1321" t="s">
        <v>227</v>
      </c>
      <c r="B1321" t="s">
        <v>336</v>
      </c>
      <c r="C1321" s="2">
        <v>0.60440000000000005</v>
      </c>
      <c r="D1321" s="2">
        <v>0.2152</v>
      </c>
      <c r="E1321" s="2">
        <v>0.15809999999999999</v>
      </c>
      <c r="F1321" s="2">
        <v>4.8399999999999999E-2</v>
      </c>
      <c r="G1321" s="2">
        <v>7.22E-2</v>
      </c>
      <c r="H1321" s="2">
        <v>3.3099999999999997E-2</v>
      </c>
      <c r="I1321" s="2">
        <v>4.58E-2</v>
      </c>
      <c r="J1321" s="2">
        <v>1.18E-2</v>
      </c>
      <c r="K1321" s="2">
        <v>1.38E-2</v>
      </c>
      <c r="L1321" s="2">
        <v>7.4999999999999997E-3</v>
      </c>
      <c r="M1321" s="2">
        <v>5.1000000000000004E-3</v>
      </c>
      <c r="N1321" s="2">
        <v>6.7999999999999996E-3</v>
      </c>
      <c r="O1321" s="2">
        <v>8.6999999999999994E-3</v>
      </c>
      <c r="P1321" s="2">
        <v>6.6E-3</v>
      </c>
      <c r="Q1321" s="2">
        <v>9.4999999999999998E-3</v>
      </c>
      <c r="R1321" s="2">
        <v>5.4999999999999997E-3</v>
      </c>
      <c r="S1321" s="2">
        <v>1.8E-3</v>
      </c>
      <c r="U1321">
        <v>505</v>
      </c>
    </row>
    <row r="1322" spans="1:21" x14ac:dyDescent="0.35">
      <c r="A1322" t="s">
        <v>227</v>
      </c>
      <c r="B1322" t="s">
        <v>337</v>
      </c>
      <c r="C1322" s="2">
        <v>0.56579999999999997</v>
      </c>
      <c r="D1322" s="2">
        <v>0.1857</v>
      </c>
      <c r="E1322" s="2">
        <v>0.114</v>
      </c>
      <c r="F1322" s="2">
        <v>4.7100000000000003E-2</v>
      </c>
      <c r="G1322" s="2">
        <v>5.96E-2</v>
      </c>
      <c r="H1322" s="2">
        <v>6.6100000000000006E-2</v>
      </c>
      <c r="I1322" s="2">
        <v>3.0800000000000001E-2</v>
      </c>
      <c r="J1322" s="2">
        <v>4.0000000000000001E-3</v>
      </c>
      <c r="K1322" s="2">
        <v>7.4999999999999997E-3</v>
      </c>
      <c r="L1322" s="2">
        <v>2.2800000000000001E-2</v>
      </c>
      <c r="M1322" s="2">
        <v>2.46E-2</v>
      </c>
      <c r="N1322" s="2">
        <v>6.8999999999999999E-3</v>
      </c>
      <c r="O1322" s="2">
        <v>1.18E-2</v>
      </c>
      <c r="P1322" s="2">
        <v>1.9199999999999998E-2</v>
      </c>
      <c r="Q1322" s="2">
        <v>2.5000000000000001E-3</v>
      </c>
      <c r="S1322" s="2">
        <v>5.7999999999999996E-3</v>
      </c>
      <c r="U1322">
        <v>448</v>
      </c>
    </row>
    <row r="1323" spans="1:21" x14ac:dyDescent="0.35">
      <c r="A1323" t="s">
        <v>228</v>
      </c>
      <c r="B1323" t="s">
        <v>228</v>
      </c>
      <c r="C1323" s="2">
        <v>0.57579999999999998</v>
      </c>
      <c r="D1323" s="2">
        <v>0.21099999999999999</v>
      </c>
      <c r="E1323" s="2">
        <v>0.13300000000000001</v>
      </c>
      <c r="F1323" s="2">
        <v>7.0599999999999996E-2</v>
      </c>
      <c r="G1323" s="2">
        <v>6.08E-2</v>
      </c>
      <c r="H1323" s="2">
        <v>5.74E-2</v>
      </c>
      <c r="I1323" s="2">
        <v>3.9300000000000002E-2</v>
      </c>
      <c r="J1323" s="2">
        <v>2.07E-2</v>
      </c>
      <c r="K1323" s="2">
        <v>1.9199999999999998E-2</v>
      </c>
      <c r="L1323" s="2">
        <v>1.37E-2</v>
      </c>
      <c r="M1323" s="2">
        <v>1.23E-2</v>
      </c>
      <c r="N1323" s="2">
        <v>1.2E-2</v>
      </c>
      <c r="O1323" s="2">
        <v>1.17E-2</v>
      </c>
      <c r="P1323" s="2">
        <v>1.12E-2</v>
      </c>
      <c r="Q1323" s="2">
        <v>1.01E-2</v>
      </c>
      <c r="R1323" s="2">
        <v>2.8999999999999998E-3</v>
      </c>
      <c r="S1323" s="2">
        <v>1.8E-3</v>
      </c>
      <c r="T1323" s="2">
        <v>2.9999999999999997E-4</v>
      </c>
      <c r="U1323">
        <v>1880</v>
      </c>
    </row>
    <row r="1325" spans="1:21" x14ac:dyDescent="0.35">
      <c r="A1325" s="1" t="s">
        <v>602</v>
      </c>
    </row>
    <row r="1326" spans="1:21" x14ac:dyDescent="0.35">
      <c r="A1326" t="s">
        <v>219</v>
      </c>
      <c r="B1326" t="s">
        <v>301</v>
      </c>
      <c r="C1326" t="s">
        <v>312</v>
      </c>
      <c r="D1326" t="s">
        <v>583</v>
      </c>
      <c r="E1326" t="s">
        <v>584</v>
      </c>
      <c r="F1326" t="s">
        <v>585</v>
      </c>
      <c r="G1326" t="s">
        <v>586</v>
      </c>
      <c r="H1326" t="s">
        <v>587</v>
      </c>
      <c r="I1326" t="s">
        <v>588</v>
      </c>
      <c r="J1326" t="s">
        <v>589</v>
      </c>
      <c r="K1326" t="s">
        <v>590</v>
      </c>
      <c r="L1326" t="s">
        <v>591</v>
      </c>
      <c r="M1326" t="s">
        <v>592</v>
      </c>
      <c r="N1326" t="s">
        <v>593</v>
      </c>
      <c r="O1326" t="s">
        <v>594</v>
      </c>
      <c r="P1326" t="s">
        <v>595</v>
      </c>
      <c r="Q1326" t="s">
        <v>596</v>
      </c>
      <c r="R1326" t="s">
        <v>597</v>
      </c>
      <c r="S1326" t="s">
        <v>277</v>
      </c>
      <c r="T1326" t="s">
        <v>282</v>
      </c>
      <c r="U1326" t="s">
        <v>226</v>
      </c>
    </row>
    <row r="1327" spans="1:21" x14ac:dyDescent="0.35">
      <c r="A1327" t="s">
        <v>227</v>
      </c>
      <c r="B1327" t="s">
        <v>263</v>
      </c>
      <c r="C1327" s="2">
        <v>0.58779999999999999</v>
      </c>
      <c r="D1327" s="2">
        <v>0.2424</v>
      </c>
      <c r="E1327" s="2">
        <v>0.11609999999999999</v>
      </c>
      <c r="F1327" s="2">
        <v>5.4399999999999997E-2</v>
      </c>
      <c r="G1327" s="2">
        <v>3.8300000000000001E-2</v>
      </c>
      <c r="H1327" s="2">
        <v>4.02E-2</v>
      </c>
      <c r="I1327" s="2">
        <v>4.4400000000000002E-2</v>
      </c>
      <c r="J1327" s="2">
        <v>1.6400000000000001E-2</v>
      </c>
      <c r="K1327" s="2">
        <v>1.6400000000000001E-2</v>
      </c>
      <c r="L1327" s="2">
        <v>1.24E-2</v>
      </c>
      <c r="M1327" s="2">
        <v>9.5999999999999992E-3</v>
      </c>
      <c r="N1327" s="2">
        <v>1.54E-2</v>
      </c>
      <c r="O1327" s="2">
        <v>1.4E-2</v>
      </c>
      <c r="P1327" s="2">
        <v>2.3199999999999998E-2</v>
      </c>
      <c r="Q1327" s="2">
        <v>1.32E-2</v>
      </c>
      <c r="R1327" s="2">
        <v>5.1000000000000004E-3</v>
      </c>
      <c r="S1327" s="2">
        <v>1.6999999999999999E-3</v>
      </c>
      <c r="U1327">
        <v>386</v>
      </c>
    </row>
    <row r="1328" spans="1:21" x14ac:dyDescent="0.35">
      <c r="A1328" t="s">
        <v>227</v>
      </c>
      <c r="B1328" t="s">
        <v>262</v>
      </c>
      <c r="C1328" s="2">
        <v>0.5252</v>
      </c>
      <c r="D1328" s="2">
        <v>0.2379</v>
      </c>
      <c r="E1328" s="2">
        <v>0.16320000000000001</v>
      </c>
      <c r="F1328" s="2">
        <v>7.3400000000000007E-2</v>
      </c>
      <c r="G1328" s="2">
        <v>8.2900000000000001E-2</v>
      </c>
      <c r="H1328" s="2">
        <v>5.0099999999999999E-2</v>
      </c>
      <c r="I1328" s="2">
        <v>4.1200000000000001E-2</v>
      </c>
      <c r="J1328" s="2">
        <v>1.14E-2</v>
      </c>
      <c r="K1328" s="2">
        <v>1.29E-2</v>
      </c>
      <c r="L1328" s="2">
        <v>1.4800000000000001E-2</v>
      </c>
      <c r="M1328" s="2">
        <v>1.5699999999999999E-2</v>
      </c>
      <c r="N1328" s="2">
        <v>8.9999999999999993E-3</v>
      </c>
      <c r="O1328" s="2">
        <v>1.55E-2</v>
      </c>
      <c r="P1328" s="2">
        <v>9.7999999999999997E-3</v>
      </c>
      <c r="Q1328" s="2">
        <v>7.4000000000000003E-3</v>
      </c>
      <c r="R1328" s="2">
        <v>2.5000000000000001E-3</v>
      </c>
      <c r="S1328" s="2">
        <v>3.3999999999999998E-3</v>
      </c>
      <c r="U1328">
        <v>834</v>
      </c>
    </row>
    <row r="1329" spans="1:21" x14ac:dyDescent="0.35">
      <c r="A1329" t="s">
        <v>227</v>
      </c>
      <c r="B1329" t="s">
        <v>261</v>
      </c>
      <c r="C1329" s="2">
        <v>0.61099999999999999</v>
      </c>
      <c r="D1329" s="2">
        <v>0.1767</v>
      </c>
      <c r="E1329" s="2">
        <v>0.11459999999999999</v>
      </c>
      <c r="F1329" s="2">
        <v>7.51E-2</v>
      </c>
      <c r="G1329" s="2">
        <v>5.0700000000000002E-2</v>
      </c>
      <c r="H1329" s="2">
        <v>7.0099999999999996E-2</v>
      </c>
      <c r="I1329" s="2">
        <v>3.5999999999999997E-2</v>
      </c>
      <c r="J1329" s="2">
        <v>2.98E-2</v>
      </c>
      <c r="K1329" s="2">
        <v>2.5399999999999999E-2</v>
      </c>
      <c r="L1329" s="2">
        <v>1.34E-2</v>
      </c>
      <c r="M1329" s="2">
        <v>1.06E-2</v>
      </c>
      <c r="N1329" s="2">
        <v>1.3100000000000001E-2</v>
      </c>
      <c r="O1329" s="2">
        <v>7.9000000000000008E-3</v>
      </c>
      <c r="P1329" s="2">
        <v>7.6E-3</v>
      </c>
      <c r="Q1329" s="2">
        <v>9.1000000000000004E-3</v>
      </c>
      <c r="R1329" s="2">
        <v>2.2000000000000001E-3</v>
      </c>
      <c r="S1329" s="2">
        <v>5.0000000000000001E-4</v>
      </c>
      <c r="T1329" s="2">
        <v>5.0000000000000001E-4</v>
      </c>
      <c r="U1329">
        <v>861</v>
      </c>
    </row>
    <row r="1330" spans="1:21" x14ac:dyDescent="0.35">
      <c r="A1330" s="3" t="s">
        <v>227</v>
      </c>
      <c r="B1330" s="3" t="s">
        <v>232</v>
      </c>
      <c r="C1330" s="4">
        <v>0.5</v>
      </c>
      <c r="D1330" s="4">
        <v>0.5</v>
      </c>
      <c r="E1330" s="4">
        <v>0.5</v>
      </c>
      <c r="F1330" s="5"/>
      <c r="G1330" s="4">
        <v>0.5</v>
      </c>
      <c r="H1330" s="5"/>
      <c r="I1330" s="5"/>
      <c r="J1330" s="5"/>
      <c r="K1330" s="5"/>
      <c r="L1330" s="5"/>
      <c r="M1330" s="5"/>
      <c r="N1330" s="5"/>
      <c r="O1330" s="5"/>
      <c r="P1330" s="5"/>
      <c r="Q1330" s="4">
        <v>0.5</v>
      </c>
      <c r="R1330" s="5"/>
      <c r="S1330" s="5"/>
      <c r="T1330" s="5"/>
      <c r="U1330" s="5" t="s">
        <v>434</v>
      </c>
    </row>
    <row r="1331" spans="1:21" x14ac:dyDescent="0.35">
      <c r="A1331" t="s">
        <v>228</v>
      </c>
      <c r="B1331" t="s">
        <v>228</v>
      </c>
      <c r="C1331" s="2">
        <v>0.57579999999999998</v>
      </c>
      <c r="D1331" s="2">
        <v>0.21099999999999999</v>
      </c>
      <c r="E1331" s="2">
        <v>0.13300000000000001</v>
      </c>
      <c r="F1331" s="2">
        <v>7.0599999999999996E-2</v>
      </c>
      <c r="G1331" s="2">
        <v>6.08E-2</v>
      </c>
      <c r="H1331" s="2">
        <v>5.74E-2</v>
      </c>
      <c r="I1331" s="2">
        <v>3.9300000000000002E-2</v>
      </c>
      <c r="J1331" s="2">
        <v>2.07E-2</v>
      </c>
      <c r="K1331" s="2">
        <v>1.9199999999999998E-2</v>
      </c>
      <c r="L1331" s="2">
        <v>1.37E-2</v>
      </c>
      <c r="M1331" s="2">
        <v>1.23E-2</v>
      </c>
      <c r="N1331" s="2">
        <v>1.2E-2</v>
      </c>
      <c r="O1331" s="2">
        <v>1.17E-2</v>
      </c>
      <c r="P1331" s="2">
        <v>1.12E-2</v>
      </c>
      <c r="Q1331" s="2">
        <v>1.01E-2</v>
      </c>
      <c r="R1331" s="2">
        <v>2.8999999999999998E-3</v>
      </c>
      <c r="S1331" s="2">
        <v>1.8E-3</v>
      </c>
      <c r="T1331" s="2">
        <v>2.9999999999999997E-4</v>
      </c>
      <c r="U1331">
        <v>2083</v>
      </c>
    </row>
    <row r="1333" spans="1:21" x14ac:dyDescent="0.35">
      <c r="A1333" s="1" t="s">
        <v>603</v>
      </c>
    </row>
    <row r="1334" spans="1:21" x14ac:dyDescent="0.35">
      <c r="A1334" t="s">
        <v>219</v>
      </c>
      <c r="B1334" t="s">
        <v>301</v>
      </c>
      <c r="C1334" t="s">
        <v>312</v>
      </c>
      <c r="D1334" t="s">
        <v>583</v>
      </c>
      <c r="E1334" t="s">
        <v>584</v>
      </c>
      <c r="F1334" t="s">
        <v>585</v>
      </c>
      <c r="G1334" t="s">
        <v>586</v>
      </c>
      <c r="H1334" t="s">
        <v>587</v>
      </c>
      <c r="I1334" t="s">
        <v>588</v>
      </c>
      <c r="J1334" t="s">
        <v>589</v>
      </c>
      <c r="K1334" t="s">
        <v>590</v>
      </c>
      <c r="L1334" t="s">
        <v>591</v>
      </c>
      <c r="M1334" t="s">
        <v>592</v>
      </c>
      <c r="N1334" t="s">
        <v>593</v>
      </c>
      <c r="O1334" t="s">
        <v>594</v>
      </c>
      <c r="P1334" t="s">
        <v>595</v>
      </c>
      <c r="Q1334" t="s">
        <v>596</v>
      </c>
      <c r="R1334" t="s">
        <v>597</v>
      </c>
      <c r="S1334" t="s">
        <v>277</v>
      </c>
      <c r="T1334" t="s">
        <v>282</v>
      </c>
      <c r="U1334" t="s">
        <v>226</v>
      </c>
    </row>
    <row r="1335" spans="1:21" x14ac:dyDescent="0.35">
      <c r="A1335" t="s">
        <v>227</v>
      </c>
      <c r="B1335" t="s">
        <v>248</v>
      </c>
      <c r="C1335" s="2">
        <v>0.59599999999999997</v>
      </c>
      <c r="D1335" s="2">
        <v>0.22270000000000001</v>
      </c>
      <c r="E1335" s="2">
        <v>0.1132</v>
      </c>
      <c r="F1335" s="2">
        <v>3.9899999999999998E-2</v>
      </c>
      <c r="G1335" s="2">
        <v>6.9800000000000001E-2</v>
      </c>
      <c r="H1335" s="2">
        <v>4.9000000000000002E-2</v>
      </c>
      <c r="I1335" s="2">
        <v>2.2100000000000002E-2</v>
      </c>
      <c r="J1335" s="2">
        <v>2.7000000000000001E-3</v>
      </c>
      <c r="K1335" s="2">
        <v>2.0799999999999999E-2</v>
      </c>
      <c r="L1335" s="2">
        <v>8.8000000000000005E-3</v>
      </c>
      <c r="M1335" s="2">
        <v>1.2699999999999999E-2</v>
      </c>
      <c r="N1335" s="2">
        <v>4.0000000000000001E-3</v>
      </c>
      <c r="O1335" s="2">
        <v>1.03E-2</v>
      </c>
      <c r="P1335" s="2">
        <v>1.4800000000000001E-2</v>
      </c>
      <c r="Q1335" s="2">
        <v>4.3E-3</v>
      </c>
      <c r="R1335" s="2">
        <v>1.1999999999999999E-3</v>
      </c>
      <c r="S1335" s="2">
        <v>4.0000000000000001E-3</v>
      </c>
      <c r="U1335">
        <v>694</v>
      </c>
    </row>
    <row r="1336" spans="1:21" x14ac:dyDescent="0.35">
      <c r="A1336" t="s">
        <v>227</v>
      </c>
      <c r="B1336" t="s">
        <v>249</v>
      </c>
      <c r="C1336" s="2">
        <v>0.55089999999999995</v>
      </c>
      <c r="D1336" s="2">
        <v>0.25669999999999998</v>
      </c>
      <c r="E1336" s="2">
        <v>0.1762</v>
      </c>
      <c r="F1336" s="2">
        <v>4.99E-2</v>
      </c>
      <c r="G1336" s="2">
        <v>7.1400000000000005E-2</v>
      </c>
      <c r="H1336" s="2">
        <v>3.04E-2</v>
      </c>
      <c r="I1336" s="2">
        <v>3.2099999999999997E-2</v>
      </c>
      <c r="J1336" s="2">
        <v>3.9300000000000002E-2</v>
      </c>
      <c r="K1336" s="2">
        <v>2.3400000000000001E-2</v>
      </c>
      <c r="L1336" s="2">
        <v>0.01</v>
      </c>
      <c r="M1336" s="2">
        <v>1.6899999999999998E-2</v>
      </c>
      <c r="N1336" s="2">
        <v>2E-3</v>
      </c>
      <c r="O1336" s="2">
        <v>1.7600000000000001E-2</v>
      </c>
      <c r="P1336" s="2">
        <v>8.9999999999999993E-3</v>
      </c>
      <c r="Q1336" s="2">
        <v>1.89E-2</v>
      </c>
      <c r="R1336" s="2">
        <v>3.8999999999999998E-3</v>
      </c>
      <c r="U1336">
        <v>489</v>
      </c>
    </row>
    <row r="1337" spans="1:21" x14ac:dyDescent="0.35">
      <c r="A1337" t="s">
        <v>227</v>
      </c>
      <c r="B1337" t="s">
        <v>247</v>
      </c>
      <c r="C1337" s="2">
        <v>0.5746</v>
      </c>
      <c r="D1337" s="2">
        <v>0.1799</v>
      </c>
      <c r="E1337" s="2">
        <v>0.1246</v>
      </c>
      <c r="F1337" s="2">
        <v>0.1022</v>
      </c>
      <c r="G1337" s="2">
        <v>4.9299999999999997E-2</v>
      </c>
      <c r="H1337" s="2">
        <v>7.6899999999999996E-2</v>
      </c>
      <c r="I1337" s="2">
        <v>5.4699999999999999E-2</v>
      </c>
      <c r="J1337" s="2">
        <v>2.3599999999999999E-2</v>
      </c>
      <c r="K1337" s="2">
        <v>1.6E-2</v>
      </c>
      <c r="L1337" s="2">
        <v>1.89E-2</v>
      </c>
      <c r="M1337" s="2">
        <v>9.7000000000000003E-3</v>
      </c>
      <c r="N1337" s="2">
        <v>2.2599999999999999E-2</v>
      </c>
      <c r="O1337" s="2">
        <v>9.7000000000000003E-3</v>
      </c>
      <c r="P1337" s="2">
        <v>9.7999999999999997E-3</v>
      </c>
      <c r="Q1337" s="2">
        <v>9.4999999999999998E-3</v>
      </c>
      <c r="R1337" s="2">
        <v>3.5000000000000001E-3</v>
      </c>
      <c r="S1337" s="2">
        <v>1.1000000000000001E-3</v>
      </c>
      <c r="T1337" s="2">
        <v>5.0000000000000001E-4</v>
      </c>
      <c r="U1337">
        <v>900</v>
      </c>
    </row>
    <row r="1338" spans="1:21" x14ac:dyDescent="0.35">
      <c r="A1338" t="s">
        <v>228</v>
      </c>
      <c r="B1338" t="s">
        <v>228</v>
      </c>
      <c r="C1338" s="2">
        <v>0.57579999999999998</v>
      </c>
      <c r="D1338" s="2">
        <v>0.21099999999999999</v>
      </c>
      <c r="E1338" s="2">
        <v>0.13300000000000001</v>
      </c>
      <c r="F1338" s="2">
        <v>7.0599999999999996E-2</v>
      </c>
      <c r="G1338" s="2">
        <v>6.08E-2</v>
      </c>
      <c r="H1338" s="2">
        <v>5.74E-2</v>
      </c>
      <c r="I1338" s="2">
        <v>3.9300000000000002E-2</v>
      </c>
      <c r="J1338" s="2">
        <v>2.07E-2</v>
      </c>
      <c r="K1338" s="2">
        <v>1.9199999999999998E-2</v>
      </c>
      <c r="L1338" s="2">
        <v>1.37E-2</v>
      </c>
      <c r="M1338" s="2">
        <v>1.23E-2</v>
      </c>
      <c r="N1338" s="2">
        <v>1.2E-2</v>
      </c>
      <c r="O1338" s="2">
        <v>1.17E-2</v>
      </c>
      <c r="P1338" s="2">
        <v>1.12E-2</v>
      </c>
      <c r="Q1338" s="2">
        <v>1.01E-2</v>
      </c>
      <c r="R1338" s="2">
        <v>2.8999999999999998E-3</v>
      </c>
      <c r="S1338" s="2">
        <v>1.8E-3</v>
      </c>
      <c r="T1338" s="2">
        <v>2.9999999999999997E-4</v>
      </c>
      <c r="U1338">
        <v>2083</v>
      </c>
    </row>
    <row r="1340" spans="1:21" x14ac:dyDescent="0.35">
      <c r="A1340" s="1" t="s">
        <v>604</v>
      </c>
    </row>
    <row r="1341" spans="1:21" x14ac:dyDescent="0.35">
      <c r="A1341" t="s">
        <v>219</v>
      </c>
      <c r="B1341" t="s">
        <v>301</v>
      </c>
      <c r="C1341" t="s">
        <v>312</v>
      </c>
      <c r="D1341" t="s">
        <v>583</v>
      </c>
      <c r="E1341" t="s">
        <v>584</v>
      </c>
      <c r="F1341" t="s">
        <v>585</v>
      </c>
      <c r="G1341" t="s">
        <v>586</v>
      </c>
      <c r="H1341" t="s">
        <v>587</v>
      </c>
      <c r="I1341" t="s">
        <v>588</v>
      </c>
      <c r="J1341" t="s">
        <v>589</v>
      </c>
      <c r="K1341" t="s">
        <v>590</v>
      </c>
      <c r="L1341" t="s">
        <v>591</v>
      </c>
      <c r="M1341" t="s">
        <v>592</v>
      </c>
      <c r="N1341" t="s">
        <v>593</v>
      </c>
      <c r="O1341" t="s">
        <v>594</v>
      </c>
      <c r="P1341" t="s">
        <v>595</v>
      </c>
      <c r="Q1341" t="s">
        <v>596</v>
      </c>
      <c r="R1341" t="s">
        <v>597</v>
      </c>
      <c r="S1341" t="s">
        <v>277</v>
      </c>
      <c r="T1341" t="s">
        <v>282</v>
      </c>
      <c r="U1341" t="s">
        <v>226</v>
      </c>
    </row>
    <row r="1342" spans="1:21" x14ac:dyDescent="0.35">
      <c r="A1342" t="s">
        <v>227</v>
      </c>
      <c r="B1342" t="s">
        <v>245</v>
      </c>
      <c r="C1342" s="2">
        <v>0.57599999999999996</v>
      </c>
      <c r="D1342" s="2">
        <v>0.19869999999999999</v>
      </c>
      <c r="E1342" s="2">
        <v>0.15090000000000001</v>
      </c>
      <c r="F1342" s="2">
        <v>8.9300000000000004E-2</v>
      </c>
      <c r="G1342" s="2">
        <v>6.4899999999999999E-2</v>
      </c>
      <c r="H1342" s="2">
        <v>6.2300000000000001E-2</v>
      </c>
      <c r="I1342" s="2">
        <v>5.2400000000000002E-2</v>
      </c>
      <c r="J1342" s="2">
        <v>4.0500000000000001E-2</v>
      </c>
      <c r="K1342" s="2">
        <v>2.6499999999999999E-2</v>
      </c>
      <c r="L1342" s="2">
        <v>1.47E-2</v>
      </c>
      <c r="M1342" s="2">
        <v>8.9999999999999993E-3</v>
      </c>
      <c r="N1342" s="2">
        <v>1.8499999999999999E-2</v>
      </c>
      <c r="O1342" s="2">
        <v>1.41E-2</v>
      </c>
      <c r="P1342" s="2">
        <v>7.3000000000000001E-3</v>
      </c>
      <c r="Q1342" s="2">
        <v>7.4000000000000003E-3</v>
      </c>
      <c r="R1342" s="2">
        <v>5.0000000000000001E-4</v>
      </c>
      <c r="S1342" s="2">
        <v>4.0000000000000002E-4</v>
      </c>
      <c r="T1342" s="2">
        <v>8.0000000000000004E-4</v>
      </c>
      <c r="U1342">
        <v>599</v>
      </c>
    </row>
    <row r="1343" spans="1:21" x14ac:dyDescent="0.35">
      <c r="A1343" t="s">
        <v>227</v>
      </c>
      <c r="B1343" t="s">
        <v>244</v>
      </c>
      <c r="C1343" s="2">
        <v>0.57569999999999999</v>
      </c>
      <c r="D1343" s="2">
        <v>0.2162</v>
      </c>
      <c r="E1343" s="2">
        <v>0.12540000000000001</v>
      </c>
      <c r="F1343" s="2">
        <v>6.2700000000000006E-2</v>
      </c>
      <c r="G1343" s="2">
        <v>5.91E-2</v>
      </c>
      <c r="H1343" s="2">
        <v>5.5399999999999998E-2</v>
      </c>
      <c r="I1343" s="2">
        <v>3.3700000000000001E-2</v>
      </c>
      <c r="J1343" s="2">
        <v>1.23E-2</v>
      </c>
      <c r="K1343" s="2">
        <v>1.61E-2</v>
      </c>
      <c r="L1343" s="2">
        <v>1.32E-2</v>
      </c>
      <c r="M1343" s="2">
        <v>1.3599999999999999E-2</v>
      </c>
      <c r="N1343" s="2">
        <v>9.2999999999999992E-3</v>
      </c>
      <c r="O1343" s="2">
        <v>1.0699999999999999E-2</v>
      </c>
      <c r="P1343" s="2">
        <v>1.2800000000000001E-2</v>
      </c>
      <c r="Q1343" s="2">
        <v>1.12E-2</v>
      </c>
      <c r="R1343" s="2">
        <v>3.8E-3</v>
      </c>
      <c r="S1343" s="2">
        <v>2.3E-3</v>
      </c>
      <c r="U1343">
        <v>1484</v>
      </c>
    </row>
    <row r="1344" spans="1:21" x14ac:dyDescent="0.35">
      <c r="A1344" t="s">
        <v>228</v>
      </c>
      <c r="B1344" t="s">
        <v>228</v>
      </c>
      <c r="C1344" s="2">
        <v>0.57579999999999998</v>
      </c>
      <c r="D1344" s="2">
        <v>0.21099999999999999</v>
      </c>
      <c r="E1344" s="2">
        <v>0.13300000000000001</v>
      </c>
      <c r="F1344" s="2">
        <v>7.0599999999999996E-2</v>
      </c>
      <c r="G1344" s="2">
        <v>6.08E-2</v>
      </c>
      <c r="H1344" s="2">
        <v>5.74E-2</v>
      </c>
      <c r="I1344" s="2">
        <v>3.9300000000000002E-2</v>
      </c>
      <c r="J1344" s="2">
        <v>2.07E-2</v>
      </c>
      <c r="K1344" s="2">
        <v>1.9199999999999998E-2</v>
      </c>
      <c r="L1344" s="2">
        <v>1.37E-2</v>
      </c>
      <c r="M1344" s="2">
        <v>1.23E-2</v>
      </c>
      <c r="N1344" s="2">
        <v>1.2E-2</v>
      </c>
      <c r="O1344" s="2">
        <v>1.17E-2</v>
      </c>
      <c r="P1344" s="2">
        <v>1.12E-2</v>
      </c>
      <c r="Q1344" s="2">
        <v>1.01E-2</v>
      </c>
      <c r="R1344" s="2">
        <v>2.8999999999999998E-3</v>
      </c>
      <c r="S1344" s="2">
        <v>1.8E-3</v>
      </c>
      <c r="T1344" s="2">
        <v>2.9999999999999997E-4</v>
      </c>
      <c r="U1344">
        <v>2083</v>
      </c>
    </row>
    <row r="1346" spans="1:21" x14ac:dyDescent="0.35">
      <c r="A1346" s="1" t="s">
        <v>605</v>
      </c>
    </row>
    <row r="1347" spans="1:21" x14ac:dyDescent="0.35">
      <c r="A1347" t="s">
        <v>219</v>
      </c>
      <c r="B1347" t="s">
        <v>301</v>
      </c>
      <c r="C1347" t="s">
        <v>312</v>
      </c>
      <c r="D1347" t="s">
        <v>583</v>
      </c>
      <c r="E1347" t="s">
        <v>584</v>
      </c>
      <c r="F1347" t="s">
        <v>585</v>
      </c>
      <c r="G1347" t="s">
        <v>586</v>
      </c>
      <c r="H1347" t="s">
        <v>587</v>
      </c>
      <c r="I1347" t="s">
        <v>588</v>
      </c>
      <c r="J1347" t="s">
        <v>589</v>
      </c>
      <c r="K1347" t="s">
        <v>590</v>
      </c>
      <c r="L1347" t="s">
        <v>591</v>
      </c>
      <c r="M1347" t="s">
        <v>592</v>
      </c>
      <c r="N1347" t="s">
        <v>593</v>
      </c>
      <c r="O1347" t="s">
        <v>594</v>
      </c>
      <c r="P1347" t="s">
        <v>595</v>
      </c>
      <c r="Q1347" t="s">
        <v>596</v>
      </c>
      <c r="R1347" t="s">
        <v>597</v>
      </c>
      <c r="S1347" t="s">
        <v>277</v>
      </c>
      <c r="T1347" t="s">
        <v>282</v>
      </c>
      <c r="U1347" t="s">
        <v>226</v>
      </c>
    </row>
    <row r="1348" spans="1:21" x14ac:dyDescent="0.35">
      <c r="A1348" t="s">
        <v>227</v>
      </c>
      <c r="B1348" t="s">
        <v>259</v>
      </c>
      <c r="C1348" s="2">
        <v>0.61370000000000002</v>
      </c>
      <c r="D1348" s="2">
        <v>0.24310000000000001</v>
      </c>
      <c r="E1348" s="2">
        <v>7.1800000000000003E-2</v>
      </c>
      <c r="F1348" s="2">
        <v>7.5499999999999998E-2</v>
      </c>
      <c r="G1348" s="2">
        <v>6.8199999999999997E-2</v>
      </c>
      <c r="H1348" s="2">
        <v>0.1215</v>
      </c>
      <c r="I1348" s="2">
        <v>6.93E-2</v>
      </c>
      <c r="J1348" s="2">
        <v>4.7399999999999998E-2</v>
      </c>
      <c r="K1348" s="2">
        <v>1.8E-3</v>
      </c>
      <c r="L1348" s="2">
        <v>1.6199999999999999E-2</v>
      </c>
      <c r="M1348" s="2">
        <v>1.61E-2</v>
      </c>
      <c r="N1348" s="2">
        <v>5.74E-2</v>
      </c>
      <c r="O1348" s="2">
        <v>5.7000000000000002E-3</v>
      </c>
      <c r="P1348" s="2">
        <v>1.8E-3</v>
      </c>
      <c r="Q1348" s="2">
        <v>3.9600000000000003E-2</v>
      </c>
      <c r="U1348">
        <v>58</v>
      </c>
    </row>
    <row r="1349" spans="1:21" x14ac:dyDescent="0.35">
      <c r="A1349" t="s">
        <v>227</v>
      </c>
      <c r="B1349" t="s">
        <v>257</v>
      </c>
      <c r="C1349" s="2">
        <v>0.54910000000000003</v>
      </c>
      <c r="D1349" s="2">
        <v>0.2258</v>
      </c>
      <c r="E1349" s="2">
        <v>0.1608</v>
      </c>
      <c r="F1349" s="2">
        <v>6.2600000000000003E-2</v>
      </c>
      <c r="G1349" s="2">
        <v>6.4899999999999999E-2</v>
      </c>
      <c r="H1349" s="2">
        <v>2.87E-2</v>
      </c>
      <c r="I1349" s="2">
        <v>4.5100000000000001E-2</v>
      </c>
      <c r="J1349" s="2">
        <v>1.1900000000000001E-2</v>
      </c>
      <c r="K1349" s="2">
        <v>1.0500000000000001E-2</v>
      </c>
      <c r="L1349" s="2">
        <v>2.4400000000000002E-2</v>
      </c>
      <c r="M1349" s="2">
        <v>3.1199999999999999E-2</v>
      </c>
      <c r="N1349" s="2">
        <v>5.3E-3</v>
      </c>
      <c r="O1349" s="2">
        <v>1.15E-2</v>
      </c>
      <c r="P1349" s="2">
        <v>4.6100000000000002E-2</v>
      </c>
      <c r="Q1349" s="2">
        <v>7.0000000000000001E-3</v>
      </c>
      <c r="R1349" s="2">
        <v>1.9E-3</v>
      </c>
      <c r="S1349" s="2">
        <v>7.1999999999999998E-3</v>
      </c>
      <c r="U1349">
        <v>334</v>
      </c>
    </row>
    <row r="1350" spans="1:21" x14ac:dyDescent="0.35">
      <c r="A1350" t="s">
        <v>227</v>
      </c>
      <c r="B1350" t="s">
        <v>256</v>
      </c>
      <c r="C1350" s="2">
        <v>0.59179999999999999</v>
      </c>
      <c r="D1350" s="2">
        <v>0.2112</v>
      </c>
      <c r="E1350" s="2">
        <v>0.12379999999999999</v>
      </c>
      <c r="F1350" s="2">
        <v>6.3600000000000004E-2</v>
      </c>
      <c r="G1350" s="2">
        <v>5.8099999999999999E-2</v>
      </c>
      <c r="H1350" s="2">
        <v>6.1199999999999997E-2</v>
      </c>
      <c r="I1350" s="2">
        <v>3.5799999999999998E-2</v>
      </c>
      <c r="J1350" s="2">
        <v>2.6100000000000002E-2</v>
      </c>
      <c r="K1350" s="2">
        <v>1.7899999999999999E-2</v>
      </c>
      <c r="L1350" s="2">
        <v>1.0500000000000001E-2</v>
      </c>
      <c r="M1350" s="2">
        <v>6.0000000000000001E-3</v>
      </c>
      <c r="N1350" s="2">
        <v>1.1299999999999999E-2</v>
      </c>
      <c r="O1350" s="2">
        <v>1.2800000000000001E-2</v>
      </c>
      <c r="P1350" s="2">
        <v>2.3999999999999998E-3</v>
      </c>
      <c r="Q1350" s="2">
        <v>1.11E-2</v>
      </c>
      <c r="R1350" s="2">
        <v>2.2000000000000001E-3</v>
      </c>
      <c r="S1350" s="2">
        <v>5.9999999999999995E-4</v>
      </c>
      <c r="U1350">
        <v>1267</v>
      </c>
    </row>
    <row r="1351" spans="1:21" x14ac:dyDescent="0.35">
      <c r="A1351" s="3" t="s">
        <v>227</v>
      </c>
      <c r="B1351" s="3" t="s">
        <v>232</v>
      </c>
      <c r="C1351" s="4">
        <v>0.26229999999999998</v>
      </c>
      <c r="D1351" s="4">
        <v>0.73770000000000002</v>
      </c>
      <c r="E1351" s="4">
        <v>0.1217</v>
      </c>
      <c r="F1351" s="5"/>
      <c r="G1351" s="4">
        <v>0.1217</v>
      </c>
      <c r="H1351" s="5"/>
      <c r="I1351" s="5"/>
      <c r="J1351" s="5"/>
      <c r="K1351" s="5"/>
      <c r="L1351" s="5"/>
      <c r="M1351" s="5"/>
      <c r="N1351" s="5"/>
      <c r="O1351" s="5"/>
      <c r="P1351" s="5"/>
      <c r="Q1351" s="4">
        <v>0.1217</v>
      </c>
      <c r="R1351" s="5"/>
      <c r="S1351" s="5"/>
      <c r="T1351" s="5"/>
      <c r="U1351" s="5" t="s">
        <v>606</v>
      </c>
    </row>
    <row r="1352" spans="1:21" x14ac:dyDescent="0.35">
      <c r="A1352" t="s">
        <v>227</v>
      </c>
      <c r="B1352" t="s">
        <v>258</v>
      </c>
      <c r="C1352" s="2">
        <v>0.54259999999999997</v>
      </c>
      <c r="D1352" s="2">
        <v>0.18279999999999999</v>
      </c>
      <c r="E1352" s="2">
        <v>0.14419999999999999</v>
      </c>
      <c r="F1352" s="2">
        <v>0.1082</v>
      </c>
      <c r="G1352" s="2">
        <v>6.5100000000000005E-2</v>
      </c>
      <c r="H1352" s="2">
        <v>6.9199999999999998E-2</v>
      </c>
      <c r="I1352" s="2">
        <v>4.2900000000000001E-2</v>
      </c>
      <c r="J1352" s="2">
        <v>6.4999999999999997E-3</v>
      </c>
      <c r="K1352" s="2">
        <v>3.73E-2</v>
      </c>
      <c r="L1352" s="2">
        <v>1.34E-2</v>
      </c>
      <c r="M1352" s="2">
        <v>1.43E-2</v>
      </c>
      <c r="N1352" s="2">
        <v>1.7600000000000001E-2</v>
      </c>
      <c r="O1352" s="2">
        <v>8.6E-3</v>
      </c>
      <c r="P1352" s="2">
        <v>5.8999999999999999E-3</v>
      </c>
      <c r="Q1352" s="2">
        <v>4.7000000000000002E-3</v>
      </c>
      <c r="R1352" s="2">
        <v>6.8999999999999999E-3</v>
      </c>
      <c r="T1352" s="2">
        <v>1.6000000000000001E-3</v>
      </c>
      <c r="U1352">
        <v>414</v>
      </c>
    </row>
    <row r="1353" spans="1:21" x14ac:dyDescent="0.35">
      <c r="A1353" t="s">
        <v>228</v>
      </c>
      <c r="B1353" t="s">
        <v>228</v>
      </c>
      <c r="C1353" s="2">
        <v>0.57579999999999998</v>
      </c>
      <c r="D1353" s="2">
        <v>0.21099999999999999</v>
      </c>
      <c r="E1353" s="2">
        <v>0.13300000000000001</v>
      </c>
      <c r="F1353" s="2">
        <v>7.0599999999999996E-2</v>
      </c>
      <c r="G1353" s="2">
        <v>6.08E-2</v>
      </c>
      <c r="H1353" s="2">
        <v>5.74E-2</v>
      </c>
      <c r="I1353" s="2">
        <v>3.9300000000000002E-2</v>
      </c>
      <c r="J1353" s="2">
        <v>2.07E-2</v>
      </c>
      <c r="K1353" s="2">
        <v>1.9199999999999998E-2</v>
      </c>
      <c r="L1353" s="2">
        <v>1.37E-2</v>
      </c>
      <c r="M1353" s="2">
        <v>1.23E-2</v>
      </c>
      <c r="N1353" s="2">
        <v>1.2E-2</v>
      </c>
      <c r="O1353" s="2">
        <v>1.17E-2</v>
      </c>
      <c r="P1353" s="2">
        <v>1.12E-2</v>
      </c>
      <c r="Q1353" s="2">
        <v>1.01E-2</v>
      </c>
      <c r="R1353" s="2">
        <v>2.8999999999999998E-3</v>
      </c>
      <c r="S1353" s="2">
        <v>1.8E-3</v>
      </c>
      <c r="T1353" s="2">
        <v>2.9999999999999997E-4</v>
      </c>
      <c r="U1353">
        <v>2083</v>
      </c>
    </row>
    <row r="1355" spans="1:21" x14ac:dyDescent="0.35">
      <c r="A1355" s="1" t="s">
        <v>607</v>
      </c>
    </row>
    <row r="1356" spans="1:21" x14ac:dyDescent="0.35">
      <c r="A1356" t="s">
        <v>219</v>
      </c>
      <c r="B1356" t="s">
        <v>301</v>
      </c>
      <c r="C1356" t="s">
        <v>312</v>
      </c>
      <c r="D1356" t="s">
        <v>583</v>
      </c>
      <c r="E1356" t="s">
        <v>584</v>
      </c>
      <c r="F1356" t="s">
        <v>585</v>
      </c>
      <c r="G1356" t="s">
        <v>586</v>
      </c>
      <c r="H1356" t="s">
        <v>587</v>
      </c>
      <c r="I1356" t="s">
        <v>588</v>
      </c>
      <c r="J1356" t="s">
        <v>589</v>
      </c>
      <c r="K1356" t="s">
        <v>590</v>
      </c>
      <c r="L1356" t="s">
        <v>591</v>
      </c>
      <c r="M1356" t="s">
        <v>592</v>
      </c>
      <c r="N1356" t="s">
        <v>593</v>
      </c>
      <c r="O1356" t="s">
        <v>594</v>
      </c>
      <c r="P1356" t="s">
        <v>595</v>
      </c>
      <c r="Q1356" t="s">
        <v>596</v>
      </c>
      <c r="R1356" t="s">
        <v>597</v>
      </c>
      <c r="S1356" t="s">
        <v>277</v>
      </c>
      <c r="T1356" t="s">
        <v>282</v>
      </c>
      <c r="U1356" t="s">
        <v>226</v>
      </c>
    </row>
    <row r="1357" spans="1:21" x14ac:dyDescent="0.35">
      <c r="A1357" t="s">
        <v>227</v>
      </c>
      <c r="B1357" t="s">
        <v>343</v>
      </c>
      <c r="C1357" s="2">
        <v>0.54910000000000003</v>
      </c>
      <c r="D1357" s="2">
        <v>0.2258</v>
      </c>
      <c r="E1357" s="2">
        <v>0.1608</v>
      </c>
      <c r="F1357" s="2">
        <v>6.2600000000000003E-2</v>
      </c>
      <c r="G1357" s="2">
        <v>6.4899999999999999E-2</v>
      </c>
      <c r="H1357" s="2">
        <v>2.87E-2</v>
      </c>
      <c r="I1357" s="2">
        <v>4.5100000000000001E-2</v>
      </c>
      <c r="J1357" s="2">
        <v>1.1900000000000001E-2</v>
      </c>
      <c r="K1357" s="2">
        <v>1.0500000000000001E-2</v>
      </c>
      <c r="L1357" s="2">
        <v>2.4400000000000002E-2</v>
      </c>
      <c r="M1357" s="2">
        <v>3.1199999999999999E-2</v>
      </c>
      <c r="N1357" s="2">
        <v>5.3E-3</v>
      </c>
      <c r="O1357" s="2">
        <v>1.15E-2</v>
      </c>
      <c r="P1357" s="2">
        <v>4.6100000000000002E-2</v>
      </c>
      <c r="Q1357" s="2">
        <v>7.0000000000000001E-3</v>
      </c>
      <c r="R1357" s="2">
        <v>1.9E-3</v>
      </c>
      <c r="S1357" s="2">
        <v>7.1999999999999998E-3</v>
      </c>
      <c r="U1357">
        <v>334</v>
      </c>
    </row>
    <row r="1358" spans="1:21" x14ac:dyDescent="0.35">
      <c r="A1358" t="s">
        <v>227</v>
      </c>
      <c r="B1358" t="s">
        <v>344</v>
      </c>
      <c r="C1358" s="2">
        <v>0.58199999999999996</v>
      </c>
      <c r="D1358" s="2">
        <v>0.20760000000000001</v>
      </c>
      <c r="E1358" s="2">
        <v>0.1265</v>
      </c>
      <c r="F1358" s="2">
        <v>7.2499999999999995E-2</v>
      </c>
      <c r="G1358" s="2">
        <v>5.9900000000000002E-2</v>
      </c>
      <c r="H1358" s="2">
        <v>6.4100000000000004E-2</v>
      </c>
      <c r="I1358" s="2">
        <v>3.7999999999999999E-2</v>
      </c>
      <c r="J1358" s="2">
        <v>2.2800000000000001E-2</v>
      </c>
      <c r="K1358" s="2">
        <v>2.12E-2</v>
      </c>
      <c r="L1358" s="2">
        <v>1.12E-2</v>
      </c>
      <c r="M1358" s="2">
        <v>7.9000000000000008E-3</v>
      </c>
      <c r="N1358" s="2">
        <v>1.3599999999999999E-2</v>
      </c>
      <c r="O1358" s="2">
        <v>1.18E-2</v>
      </c>
      <c r="P1358" s="2">
        <v>3.0999999999999999E-3</v>
      </c>
      <c r="Q1358" s="2">
        <v>1.0800000000000001E-2</v>
      </c>
      <c r="R1358" s="2">
        <v>3.0999999999999999E-3</v>
      </c>
      <c r="S1358" s="2">
        <v>5.0000000000000001E-4</v>
      </c>
      <c r="T1358" s="2">
        <v>2.9999999999999997E-4</v>
      </c>
      <c r="U1358">
        <v>1749</v>
      </c>
    </row>
    <row r="1359" spans="1:21" x14ac:dyDescent="0.35">
      <c r="A1359" t="s">
        <v>228</v>
      </c>
      <c r="B1359" t="s">
        <v>228</v>
      </c>
      <c r="C1359" s="2">
        <v>0.57579999999999998</v>
      </c>
      <c r="D1359" s="2">
        <v>0.21099999999999999</v>
      </c>
      <c r="E1359" s="2">
        <v>0.13300000000000001</v>
      </c>
      <c r="F1359" s="2">
        <v>7.0599999999999996E-2</v>
      </c>
      <c r="G1359" s="2">
        <v>6.08E-2</v>
      </c>
      <c r="H1359" s="2">
        <v>5.74E-2</v>
      </c>
      <c r="I1359" s="2">
        <v>3.9300000000000002E-2</v>
      </c>
      <c r="J1359" s="2">
        <v>2.07E-2</v>
      </c>
      <c r="K1359" s="2">
        <v>1.9199999999999998E-2</v>
      </c>
      <c r="L1359" s="2">
        <v>1.37E-2</v>
      </c>
      <c r="M1359" s="2">
        <v>1.23E-2</v>
      </c>
      <c r="N1359" s="2">
        <v>1.2E-2</v>
      </c>
      <c r="O1359" s="2">
        <v>1.17E-2</v>
      </c>
      <c r="P1359" s="2">
        <v>1.12E-2</v>
      </c>
      <c r="Q1359" s="2">
        <v>1.01E-2</v>
      </c>
      <c r="R1359" s="2">
        <v>2.8999999999999998E-3</v>
      </c>
      <c r="S1359" s="2">
        <v>1.8E-3</v>
      </c>
      <c r="T1359" s="2">
        <v>2.9999999999999997E-4</v>
      </c>
      <c r="U1359">
        <v>2083</v>
      </c>
    </row>
    <row r="1361" spans="1:21" x14ac:dyDescent="0.35">
      <c r="A1361" s="1" t="s">
        <v>608</v>
      </c>
    </row>
    <row r="1362" spans="1:21" x14ac:dyDescent="0.35">
      <c r="A1362" t="s">
        <v>219</v>
      </c>
      <c r="B1362" t="s">
        <v>301</v>
      </c>
      <c r="C1362" t="s">
        <v>312</v>
      </c>
      <c r="D1362" t="s">
        <v>583</v>
      </c>
      <c r="E1362" t="s">
        <v>584</v>
      </c>
      <c r="F1362" t="s">
        <v>585</v>
      </c>
      <c r="G1362" t="s">
        <v>586</v>
      </c>
      <c r="H1362" t="s">
        <v>587</v>
      </c>
      <c r="I1362" t="s">
        <v>588</v>
      </c>
      <c r="J1362" t="s">
        <v>589</v>
      </c>
      <c r="K1362" t="s">
        <v>590</v>
      </c>
      <c r="L1362" t="s">
        <v>591</v>
      </c>
      <c r="M1362" t="s">
        <v>592</v>
      </c>
      <c r="N1362" t="s">
        <v>593</v>
      </c>
      <c r="O1362" t="s">
        <v>594</v>
      </c>
      <c r="P1362" t="s">
        <v>595</v>
      </c>
      <c r="Q1362" t="s">
        <v>596</v>
      </c>
      <c r="R1362" t="s">
        <v>597</v>
      </c>
      <c r="S1362" t="s">
        <v>277</v>
      </c>
      <c r="T1362" t="s">
        <v>282</v>
      </c>
      <c r="U1362" t="s">
        <v>226</v>
      </c>
    </row>
    <row r="1363" spans="1:21" x14ac:dyDescent="0.35">
      <c r="A1363" t="s">
        <v>227</v>
      </c>
      <c r="B1363" t="s">
        <v>346</v>
      </c>
      <c r="C1363" s="2">
        <v>0.5786</v>
      </c>
      <c r="D1363" s="2">
        <v>0.20880000000000001</v>
      </c>
      <c r="E1363" s="2">
        <v>0.13220000000000001</v>
      </c>
      <c r="F1363" s="2">
        <v>7.2800000000000004E-2</v>
      </c>
      <c r="G1363" s="2">
        <v>5.8099999999999999E-2</v>
      </c>
      <c r="H1363" s="2">
        <v>5.6500000000000002E-2</v>
      </c>
      <c r="I1363" s="2">
        <v>3.1800000000000002E-2</v>
      </c>
      <c r="J1363" s="2">
        <v>2.35E-2</v>
      </c>
      <c r="K1363" s="2">
        <v>1.83E-2</v>
      </c>
      <c r="L1363" s="2">
        <v>1.46E-2</v>
      </c>
      <c r="M1363" s="2">
        <v>8.9999999999999993E-3</v>
      </c>
      <c r="N1363" s="2">
        <v>1.29E-2</v>
      </c>
      <c r="O1363" s="2">
        <v>1.0999999999999999E-2</v>
      </c>
      <c r="P1363" s="2">
        <v>1.1900000000000001E-2</v>
      </c>
      <c r="Q1363" s="2">
        <v>8.3999999999999995E-3</v>
      </c>
      <c r="R1363" s="2">
        <v>2.5000000000000001E-3</v>
      </c>
      <c r="S1363" s="2">
        <v>1.6000000000000001E-3</v>
      </c>
      <c r="T1363" s="2">
        <v>2.9999999999999997E-4</v>
      </c>
      <c r="U1363">
        <v>1078</v>
      </c>
    </row>
    <row r="1364" spans="1:21" x14ac:dyDescent="0.35">
      <c r="A1364" t="s">
        <v>227</v>
      </c>
      <c r="B1364" t="s">
        <v>347</v>
      </c>
      <c r="C1364" s="2">
        <v>0.51</v>
      </c>
      <c r="D1364" s="2">
        <v>0.24690000000000001</v>
      </c>
      <c r="E1364" s="2">
        <v>0.1396</v>
      </c>
      <c r="F1364" s="2">
        <v>6.9900000000000004E-2</v>
      </c>
      <c r="G1364" s="2">
        <v>0.10249999999999999</v>
      </c>
      <c r="H1364" s="2">
        <v>5.7700000000000001E-2</v>
      </c>
      <c r="I1364" s="2">
        <v>0.13819999999999999</v>
      </c>
      <c r="J1364" s="2">
        <v>2.5999999999999999E-3</v>
      </c>
      <c r="K1364" s="2">
        <v>3.9300000000000002E-2</v>
      </c>
      <c r="L1364" s="2">
        <v>7.1000000000000004E-3</v>
      </c>
      <c r="M1364" s="2">
        <v>6.3700000000000007E-2</v>
      </c>
      <c r="O1364" s="2">
        <v>5.4999999999999997E-3</v>
      </c>
      <c r="P1364" s="2">
        <v>9.7000000000000003E-3</v>
      </c>
      <c r="Q1364" s="2">
        <v>5.6899999999999999E-2</v>
      </c>
      <c r="R1364" s="2">
        <v>1.6999999999999999E-3</v>
      </c>
      <c r="S1364" s="2">
        <v>2.8999999999999998E-3</v>
      </c>
      <c r="U1364">
        <v>444</v>
      </c>
    </row>
    <row r="1365" spans="1:21" x14ac:dyDescent="0.35">
      <c r="A1365" t="s">
        <v>227</v>
      </c>
      <c r="B1365" t="s">
        <v>348</v>
      </c>
      <c r="C1365" s="2">
        <v>0.57589999999999997</v>
      </c>
      <c r="D1365" s="2">
        <v>0.21729999999999999</v>
      </c>
      <c r="E1365" s="2">
        <v>0.13769999999999999</v>
      </c>
      <c r="F1365" s="2">
        <v>5.0700000000000002E-2</v>
      </c>
      <c r="G1365" s="2">
        <v>7.0199999999999999E-2</v>
      </c>
      <c r="H1365" s="2">
        <v>6.59E-2</v>
      </c>
      <c r="I1365" s="2">
        <v>7.0699999999999999E-2</v>
      </c>
      <c r="J1365" s="2">
        <v>2E-3</v>
      </c>
      <c r="K1365" s="2">
        <v>2.01E-2</v>
      </c>
      <c r="L1365" s="2">
        <v>7.4000000000000003E-3</v>
      </c>
      <c r="M1365" s="2">
        <v>2.2499999999999999E-2</v>
      </c>
      <c r="N1365" s="2">
        <v>9.1999999999999998E-3</v>
      </c>
      <c r="O1365" s="2">
        <v>2.1499999999999998E-2</v>
      </c>
      <c r="P1365" s="2">
        <v>4.8999999999999998E-3</v>
      </c>
      <c r="Q1365" s="2">
        <v>6.8999999999999999E-3</v>
      </c>
      <c r="R1365" s="2">
        <v>7.1999999999999998E-3</v>
      </c>
      <c r="S1365" s="2">
        <v>3.3E-3</v>
      </c>
      <c r="U1365">
        <v>561</v>
      </c>
    </row>
    <row r="1366" spans="1:21" x14ac:dyDescent="0.35">
      <c r="A1366" t="s">
        <v>228</v>
      </c>
      <c r="B1366" t="s">
        <v>228</v>
      </c>
      <c r="C1366" s="2">
        <v>0.57579999999999998</v>
      </c>
      <c r="D1366" s="2">
        <v>0.21099999999999999</v>
      </c>
      <c r="E1366" s="2">
        <v>0.13300000000000001</v>
      </c>
      <c r="F1366" s="2">
        <v>7.0599999999999996E-2</v>
      </c>
      <c r="G1366" s="2">
        <v>6.08E-2</v>
      </c>
      <c r="H1366" s="2">
        <v>5.74E-2</v>
      </c>
      <c r="I1366" s="2">
        <v>3.9300000000000002E-2</v>
      </c>
      <c r="J1366" s="2">
        <v>2.07E-2</v>
      </c>
      <c r="K1366" s="2">
        <v>1.9199999999999998E-2</v>
      </c>
      <c r="L1366" s="2">
        <v>1.37E-2</v>
      </c>
      <c r="M1366" s="2">
        <v>1.23E-2</v>
      </c>
      <c r="N1366" s="2">
        <v>1.2E-2</v>
      </c>
      <c r="O1366" s="2">
        <v>1.17E-2</v>
      </c>
      <c r="P1366" s="2">
        <v>1.12E-2</v>
      </c>
      <c r="Q1366" s="2">
        <v>1.01E-2</v>
      </c>
      <c r="R1366" s="2">
        <v>2.8999999999999998E-3</v>
      </c>
      <c r="S1366" s="2">
        <v>1.8E-3</v>
      </c>
      <c r="T1366" s="2">
        <v>2.9999999999999997E-4</v>
      </c>
      <c r="U1366">
        <v>2083</v>
      </c>
    </row>
    <row r="1368" spans="1:21" x14ac:dyDescent="0.35">
      <c r="A1368" s="1" t="s">
        <v>609</v>
      </c>
    </row>
    <row r="1369" spans="1:21" x14ac:dyDescent="0.35">
      <c r="A1369" t="s">
        <v>219</v>
      </c>
      <c r="B1369" t="s">
        <v>301</v>
      </c>
      <c r="C1369" t="s">
        <v>312</v>
      </c>
      <c r="D1369" t="s">
        <v>583</v>
      </c>
      <c r="E1369" t="s">
        <v>584</v>
      </c>
      <c r="F1369" t="s">
        <v>585</v>
      </c>
      <c r="G1369" t="s">
        <v>586</v>
      </c>
      <c r="H1369" t="s">
        <v>587</v>
      </c>
      <c r="I1369" t="s">
        <v>588</v>
      </c>
      <c r="J1369" t="s">
        <v>589</v>
      </c>
      <c r="K1369" t="s">
        <v>590</v>
      </c>
      <c r="L1369" t="s">
        <v>591</v>
      </c>
      <c r="M1369" t="s">
        <v>592</v>
      </c>
      <c r="N1369" t="s">
        <v>593</v>
      </c>
      <c r="O1369" t="s">
        <v>594</v>
      </c>
      <c r="P1369" t="s">
        <v>595</v>
      </c>
      <c r="Q1369" t="s">
        <v>596</v>
      </c>
      <c r="R1369" t="s">
        <v>597</v>
      </c>
      <c r="S1369" t="s">
        <v>277</v>
      </c>
      <c r="T1369" t="s">
        <v>282</v>
      </c>
      <c r="U1369" t="s">
        <v>226</v>
      </c>
    </row>
    <row r="1370" spans="1:21" x14ac:dyDescent="0.35">
      <c r="A1370" t="s">
        <v>227</v>
      </c>
      <c r="B1370" t="s">
        <v>251</v>
      </c>
      <c r="C1370" s="2">
        <v>0.57569999999999999</v>
      </c>
      <c r="D1370" s="2">
        <v>0.2162</v>
      </c>
      <c r="E1370" s="2">
        <v>0.12540000000000001</v>
      </c>
      <c r="F1370" s="2">
        <v>6.2700000000000006E-2</v>
      </c>
      <c r="G1370" s="2">
        <v>5.91E-2</v>
      </c>
      <c r="H1370" s="2">
        <v>5.5399999999999998E-2</v>
      </c>
      <c r="I1370" s="2">
        <v>3.3700000000000001E-2</v>
      </c>
      <c r="J1370" s="2">
        <v>1.23E-2</v>
      </c>
      <c r="K1370" s="2">
        <v>1.61E-2</v>
      </c>
      <c r="L1370" s="2">
        <v>1.32E-2</v>
      </c>
      <c r="M1370" s="2">
        <v>1.3599999999999999E-2</v>
      </c>
      <c r="N1370" s="2">
        <v>9.2999999999999992E-3</v>
      </c>
      <c r="O1370" s="2">
        <v>1.0699999999999999E-2</v>
      </c>
      <c r="P1370" s="2">
        <v>1.2800000000000001E-2</v>
      </c>
      <c r="Q1370" s="2">
        <v>1.12E-2</v>
      </c>
      <c r="R1370" s="2">
        <v>3.8E-3</v>
      </c>
      <c r="S1370" s="2">
        <v>2.3E-3</v>
      </c>
      <c r="U1370">
        <v>1484</v>
      </c>
    </row>
    <row r="1371" spans="1:21" x14ac:dyDescent="0.35">
      <c r="A1371" t="s">
        <v>227</v>
      </c>
      <c r="B1371" t="s">
        <v>252</v>
      </c>
      <c r="C1371" s="2">
        <v>0.5766</v>
      </c>
      <c r="D1371" s="2">
        <v>0.20569999999999999</v>
      </c>
      <c r="E1371" s="2">
        <v>0.15770000000000001</v>
      </c>
      <c r="F1371" s="2">
        <v>8.6900000000000005E-2</v>
      </c>
      <c r="G1371" s="2">
        <v>5.7000000000000002E-2</v>
      </c>
      <c r="H1371" s="2">
        <v>6.3E-2</v>
      </c>
      <c r="I1371" s="2">
        <v>5.7700000000000001E-2</v>
      </c>
      <c r="J1371" s="2">
        <v>4.87E-2</v>
      </c>
      <c r="K1371" s="2">
        <v>2.81E-2</v>
      </c>
      <c r="L1371" s="2">
        <v>9.4000000000000004E-3</v>
      </c>
      <c r="M1371" s="2">
        <v>9.7999999999999997E-3</v>
      </c>
      <c r="N1371" s="2">
        <v>1.7299999999999999E-2</v>
      </c>
      <c r="O1371" s="2">
        <v>1.12E-2</v>
      </c>
      <c r="P1371" s="2">
        <v>5.4000000000000003E-3</v>
      </c>
      <c r="Q1371" s="2">
        <v>8.0000000000000002E-3</v>
      </c>
      <c r="R1371" s="2">
        <v>5.9999999999999995E-4</v>
      </c>
      <c r="S1371" s="2">
        <v>5.0000000000000001E-4</v>
      </c>
      <c r="T1371" s="2">
        <v>1E-3</v>
      </c>
      <c r="U1371">
        <v>490</v>
      </c>
    </row>
    <row r="1372" spans="1:21" x14ac:dyDescent="0.35">
      <c r="A1372" t="s">
        <v>227</v>
      </c>
      <c r="B1372" t="s">
        <v>253</v>
      </c>
      <c r="C1372" s="2">
        <v>0.56459999999999999</v>
      </c>
      <c r="D1372" s="2">
        <v>0.16520000000000001</v>
      </c>
      <c r="E1372" s="2">
        <v>0.1177</v>
      </c>
      <c r="F1372" s="2">
        <v>0.10390000000000001</v>
      </c>
      <c r="G1372" s="2">
        <v>0.10639999999999999</v>
      </c>
      <c r="H1372" s="2">
        <v>6.0699999999999997E-2</v>
      </c>
      <c r="I1372" s="2">
        <v>2.7199999999999998E-2</v>
      </c>
      <c r="K1372" s="2">
        <v>1.9099999999999999E-2</v>
      </c>
      <c r="L1372" s="2">
        <v>4.2299999999999997E-2</v>
      </c>
      <c r="M1372" s="2">
        <v>5.5999999999999999E-3</v>
      </c>
      <c r="N1372" s="2">
        <v>2.52E-2</v>
      </c>
      <c r="O1372" s="2">
        <v>2.92E-2</v>
      </c>
      <c r="P1372" s="2">
        <v>1.7399999999999999E-2</v>
      </c>
      <c r="Q1372" s="2">
        <v>4.4000000000000003E-3</v>
      </c>
      <c r="U1372">
        <v>104</v>
      </c>
    </row>
    <row r="1373" spans="1:21" x14ac:dyDescent="0.35">
      <c r="A1373" s="3" t="s">
        <v>227</v>
      </c>
      <c r="B1373" s="3" t="s">
        <v>254</v>
      </c>
      <c r="C1373" s="4">
        <v>0.89039999999999997</v>
      </c>
      <c r="D1373" s="4">
        <v>0.1096</v>
      </c>
      <c r="E1373" s="4">
        <v>0.1096</v>
      </c>
      <c r="F1373" s="5"/>
      <c r="G1373" s="5"/>
      <c r="H1373" s="5"/>
      <c r="I1373" s="5"/>
      <c r="J1373" s="5"/>
      <c r="K1373" s="5"/>
      <c r="L1373" s="5"/>
      <c r="M1373" s="5"/>
      <c r="N1373" s="5"/>
      <c r="O1373" s="5"/>
      <c r="P1373" s="5"/>
      <c r="Q1373" s="5"/>
      <c r="R1373" s="5"/>
      <c r="S1373" s="5"/>
      <c r="T1373" s="5"/>
      <c r="U1373" s="5" t="s">
        <v>327</v>
      </c>
    </row>
    <row r="1374" spans="1:21" x14ac:dyDescent="0.35">
      <c r="A1374" t="s">
        <v>228</v>
      </c>
      <c r="B1374" t="s">
        <v>228</v>
      </c>
      <c r="C1374" s="2">
        <v>0.57579999999999998</v>
      </c>
      <c r="D1374" s="2">
        <v>0.21099999999999999</v>
      </c>
      <c r="E1374" s="2">
        <v>0.13300000000000001</v>
      </c>
      <c r="F1374" s="2">
        <v>7.0599999999999996E-2</v>
      </c>
      <c r="G1374" s="2">
        <v>6.08E-2</v>
      </c>
      <c r="H1374" s="2">
        <v>5.74E-2</v>
      </c>
      <c r="I1374" s="2">
        <v>3.9300000000000002E-2</v>
      </c>
      <c r="J1374" s="2">
        <v>2.07E-2</v>
      </c>
      <c r="K1374" s="2">
        <v>1.9199999999999998E-2</v>
      </c>
      <c r="L1374" s="2">
        <v>1.37E-2</v>
      </c>
      <c r="M1374" s="2">
        <v>1.23E-2</v>
      </c>
      <c r="N1374" s="2">
        <v>1.2E-2</v>
      </c>
      <c r="O1374" s="2">
        <v>1.17E-2</v>
      </c>
      <c r="P1374" s="2">
        <v>1.12E-2</v>
      </c>
      <c r="Q1374" s="2">
        <v>1.01E-2</v>
      </c>
      <c r="R1374" s="2">
        <v>2.8999999999999998E-3</v>
      </c>
      <c r="S1374" s="2">
        <v>1.8E-3</v>
      </c>
      <c r="T1374" s="2">
        <v>2.9999999999999997E-4</v>
      </c>
      <c r="U1374">
        <v>2083</v>
      </c>
    </row>
    <row r="1376" spans="1:21" x14ac:dyDescent="0.35">
      <c r="A1376" s="1" t="s">
        <v>610</v>
      </c>
    </row>
    <row r="1377" spans="1:7" x14ac:dyDescent="0.35">
      <c r="A1377" t="s">
        <v>219</v>
      </c>
      <c r="B1377" t="s">
        <v>299</v>
      </c>
      <c r="C1377" t="s">
        <v>298</v>
      </c>
      <c r="D1377" t="s">
        <v>277</v>
      </c>
      <c r="E1377" t="s">
        <v>282</v>
      </c>
      <c r="F1377" t="s">
        <v>226</v>
      </c>
    </row>
    <row r="1378" spans="1:7" x14ac:dyDescent="0.35">
      <c r="A1378" t="s">
        <v>227</v>
      </c>
      <c r="B1378" s="2">
        <v>0.627</v>
      </c>
      <c r="C1378" s="2">
        <v>0.3654</v>
      </c>
      <c r="D1378" s="2">
        <v>6.4000000000000003E-3</v>
      </c>
      <c r="E1378" s="2">
        <v>1.1000000000000001E-3</v>
      </c>
      <c r="F1378">
        <v>2813</v>
      </c>
    </row>
    <row r="1379" spans="1:7" x14ac:dyDescent="0.35">
      <c r="A1379" t="s">
        <v>228</v>
      </c>
      <c r="B1379" s="2">
        <v>0.627</v>
      </c>
      <c r="C1379" s="2">
        <v>0.3654</v>
      </c>
      <c r="D1379" s="2">
        <v>6.4000000000000003E-3</v>
      </c>
      <c r="E1379" s="2">
        <v>1.1000000000000001E-3</v>
      </c>
      <c r="F1379">
        <v>2813</v>
      </c>
    </row>
    <row r="1381" spans="1:7" x14ac:dyDescent="0.35">
      <c r="A1381" s="1" t="s">
        <v>611</v>
      </c>
    </row>
    <row r="1382" spans="1:7" x14ac:dyDescent="0.35">
      <c r="A1382" t="s">
        <v>219</v>
      </c>
      <c r="B1382" t="s">
        <v>301</v>
      </c>
      <c r="C1382" t="s">
        <v>299</v>
      </c>
      <c r="D1382" t="s">
        <v>298</v>
      </c>
      <c r="E1382" t="s">
        <v>277</v>
      </c>
      <c r="F1382" t="s">
        <v>282</v>
      </c>
      <c r="G1382" t="s">
        <v>226</v>
      </c>
    </row>
    <row r="1383" spans="1:7" x14ac:dyDescent="0.35">
      <c r="A1383" t="s">
        <v>227</v>
      </c>
      <c r="B1383" t="s">
        <v>238</v>
      </c>
      <c r="C1383" s="2">
        <v>0.76870000000000005</v>
      </c>
      <c r="D1383" s="2">
        <v>0.21829999999999999</v>
      </c>
      <c r="E1383" s="2">
        <v>1.11E-2</v>
      </c>
      <c r="F1383" s="2">
        <v>1.9E-3</v>
      </c>
      <c r="G1383">
        <v>1005</v>
      </c>
    </row>
    <row r="1384" spans="1:7" x14ac:dyDescent="0.35">
      <c r="A1384" t="s">
        <v>227</v>
      </c>
      <c r="B1384" t="s">
        <v>237</v>
      </c>
      <c r="C1384" s="2">
        <v>0.5444</v>
      </c>
      <c r="D1384" s="2">
        <v>0.45119999999999999</v>
      </c>
      <c r="E1384" s="2">
        <v>3.8E-3</v>
      </c>
      <c r="F1384" s="2">
        <v>6.9999999999999999E-4</v>
      </c>
      <c r="G1384">
        <v>1808</v>
      </c>
    </row>
    <row r="1385" spans="1:7" x14ac:dyDescent="0.35">
      <c r="A1385" t="s">
        <v>228</v>
      </c>
      <c r="B1385" t="s">
        <v>228</v>
      </c>
      <c r="C1385" s="2">
        <v>0.627</v>
      </c>
      <c r="D1385" s="2">
        <v>0.3654</v>
      </c>
      <c r="E1385" s="2">
        <v>6.4000000000000003E-3</v>
      </c>
      <c r="F1385" s="2">
        <v>1.1000000000000001E-3</v>
      </c>
      <c r="G1385">
        <v>2813</v>
      </c>
    </row>
    <row r="1387" spans="1:7" x14ac:dyDescent="0.35">
      <c r="A1387" s="1" t="s">
        <v>612</v>
      </c>
    </row>
    <row r="1388" spans="1:7" x14ac:dyDescent="0.35">
      <c r="A1388" t="s">
        <v>219</v>
      </c>
      <c r="B1388" t="s">
        <v>301</v>
      </c>
      <c r="C1388" t="s">
        <v>299</v>
      </c>
      <c r="D1388" t="s">
        <v>298</v>
      </c>
      <c r="E1388" t="s">
        <v>277</v>
      </c>
      <c r="F1388" t="s">
        <v>282</v>
      </c>
      <c r="G1388" t="s">
        <v>226</v>
      </c>
    </row>
    <row r="1389" spans="1:7" x14ac:dyDescent="0.35">
      <c r="A1389" t="s">
        <v>227</v>
      </c>
      <c r="B1389" t="s">
        <v>235</v>
      </c>
      <c r="C1389" s="2">
        <v>0.62980000000000003</v>
      </c>
      <c r="D1389" s="2">
        <v>0.36659999999999998</v>
      </c>
      <c r="E1389" s="2">
        <v>8.9999999999999998E-4</v>
      </c>
      <c r="F1389" s="2">
        <v>2.7000000000000001E-3</v>
      </c>
      <c r="G1389">
        <v>992</v>
      </c>
    </row>
    <row r="1390" spans="1:7" x14ac:dyDescent="0.35">
      <c r="A1390" t="s">
        <v>227</v>
      </c>
      <c r="B1390" t="s">
        <v>234</v>
      </c>
      <c r="C1390" s="2">
        <v>0.62580000000000002</v>
      </c>
      <c r="D1390" s="2">
        <v>0.3649</v>
      </c>
      <c r="E1390" s="2">
        <v>8.8000000000000005E-3</v>
      </c>
      <c r="F1390" s="2">
        <v>5.0000000000000001E-4</v>
      </c>
      <c r="G1390">
        <v>1821</v>
      </c>
    </row>
    <row r="1391" spans="1:7" x14ac:dyDescent="0.35">
      <c r="A1391" t="s">
        <v>228</v>
      </c>
      <c r="B1391" t="s">
        <v>228</v>
      </c>
      <c r="C1391" s="2">
        <v>0.627</v>
      </c>
      <c r="D1391" s="2">
        <v>0.3654</v>
      </c>
      <c r="E1391" s="2">
        <v>6.4000000000000003E-3</v>
      </c>
      <c r="F1391" s="2">
        <v>1.1000000000000001E-3</v>
      </c>
      <c r="G1391">
        <v>2813</v>
      </c>
    </row>
    <row r="1393" spans="1:7" x14ac:dyDescent="0.35">
      <c r="A1393" s="1" t="s">
        <v>613</v>
      </c>
    </row>
    <row r="1394" spans="1:7" x14ac:dyDescent="0.35">
      <c r="A1394" t="s">
        <v>219</v>
      </c>
      <c r="B1394" t="s">
        <v>301</v>
      </c>
      <c r="C1394" t="s">
        <v>299</v>
      </c>
      <c r="D1394" t="s">
        <v>298</v>
      </c>
      <c r="E1394" t="s">
        <v>277</v>
      </c>
      <c r="F1394" t="s">
        <v>282</v>
      </c>
      <c r="G1394" t="s">
        <v>226</v>
      </c>
    </row>
    <row r="1395" spans="1:7" x14ac:dyDescent="0.35">
      <c r="A1395" t="s">
        <v>227</v>
      </c>
      <c r="B1395" t="s">
        <v>240</v>
      </c>
      <c r="C1395" s="2">
        <v>0.64629999999999999</v>
      </c>
      <c r="D1395" s="2">
        <v>0.34350000000000003</v>
      </c>
      <c r="E1395" s="2">
        <v>9.7000000000000003E-3</v>
      </c>
      <c r="F1395" s="2">
        <v>5.0000000000000001E-4</v>
      </c>
      <c r="G1395">
        <v>1756</v>
      </c>
    </row>
    <row r="1396" spans="1:7" x14ac:dyDescent="0.35">
      <c r="A1396" t="s">
        <v>227</v>
      </c>
      <c r="B1396" t="s">
        <v>241</v>
      </c>
      <c r="C1396" s="2">
        <v>0.59740000000000004</v>
      </c>
      <c r="D1396" s="2">
        <v>0.39889999999999998</v>
      </c>
      <c r="E1396" s="2">
        <v>8.9999999999999998E-4</v>
      </c>
      <c r="F1396" s="2">
        <v>2.8E-3</v>
      </c>
      <c r="G1396">
        <v>891</v>
      </c>
    </row>
    <row r="1397" spans="1:7" x14ac:dyDescent="0.35">
      <c r="A1397" t="s">
        <v>227</v>
      </c>
      <c r="B1397" t="s">
        <v>242</v>
      </c>
      <c r="C1397" s="2">
        <v>0.57189999999999996</v>
      </c>
      <c r="D1397" s="2">
        <v>0.42809999999999998</v>
      </c>
      <c r="G1397">
        <v>166</v>
      </c>
    </row>
    <row r="1398" spans="1:7" x14ac:dyDescent="0.35">
      <c r="A1398" t="s">
        <v>228</v>
      </c>
      <c r="B1398" t="s">
        <v>228</v>
      </c>
      <c r="C1398" s="2">
        <v>0.627</v>
      </c>
      <c r="D1398" s="2">
        <v>0.3654</v>
      </c>
      <c r="E1398" s="2">
        <v>6.4000000000000003E-3</v>
      </c>
      <c r="F1398" s="2">
        <v>1.1000000000000001E-3</v>
      </c>
      <c r="G1398">
        <v>2813</v>
      </c>
    </row>
    <row r="1400" spans="1:7" x14ac:dyDescent="0.35">
      <c r="A1400" s="1" t="s">
        <v>614</v>
      </c>
    </row>
    <row r="1401" spans="1:7" x14ac:dyDescent="0.35">
      <c r="A1401" t="s">
        <v>219</v>
      </c>
      <c r="B1401" t="s">
        <v>301</v>
      </c>
      <c r="C1401" t="s">
        <v>299</v>
      </c>
      <c r="D1401" t="s">
        <v>298</v>
      </c>
      <c r="E1401" t="s">
        <v>277</v>
      </c>
      <c r="F1401" t="s">
        <v>282</v>
      </c>
      <c r="G1401" t="s">
        <v>226</v>
      </c>
    </row>
    <row r="1402" spans="1:7" x14ac:dyDescent="0.35">
      <c r="A1402" t="s">
        <v>227</v>
      </c>
      <c r="B1402" t="s">
        <v>334</v>
      </c>
      <c r="C1402" s="2">
        <v>0.66159999999999997</v>
      </c>
      <c r="D1402" s="2">
        <v>0.33139999999999997</v>
      </c>
      <c r="E1402" s="2">
        <v>3.5999999999999999E-3</v>
      </c>
      <c r="F1402" s="2">
        <v>3.3999999999999998E-3</v>
      </c>
      <c r="G1402">
        <v>625</v>
      </c>
    </row>
    <row r="1403" spans="1:7" x14ac:dyDescent="0.35">
      <c r="A1403" t="s">
        <v>227</v>
      </c>
      <c r="B1403" t="s">
        <v>335</v>
      </c>
      <c r="C1403" s="2">
        <v>0.59970000000000001</v>
      </c>
      <c r="D1403" s="2">
        <v>0.38850000000000001</v>
      </c>
      <c r="E1403" s="2">
        <v>1.14E-2</v>
      </c>
      <c r="F1403" s="2">
        <v>4.0000000000000002E-4</v>
      </c>
      <c r="G1403">
        <v>628</v>
      </c>
    </row>
    <row r="1404" spans="1:7" x14ac:dyDescent="0.35">
      <c r="A1404" t="s">
        <v>227</v>
      </c>
      <c r="B1404" t="s">
        <v>336</v>
      </c>
      <c r="C1404" s="2">
        <v>0.63639999999999997</v>
      </c>
      <c r="D1404" s="2">
        <v>0.35539999999999999</v>
      </c>
      <c r="E1404" s="2">
        <v>8.0999999999999996E-3</v>
      </c>
      <c r="G1404">
        <v>621</v>
      </c>
    </row>
    <row r="1405" spans="1:7" x14ac:dyDescent="0.35">
      <c r="A1405" t="s">
        <v>227</v>
      </c>
      <c r="B1405" t="s">
        <v>337</v>
      </c>
      <c r="C1405" s="2">
        <v>0.62690000000000001</v>
      </c>
      <c r="D1405" s="2">
        <v>0.37159999999999999</v>
      </c>
      <c r="E1405" s="2">
        <v>5.0000000000000001E-4</v>
      </c>
      <c r="F1405" s="2">
        <v>1.1000000000000001E-3</v>
      </c>
      <c r="G1405">
        <v>602</v>
      </c>
    </row>
    <row r="1406" spans="1:7" x14ac:dyDescent="0.35">
      <c r="A1406" t="s">
        <v>228</v>
      </c>
      <c r="B1406" t="s">
        <v>228</v>
      </c>
      <c r="C1406" s="2">
        <v>0.627</v>
      </c>
      <c r="D1406" s="2">
        <v>0.3654</v>
      </c>
      <c r="E1406" s="2">
        <v>6.4000000000000003E-3</v>
      </c>
      <c r="F1406" s="2">
        <v>1.1000000000000001E-3</v>
      </c>
      <c r="G1406">
        <v>2476</v>
      </c>
    </row>
    <row r="1408" spans="1:7" x14ac:dyDescent="0.35">
      <c r="A1408" s="1" t="s">
        <v>615</v>
      </c>
    </row>
    <row r="1409" spans="1:7" x14ac:dyDescent="0.35">
      <c r="A1409" t="s">
        <v>219</v>
      </c>
      <c r="B1409" t="s">
        <v>301</v>
      </c>
      <c r="C1409" t="s">
        <v>299</v>
      </c>
      <c r="D1409" t="s">
        <v>298</v>
      </c>
      <c r="E1409" t="s">
        <v>277</v>
      </c>
      <c r="F1409" t="s">
        <v>282</v>
      </c>
      <c r="G1409" t="s">
        <v>226</v>
      </c>
    </row>
    <row r="1410" spans="1:7" x14ac:dyDescent="0.35">
      <c r="A1410" t="s">
        <v>227</v>
      </c>
      <c r="B1410" t="s">
        <v>263</v>
      </c>
      <c r="C1410" s="2">
        <v>0.54779999999999995</v>
      </c>
      <c r="D1410" s="2">
        <v>0.4461</v>
      </c>
      <c r="E1410" s="2">
        <v>4.5999999999999999E-3</v>
      </c>
      <c r="F1410" s="2">
        <v>1.6000000000000001E-3</v>
      </c>
      <c r="G1410">
        <v>589</v>
      </c>
    </row>
    <row r="1411" spans="1:7" x14ac:dyDescent="0.35">
      <c r="A1411" t="s">
        <v>227</v>
      </c>
      <c r="B1411" t="s">
        <v>262</v>
      </c>
      <c r="C1411" s="2">
        <v>0.65349999999999997</v>
      </c>
      <c r="D1411" s="2">
        <v>0.34139999999999998</v>
      </c>
      <c r="E1411" s="2">
        <v>2.8999999999999998E-3</v>
      </c>
      <c r="F1411" s="2">
        <v>2.2000000000000001E-3</v>
      </c>
      <c r="G1411">
        <v>1160</v>
      </c>
    </row>
    <row r="1412" spans="1:7" x14ac:dyDescent="0.35">
      <c r="A1412" t="s">
        <v>227</v>
      </c>
      <c r="B1412" t="s">
        <v>261</v>
      </c>
      <c r="C1412" s="2">
        <v>0.64170000000000005</v>
      </c>
      <c r="D1412" s="2">
        <v>0.34789999999999999</v>
      </c>
      <c r="E1412" s="2">
        <v>1.04E-2</v>
      </c>
      <c r="G1412">
        <v>1062</v>
      </c>
    </row>
    <row r="1413" spans="1:7" x14ac:dyDescent="0.35">
      <c r="A1413" s="3" t="s">
        <v>227</v>
      </c>
      <c r="B1413" s="3" t="s">
        <v>232</v>
      </c>
      <c r="C1413" s="4">
        <v>1</v>
      </c>
      <c r="D1413" s="5"/>
      <c r="E1413" s="5"/>
      <c r="F1413" s="5"/>
      <c r="G1413" s="5" t="s">
        <v>434</v>
      </c>
    </row>
    <row r="1414" spans="1:7" x14ac:dyDescent="0.35">
      <c r="A1414" t="s">
        <v>228</v>
      </c>
      <c r="B1414" t="s">
        <v>228</v>
      </c>
      <c r="C1414" s="2">
        <v>0.627</v>
      </c>
      <c r="D1414" s="2">
        <v>0.3654</v>
      </c>
      <c r="E1414" s="2">
        <v>6.4000000000000003E-3</v>
      </c>
      <c r="F1414" s="2">
        <v>1.1000000000000001E-3</v>
      </c>
      <c r="G1414">
        <v>2813</v>
      </c>
    </row>
    <row r="1416" spans="1:7" x14ac:dyDescent="0.35">
      <c r="A1416" s="1" t="s">
        <v>616</v>
      </c>
    </row>
    <row r="1417" spans="1:7" x14ac:dyDescent="0.35">
      <c r="A1417" t="s">
        <v>219</v>
      </c>
      <c r="B1417" t="s">
        <v>301</v>
      </c>
      <c r="C1417" t="s">
        <v>299</v>
      </c>
      <c r="D1417" t="s">
        <v>298</v>
      </c>
      <c r="E1417" t="s">
        <v>277</v>
      </c>
      <c r="F1417" t="s">
        <v>282</v>
      </c>
      <c r="G1417" t="s">
        <v>226</v>
      </c>
    </row>
    <row r="1418" spans="1:7" x14ac:dyDescent="0.35">
      <c r="A1418" t="s">
        <v>227</v>
      </c>
      <c r="B1418" t="s">
        <v>248</v>
      </c>
      <c r="C1418" s="2">
        <v>0.68169999999999997</v>
      </c>
      <c r="D1418" s="2">
        <v>0.31180000000000002</v>
      </c>
      <c r="E1418" s="2">
        <v>3.8999999999999998E-3</v>
      </c>
      <c r="F1418" s="2">
        <v>2.5999999999999999E-3</v>
      </c>
      <c r="G1418">
        <v>796</v>
      </c>
    </row>
    <row r="1419" spans="1:7" x14ac:dyDescent="0.35">
      <c r="A1419" t="s">
        <v>227</v>
      </c>
      <c r="B1419" t="s">
        <v>249</v>
      </c>
      <c r="C1419" s="2">
        <v>0.71409999999999996</v>
      </c>
      <c r="D1419" s="2">
        <v>0.2823</v>
      </c>
      <c r="E1419" s="2">
        <v>3.5999999999999999E-3</v>
      </c>
      <c r="G1419">
        <v>541</v>
      </c>
    </row>
    <row r="1420" spans="1:7" x14ac:dyDescent="0.35">
      <c r="A1420" t="s">
        <v>227</v>
      </c>
      <c r="B1420" t="s">
        <v>247</v>
      </c>
      <c r="C1420" s="2">
        <v>0.56699999999999995</v>
      </c>
      <c r="D1420" s="2">
        <v>0.4234</v>
      </c>
      <c r="E1420" s="2">
        <v>8.8000000000000005E-3</v>
      </c>
      <c r="F1420" s="2">
        <v>8.0000000000000004E-4</v>
      </c>
      <c r="G1420">
        <v>1476</v>
      </c>
    </row>
    <row r="1421" spans="1:7" x14ac:dyDescent="0.35">
      <c r="A1421" t="s">
        <v>228</v>
      </c>
      <c r="B1421" t="s">
        <v>228</v>
      </c>
      <c r="C1421" s="2">
        <v>0.627</v>
      </c>
      <c r="D1421" s="2">
        <v>0.3654</v>
      </c>
      <c r="E1421" s="2">
        <v>6.4000000000000003E-3</v>
      </c>
      <c r="F1421" s="2">
        <v>1.1000000000000001E-3</v>
      </c>
      <c r="G1421">
        <v>2813</v>
      </c>
    </row>
    <row r="1423" spans="1:7" x14ac:dyDescent="0.35">
      <c r="A1423" s="1" t="s">
        <v>617</v>
      </c>
    </row>
    <row r="1424" spans="1:7" x14ac:dyDescent="0.35">
      <c r="A1424" t="s">
        <v>219</v>
      </c>
      <c r="B1424" t="s">
        <v>301</v>
      </c>
      <c r="C1424" t="s">
        <v>299</v>
      </c>
      <c r="D1424" t="s">
        <v>298</v>
      </c>
      <c r="E1424" t="s">
        <v>277</v>
      </c>
      <c r="F1424" t="s">
        <v>282</v>
      </c>
      <c r="G1424" t="s">
        <v>226</v>
      </c>
    </row>
    <row r="1425" spans="1:7" x14ac:dyDescent="0.35">
      <c r="A1425" t="s">
        <v>227</v>
      </c>
      <c r="B1425" t="s">
        <v>245</v>
      </c>
      <c r="C1425" s="2">
        <v>0.60780000000000001</v>
      </c>
      <c r="D1425" s="2">
        <v>0.38750000000000001</v>
      </c>
      <c r="E1425" s="2">
        <v>3.5999999999999999E-3</v>
      </c>
      <c r="F1425" s="2">
        <v>1.1000000000000001E-3</v>
      </c>
      <c r="G1425">
        <v>783</v>
      </c>
    </row>
    <row r="1426" spans="1:7" x14ac:dyDescent="0.35">
      <c r="A1426" t="s">
        <v>227</v>
      </c>
      <c r="B1426" t="s">
        <v>244</v>
      </c>
      <c r="C1426" s="2">
        <v>0.63460000000000005</v>
      </c>
      <c r="D1426" s="2">
        <v>0.35670000000000002</v>
      </c>
      <c r="E1426" s="2">
        <v>7.6E-3</v>
      </c>
      <c r="F1426" s="2">
        <v>1.1000000000000001E-3</v>
      </c>
      <c r="G1426">
        <v>2030</v>
      </c>
    </row>
    <row r="1427" spans="1:7" x14ac:dyDescent="0.35">
      <c r="A1427" t="s">
        <v>228</v>
      </c>
      <c r="B1427" t="s">
        <v>228</v>
      </c>
      <c r="C1427" s="2">
        <v>0.627</v>
      </c>
      <c r="D1427" s="2">
        <v>0.3654</v>
      </c>
      <c r="E1427" s="2">
        <v>6.4000000000000003E-3</v>
      </c>
      <c r="F1427" s="2">
        <v>1.1000000000000001E-3</v>
      </c>
      <c r="G1427">
        <v>2813</v>
      </c>
    </row>
    <row r="1429" spans="1:7" x14ac:dyDescent="0.35">
      <c r="A1429" s="1" t="s">
        <v>618</v>
      </c>
    </row>
    <row r="1430" spans="1:7" x14ac:dyDescent="0.35">
      <c r="A1430" t="s">
        <v>219</v>
      </c>
      <c r="B1430" t="s">
        <v>301</v>
      </c>
      <c r="C1430" t="s">
        <v>299</v>
      </c>
      <c r="D1430" t="s">
        <v>298</v>
      </c>
      <c r="E1430" t="s">
        <v>277</v>
      </c>
      <c r="F1430" t="s">
        <v>282</v>
      </c>
      <c r="G1430" t="s">
        <v>226</v>
      </c>
    </row>
    <row r="1431" spans="1:7" x14ac:dyDescent="0.35">
      <c r="A1431" t="s">
        <v>227</v>
      </c>
      <c r="B1431" t="s">
        <v>259</v>
      </c>
      <c r="C1431" s="2">
        <v>0.7923</v>
      </c>
      <c r="D1431" s="2">
        <v>0.2077</v>
      </c>
      <c r="G1431">
        <v>69</v>
      </c>
    </row>
    <row r="1432" spans="1:7" x14ac:dyDescent="0.35">
      <c r="A1432" t="s">
        <v>227</v>
      </c>
      <c r="B1432" t="s">
        <v>257</v>
      </c>
      <c r="C1432" s="2">
        <v>0.74260000000000004</v>
      </c>
      <c r="D1432" s="2">
        <v>0.25740000000000002</v>
      </c>
      <c r="G1432">
        <v>405</v>
      </c>
    </row>
    <row r="1433" spans="1:7" x14ac:dyDescent="0.35">
      <c r="A1433" t="s">
        <v>227</v>
      </c>
      <c r="B1433" t="s">
        <v>256</v>
      </c>
      <c r="C1433" s="2">
        <v>0.57550000000000001</v>
      </c>
      <c r="D1433" s="2">
        <v>0.4143</v>
      </c>
      <c r="E1433" s="2">
        <v>8.8999999999999999E-3</v>
      </c>
      <c r="F1433" s="2">
        <v>1.4E-3</v>
      </c>
      <c r="G1433">
        <v>1803</v>
      </c>
    </row>
    <row r="1434" spans="1:7" x14ac:dyDescent="0.35">
      <c r="A1434" s="3" t="s">
        <v>227</v>
      </c>
      <c r="B1434" s="3" t="s">
        <v>232</v>
      </c>
      <c r="C1434" s="4">
        <v>0.86670000000000003</v>
      </c>
      <c r="D1434" s="4">
        <v>0.1333</v>
      </c>
      <c r="E1434" s="5"/>
      <c r="F1434" s="5"/>
      <c r="G1434" s="5" t="s">
        <v>307</v>
      </c>
    </row>
    <row r="1435" spans="1:7" x14ac:dyDescent="0.35">
      <c r="A1435" t="s">
        <v>227</v>
      </c>
      <c r="B1435" t="s">
        <v>258</v>
      </c>
      <c r="C1435" s="2">
        <v>0.70479999999999998</v>
      </c>
      <c r="D1435" s="2">
        <v>0.28989999999999999</v>
      </c>
      <c r="E1435" s="2">
        <v>3.8E-3</v>
      </c>
      <c r="F1435" s="2">
        <v>1.5E-3</v>
      </c>
      <c r="G1435">
        <v>525</v>
      </c>
    </row>
    <row r="1436" spans="1:7" x14ac:dyDescent="0.35">
      <c r="A1436" t="s">
        <v>228</v>
      </c>
      <c r="B1436" t="s">
        <v>228</v>
      </c>
      <c r="C1436" s="2">
        <v>0.627</v>
      </c>
      <c r="D1436" s="2">
        <v>0.3654</v>
      </c>
      <c r="E1436" s="2">
        <v>6.4000000000000003E-3</v>
      </c>
      <c r="F1436" s="2">
        <v>1.1000000000000001E-3</v>
      </c>
      <c r="G1436">
        <v>2813</v>
      </c>
    </row>
    <row r="1438" spans="1:7" x14ac:dyDescent="0.35">
      <c r="A1438" s="1" t="s">
        <v>619</v>
      </c>
    </row>
    <row r="1439" spans="1:7" x14ac:dyDescent="0.35">
      <c r="A1439" t="s">
        <v>219</v>
      </c>
      <c r="B1439" t="s">
        <v>301</v>
      </c>
      <c r="C1439" t="s">
        <v>299</v>
      </c>
      <c r="D1439" t="s">
        <v>298</v>
      </c>
      <c r="E1439" t="s">
        <v>277</v>
      </c>
      <c r="F1439" t="s">
        <v>282</v>
      </c>
      <c r="G1439" t="s">
        <v>226</v>
      </c>
    </row>
    <row r="1440" spans="1:7" x14ac:dyDescent="0.35">
      <c r="A1440" t="s">
        <v>227</v>
      </c>
      <c r="B1440" t="s">
        <v>343</v>
      </c>
      <c r="C1440" s="2">
        <v>0.74260000000000004</v>
      </c>
      <c r="D1440" s="2">
        <v>0.25740000000000002</v>
      </c>
      <c r="G1440">
        <v>405</v>
      </c>
    </row>
    <row r="1441" spans="1:7" x14ac:dyDescent="0.35">
      <c r="A1441" t="s">
        <v>227</v>
      </c>
      <c r="B1441" t="s">
        <v>344</v>
      </c>
      <c r="C1441" s="2">
        <v>0.60350000000000004</v>
      </c>
      <c r="D1441" s="2">
        <v>0.38740000000000002</v>
      </c>
      <c r="E1441" s="2">
        <v>7.7999999999999996E-3</v>
      </c>
      <c r="F1441" s="2">
        <v>1.4E-3</v>
      </c>
      <c r="G1441">
        <v>2408</v>
      </c>
    </row>
    <row r="1442" spans="1:7" x14ac:dyDescent="0.35">
      <c r="A1442" t="s">
        <v>228</v>
      </c>
      <c r="B1442" t="s">
        <v>228</v>
      </c>
      <c r="C1442" s="2">
        <v>0.627</v>
      </c>
      <c r="D1442" s="2">
        <v>0.3654</v>
      </c>
      <c r="E1442" s="2">
        <v>6.4000000000000003E-3</v>
      </c>
      <c r="F1442" s="2">
        <v>1.1000000000000001E-3</v>
      </c>
      <c r="G1442">
        <v>2813</v>
      </c>
    </row>
    <row r="1444" spans="1:7" x14ac:dyDescent="0.35">
      <c r="A1444" s="1" t="s">
        <v>620</v>
      </c>
    </row>
    <row r="1445" spans="1:7" x14ac:dyDescent="0.35">
      <c r="A1445" t="s">
        <v>219</v>
      </c>
      <c r="B1445" t="s">
        <v>301</v>
      </c>
      <c r="C1445" t="s">
        <v>299</v>
      </c>
      <c r="D1445" t="s">
        <v>298</v>
      </c>
      <c r="E1445" t="s">
        <v>277</v>
      </c>
      <c r="F1445" t="s">
        <v>282</v>
      </c>
      <c r="G1445" t="s">
        <v>226</v>
      </c>
    </row>
    <row r="1446" spans="1:7" x14ac:dyDescent="0.35">
      <c r="A1446" t="s">
        <v>227</v>
      </c>
      <c r="B1446" t="s">
        <v>346</v>
      </c>
      <c r="C1446" s="2">
        <v>0.623</v>
      </c>
      <c r="D1446" s="2">
        <v>0.3695</v>
      </c>
      <c r="E1446" s="2">
        <v>6.6E-3</v>
      </c>
      <c r="F1446" s="2">
        <v>8.9999999999999998E-4</v>
      </c>
      <c r="G1446">
        <v>1463</v>
      </c>
    </row>
    <row r="1447" spans="1:7" x14ac:dyDescent="0.35">
      <c r="A1447" t="s">
        <v>227</v>
      </c>
      <c r="B1447" t="s">
        <v>347</v>
      </c>
      <c r="C1447" s="2">
        <v>0.69069999999999998</v>
      </c>
      <c r="D1447" s="2">
        <v>0.30309999999999998</v>
      </c>
      <c r="E1447" s="2">
        <v>3.3E-3</v>
      </c>
      <c r="F1447" s="2">
        <v>2.8999999999999998E-3</v>
      </c>
      <c r="G1447">
        <v>585</v>
      </c>
    </row>
    <row r="1448" spans="1:7" x14ac:dyDescent="0.35">
      <c r="A1448" t="s">
        <v>227</v>
      </c>
      <c r="B1448" t="s">
        <v>348</v>
      </c>
      <c r="C1448" s="2">
        <v>0.63880000000000003</v>
      </c>
      <c r="D1448" s="2">
        <v>0.35239999999999999</v>
      </c>
      <c r="E1448" s="2">
        <v>6.4999999999999997E-3</v>
      </c>
      <c r="F1448" s="2">
        <v>2.3999999999999998E-3</v>
      </c>
      <c r="G1448">
        <v>765</v>
      </c>
    </row>
    <row r="1449" spans="1:7" x14ac:dyDescent="0.35">
      <c r="A1449" t="s">
        <v>228</v>
      </c>
      <c r="B1449" t="s">
        <v>228</v>
      </c>
      <c r="C1449" s="2">
        <v>0.627</v>
      </c>
      <c r="D1449" s="2">
        <v>0.3654</v>
      </c>
      <c r="E1449" s="2">
        <v>6.4000000000000003E-3</v>
      </c>
      <c r="F1449" s="2">
        <v>1.1000000000000001E-3</v>
      </c>
      <c r="G1449">
        <v>2813</v>
      </c>
    </row>
    <row r="1451" spans="1:7" x14ac:dyDescent="0.35">
      <c r="A1451" s="1" t="s">
        <v>621</v>
      </c>
    </row>
    <row r="1452" spans="1:7" x14ac:dyDescent="0.35">
      <c r="A1452" t="s">
        <v>219</v>
      </c>
      <c r="B1452" t="s">
        <v>301</v>
      </c>
      <c r="C1452" t="s">
        <v>299</v>
      </c>
      <c r="D1452" t="s">
        <v>298</v>
      </c>
      <c r="E1452" t="s">
        <v>277</v>
      </c>
      <c r="F1452" t="s">
        <v>282</v>
      </c>
      <c r="G1452" t="s">
        <v>226</v>
      </c>
    </row>
    <row r="1453" spans="1:7" x14ac:dyDescent="0.35">
      <c r="A1453" t="s">
        <v>227</v>
      </c>
      <c r="B1453" t="s">
        <v>251</v>
      </c>
      <c r="C1453" s="2">
        <v>0.63460000000000005</v>
      </c>
      <c r="D1453" s="2">
        <v>0.35670000000000002</v>
      </c>
      <c r="E1453" s="2">
        <v>7.6E-3</v>
      </c>
      <c r="F1453" s="2">
        <v>1.1000000000000001E-3</v>
      </c>
      <c r="G1453">
        <v>2030</v>
      </c>
    </row>
    <row r="1454" spans="1:7" x14ac:dyDescent="0.35">
      <c r="A1454" t="s">
        <v>227</v>
      </c>
      <c r="B1454" t="s">
        <v>252</v>
      </c>
      <c r="C1454" s="2">
        <v>0.65920000000000001</v>
      </c>
      <c r="D1454" s="2">
        <v>0.33939999999999998</v>
      </c>
      <c r="F1454" s="2">
        <v>1.4E-3</v>
      </c>
      <c r="G1454">
        <v>621</v>
      </c>
    </row>
    <row r="1455" spans="1:7" x14ac:dyDescent="0.35">
      <c r="A1455" t="s">
        <v>227</v>
      </c>
      <c r="B1455" t="s">
        <v>253</v>
      </c>
      <c r="C1455" s="2">
        <v>0.38140000000000002</v>
      </c>
      <c r="D1455" s="2">
        <v>0.59909999999999997</v>
      </c>
      <c r="E1455" s="2">
        <v>1.95E-2</v>
      </c>
      <c r="G1455">
        <v>153</v>
      </c>
    </row>
    <row r="1456" spans="1:7" x14ac:dyDescent="0.35">
      <c r="A1456" s="3" t="s">
        <v>227</v>
      </c>
      <c r="B1456" s="3" t="s">
        <v>254</v>
      </c>
      <c r="C1456" s="4">
        <v>0.65739999999999998</v>
      </c>
      <c r="D1456" s="4">
        <v>0.34260000000000002</v>
      </c>
      <c r="E1456" s="5"/>
      <c r="F1456" s="5"/>
      <c r="G1456" s="5" t="s">
        <v>515</v>
      </c>
    </row>
    <row r="1457" spans="1:8" x14ac:dyDescent="0.35">
      <c r="A1457" t="s">
        <v>228</v>
      </c>
      <c r="B1457" t="s">
        <v>228</v>
      </c>
      <c r="C1457" s="2">
        <v>0.627</v>
      </c>
      <c r="D1457" s="2">
        <v>0.3654</v>
      </c>
      <c r="E1457" s="2">
        <v>6.4000000000000003E-3</v>
      </c>
      <c r="F1457" s="2">
        <v>1.1000000000000001E-3</v>
      </c>
      <c r="G1457">
        <v>2813</v>
      </c>
    </row>
    <row r="1459" spans="1:8" x14ac:dyDescent="0.35">
      <c r="A1459" s="1" t="s">
        <v>622</v>
      </c>
    </row>
    <row r="1460" spans="1:8" x14ac:dyDescent="0.35">
      <c r="A1460" t="s">
        <v>219</v>
      </c>
      <c r="B1460" t="s">
        <v>623</v>
      </c>
      <c r="C1460" t="s">
        <v>624</v>
      </c>
      <c r="D1460" t="s">
        <v>625</v>
      </c>
      <c r="E1460" t="s">
        <v>626</v>
      </c>
      <c r="F1460" t="s">
        <v>277</v>
      </c>
      <c r="G1460" t="s">
        <v>226</v>
      </c>
    </row>
    <row r="1461" spans="1:8" x14ac:dyDescent="0.35">
      <c r="A1461" t="s">
        <v>227</v>
      </c>
      <c r="B1461" s="2">
        <v>0.33129999999999998</v>
      </c>
      <c r="C1461" s="2">
        <v>0.2382</v>
      </c>
      <c r="D1461" s="2">
        <v>0.2298</v>
      </c>
      <c r="E1461" s="2">
        <v>0.18329999999999999</v>
      </c>
      <c r="F1461" s="2">
        <v>1.7399999999999999E-2</v>
      </c>
      <c r="G1461">
        <v>1777</v>
      </c>
    </row>
    <row r="1462" spans="1:8" x14ac:dyDescent="0.35">
      <c r="A1462" t="s">
        <v>228</v>
      </c>
      <c r="B1462" s="2">
        <v>0.33129999999999998</v>
      </c>
      <c r="C1462" s="2">
        <v>0.2382</v>
      </c>
      <c r="D1462" s="2">
        <v>0.2298</v>
      </c>
      <c r="E1462" s="2">
        <v>0.18329999999999999</v>
      </c>
      <c r="F1462" s="2">
        <v>1.7399999999999999E-2</v>
      </c>
      <c r="G1462">
        <v>1777</v>
      </c>
    </row>
    <row r="1464" spans="1:8" x14ac:dyDescent="0.35">
      <c r="A1464" s="1" t="s">
        <v>627</v>
      </c>
    </row>
    <row r="1465" spans="1:8" x14ac:dyDescent="0.35">
      <c r="A1465" t="s">
        <v>219</v>
      </c>
      <c r="B1465" t="s">
        <v>301</v>
      </c>
      <c r="C1465" t="s">
        <v>623</v>
      </c>
      <c r="D1465" t="s">
        <v>624</v>
      </c>
      <c r="E1465" t="s">
        <v>625</v>
      </c>
      <c r="F1465" t="s">
        <v>626</v>
      </c>
      <c r="G1465" t="s">
        <v>277</v>
      </c>
      <c r="H1465" t="s">
        <v>226</v>
      </c>
    </row>
    <row r="1466" spans="1:8" x14ac:dyDescent="0.35">
      <c r="A1466" t="s">
        <v>227</v>
      </c>
      <c r="B1466" t="s">
        <v>238</v>
      </c>
      <c r="C1466" s="2">
        <v>0.28220000000000001</v>
      </c>
      <c r="D1466" s="2">
        <v>0.2291</v>
      </c>
      <c r="E1466" s="2">
        <v>0.22919999999999999</v>
      </c>
      <c r="F1466" s="2">
        <v>0.24399999999999999</v>
      </c>
      <c r="G1466" s="2">
        <v>1.55E-2</v>
      </c>
      <c r="H1466">
        <v>790</v>
      </c>
    </row>
    <row r="1467" spans="1:8" x14ac:dyDescent="0.35">
      <c r="A1467" t="s">
        <v>227</v>
      </c>
      <c r="B1467" t="s">
        <v>237</v>
      </c>
      <c r="C1467" s="2">
        <v>0.37169999999999997</v>
      </c>
      <c r="D1467" s="2">
        <v>0.24560000000000001</v>
      </c>
      <c r="E1467" s="2">
        <v>0.23019999999999999</v>
      </c>
      <c r="F1467" s="2">
        <v>0.13339999999999999</v>
      </c>
      <c r="G1467" s="2">
        <v>1.9099999999999999E-2</v>
      </c>
      <c r="H1467">
        <v>987</v>
      </c>
    </row>
    <row r="1468" spans="1:8" x14ac:dyDescent="0.35">
      <c r="A1468" t="s">
        <v>228</v>
      </c>
      <c r="B1468" t="s">
        <v>228</v>
      </c>
      <c r="C1468" s="2">
        <v>0.33129999999999998</v>
      </c>
      <c r="D1468" s="2">
        <v>0.2382</v>
      </c>
      <c r="E1468" s="2">
        <v>0.2298</v>
      </c>
      <c r="F1468" s="2">
        <v>0.18329999999999999</v>
      </c>
      <c r="G1468" s="2">
        <v>1.7399999999999999E-2</v>
      </c>
      <c r="H1468">
        <v>1777</v>
      </c>
    </row>
    <row r="1470" spans="1:8" x14ac:dyDescent="0.35">
      <c r="A1470" s="1" t="s">
        <v>628</v>
      </c>
    </row>
    <row r="1471" spans="1:8" x14ac:dyDescent="0.35">
      <c r="A1471" t="s">
        <v>219</v>
      </c>
      <c r="B1471" t="s">
        <v>301</v>
      </c>
      <c r="C1471" t="s">
        <v>623</v>
      </c>
      <c r="D1471" t="s">
        <v>624</v>
      </c>
      <c r="E1471" t="s">
        <v>625</v>
      </c>
      <c r="F1471" t="s">
        <v>626</v>
      </c>
      <c r="G1471" t="s">
        <v>277</v>
      </c>
      <c r="H1471" t="s">
        <v>226</v>
      </c>
    </row>
    <row r="1472" spans="1:8" x14ac:dyDescent="0.35">
      <c r="A1472" t="s">
        <v>227</v>
      </c>
      <c r="B1472" t="s">
        <v>235</v>
      </c>
      <c r="C1472" s="2">
        <v>0.34920000000000001</v>
      </c>
      <c r="D1472" s="2">
        <v>0.19170000000000001</v>
      </c>
      <c r="E1472" s="2">
        <v>0.26</v>
      </c>
      <c r="F1472" s="2">
        <v>0.18240000000000001</v>
      </c>
      <c r="G1472" s="2">
        <v>1.6799999999999999E-2</v>
      </c>
      <c r="H1472">
        <v>612</v>
      </c>
    </row>
    <row r="1473" spans="1:8" x14ac:dyDescent="0.35">
      <c r="A1473" t="s">
        <v>227</v>
      </c>
      <c r="B1473" t="s">
        <v>234</v>
      </c>
      <c r="C1473" s="2">
        <v>0.32369999999999999</v>
      </c>
      <c r="D1473" s="2">
        <v>0.25769999999999998</v>
      </c>
      <c r="E1473" s="2">
        <v>0.217</v>
      </c>
      <c r="F1473" s="2">
        <v>0.1837</v>
      </c>
      <c r="G1473" s="2">
        <v>1.77E-2</v>
      </c>
      <c r="H1473">
        <v>1165</v>
      </c>
    </row>
    <row r="1474" spans="1:8" x14ac:dyDescent="0.35">
      <c r="A1474" t="s">
        <v>228</v>
      </c>
      <c r="B1474" t="s">
        <v>228</v>
      </c>
      <c r="C1474" s="2">
        <v>0.33129999999999998</v>
      </c>
      <c r="D1474" s="2">
        <v>0.2382</v>
      </c>
      <c r="E1474" s="2">
        <v>0.2298</v>
      </c>
      <c r="F1474" s="2">
        <v>0.18329999999999999</v>
      </c>
      <c r="G1474" s="2">
        <v>1.7399999999999999E-2</v>
      </c>
      <c r="H1474">
        <v>1777</v>
      </c>
    </row>
    <row r="1476" spans="1:8" x14ac:dyDescent="0.35">
      <c r="A1476" s="1" t="s">
        <v>629</v>
      </c>
    </row>
    <row r="1477" spans="1:8" x14ac:dyDescent="0.35">
      <c r="A1477" t="s">
        <v>219</v>
      </c>
      <c r="B1477" t="s">
        <v>301</v>
      </c>
      <c r="C1477" t="s">
        <v>623</v>
      </c>
      <c r="D1477" t="s">
        <v>624</v>
      </c>
      <c r="E1477" t="s">
        <v>625</v>
      </c>
      <c r="F1477" t="s">
        <v>626</v>
      </c>
      <c r="G1477" t="s">
        <v>277</v>
      </c>
      <c r="H1477" t="s">
        <v>226</v>
      </c>
    </row>
    <row r="1478" spans="1:8" x14ac:dyDescent="0.35">
      <c r="A1478" t="s">
        <v>227</v>
      </c>
      <c r="B1478" t="s">
        <v>240</v>
      </c>
      <c r="C1478" s="2">
        <v>0.33960000000000001</v>
      </c>
      <c r="D1478" s="2">
        <v>0.24779999999999999</v>
      </c>
      <c r="E1478" s="2">
        <v>0.2223</v>
      </c>
      <c r="F1478" s="2">
        <v>0.17349999999999999</v>
      </c>
      <c r="G1478" s="2">
        <v>1.6799999999999999E-2</v>
      </c>
      <c r="H1478">
        <v>1138</v>
      </c>
    </row>
    <row r="1479" spans="1:8" x14ac:dyDescent="0.35">
      <c r="A1479" t="s">
        <v>227</v>
      </c>
      <c r="B1479" t="s">
        <v>241</v>
      </c>
      <c r="C1479" s="2">
        <v>0.31330000000000002</v>
      </c>
      <c r="D1479" s="2">
        <v>0.23230000000000001</v>
      </c>
      <c r="E1479" s="2">
        <v>0.255</v>
      </c>
      <c r="F1479" s="2">
        <v>0.17660000000000001</v>
      </c>
      <c r="G1479" s="2">
        <v>2.2700000000000001E-2</v>
      </c>
      <c r="H1479">
        <v>536</v>
      </c>
    </row>
    <row r="1480" spans="1:8" x14ac:dyDescent="0.35">
      <c r="A1480" t="s">
        <v>227</v>
      </c>
      <c r="B1480" t="s">
        <v>242</v>
      </c>
      <c r="C1480" s="2">
        <v>0.32479999999999998</v>
      </c>
      <c r="D1480" s="2">
        <v>0.15970000000000001</v>
      </c>
      <c r="E1480" s="2">
        <v>0.19339999999999999</v>
      </c>
      <c r="F1480" s="2">
        <v>0.3221</v>
      </c>
      <c r="H1480">
        <v>103</v>
      </c>
    </row>
    <row r="1481" spans="1:8" x14ac:dyDescent="0.35">
      <c r="A1481" t="s">
        <v>228</v>
      </c>
      <c r="B1481" t="s">
        <v>228</v>
      </c>
      <c r="C1481" s="2">
        <v>0.33129999999999998</v>
      </c>
      <c r="D1481" s="2">
        <v>0.2382</v>
      </c>
      <c r="E1481" s="2">
        <v>0.2298</v>
      </c>
      <c r="F1481" s="2">
        <v>0.18329999999999999</v>
      </c>
      <c r="G1481" s="2">
        <v>1.7399999999999999E-2</v>
      </c>
      <c r="H1481">
        <v>1777</v>
      </c>
    </row>
    <row r="1483" spans="1:8" x14ac:dyDescent="0.35">
      <c r="A1483" s="1" t="s">
        <v>630</v>
      </c>
    </row>
    <row r="1484" spans="1:8" x14ac:dyDescent="0.35">
      <c r="A1484" t="s">
        <v>219</v>
      </c>
      <c r="B1484" t="s">
        <v>301</v>
      </c>
      <c r="C1484" t="s">
        <v>623</v>
      </c>
      <c r="D1484" t="s">
        <v>624</v>
      </c>
      <c r="E1484" t="s">
        <v>625</v>
      </c>
      <c r="F1484" t="s">
        <v>626</v>
      </c>
      <c r="G1484" t="s">
        <v>277</v>
      </c>
      <c r="H1484" t="s">
        <v>226</v>
      </c>
    </row>
    <row r="1485" spans="1:8" x14ac:dyDescent="0.35">
      <c r="A1485" t="s">
        <v>227</v>
      </c>
      <c r="B1485" t="s">
        <v>334</v>
      </c>
      <c r="C1485" s="2">
        <v>0.29830000000000001</v>
      </c>
      <c r="D1485" s="2">
        <v>0.1903</v>
      </c>
      <c r="E1485" s="2">
        <v>0.25469999999999998</v>
      </c>
      <c r="F1485" s="2">
        <v>0.24890000000000001</v>
      </c>
      <c r="G1485" s="2">
        <v>7.7999999999999996E-3</v>
      </c>
      <c r="H1485">
        <v>446</v>
      </c>
    </row>
    <row r="1486" spans="1:8" x14ac:dyDescent="0.35">
      <c r="A1486" t="s">
        <v>227</v>
      </c>
      <c r="B1486" t="s">
        <v>335</v>
      </c>
      <c r="C1486" s="2">
        <v>0.3493</v>
      </c>
      <c r="D1486" s="2">
        <v>0.23269999999999999</v>
      </c>
      <c r="E1486" s="2">
        <v>0.22570000000000001</v>
      </c>
      <c r="F1486" s="2">
        <v>0.1759</v>
      </c>
      <c r="G1486" s="2">
        <v>1.6400000000000001E-2</v>
      </c>
      <c r="H1486">
        <v>369</v>
      </c>
    </row>
    <row r="1487" spans="1:8" x14ac:dyDescent="0.35">
      <c r="A1487" t="s">
        <v>227</v>
      </c>
      <c r="B1487" t="s">
        <v>336</v>
      </c>
      <c r="C1487" s="2">
        <v>0.34939999999999999</v>
      </c>
      <c r="D1487" s="2">
        <v>0.2445</v>
      </c>
      <c r="E1487" s="2">
        <v>0.24540000000000001</v>
      </c>
      <c r="F1487" s="2">
        <v>0.1384</v>
      </c>
      <c r="G1487" s="2">
        <v>2.23E-2</v>
      </c>
      <c r="H1487">
        <v>415</v>
      </c>
    </row>
    <row r="1488" spans="1:8" x14ac:dyDescent="0.35">
      <c r="A1488" t="s">
        <v>227</v>
      </c>
      <c r="B1488" t="s">
        <v>337</v>
      </c>
      <c r="C1488" s="2">
        <v>0.3266</v>
      </c>
      <c r="D1488" s="2">
        <v>0.26440000000000002</v>
      </c>
      <c r="E1488" s="2">
        <v>0.21779999999999999</v>
      </c>
      <c r="F1488" s="2">
        <v>0.1769</v>
      </c>
      <c r="G1488" s="2">
        <v>1.43E-2</v>
      </c>
      <c r="H1488">
        <v>374</v>
      </c>
    </row>
    <row r="1489" spans="1:8" x14ac:dyDescent="0.35">
      <c r="A1489" t="s">
        <v>228</v>
      </c>
      <c r="B1489" t="s">
        <v>228</v>
      </c>
      <c r="C1489" s="2">
        <v>0.33129999999999998</v>
      </c>
      <c r="D1489" s="2">
        <v>0.2382</v>
      </c>
      <c r="E1489" s="2">
        <v>0.2298</v>
      </c>
      <c r="F1489" s="2">
        <v>0.18329999999999999</v>
      </c>
      <c r="G1489" s="2">
        <v>1.7399999999999999E-2</v>
      </c>
      <c r="H1489">
        <v>1604</v>
      </c>
    </row>
    <row r="1491" spans="1:8" x14ac:dyDescent="0.35">
      <c r="A1491" s="1" t="s">
        <v>631</v>
      </c>
    </row>
    <row r="1492" spans="1:8" x14ac:dyDescent="0.35">
      <c r="A1492" t="s">
        <v>219</v>
      </c>
      <c r="B1492" t="s">
        <v>301</v>
      </c>
      <c r="C1492" t="s">
        <v>623</v>
      </c>
      <c r="D1492" t="s">
        <v>624</v>
      </c>
      <c r="E1492" t="s">
        <v>625</v>
      </c>
      <c r="F1492" t="s">
        <v>626</v>
      </c>
      <c r="G1492" t="s">
        <v>277</v>
      </c>
      <c r="H1492" t="s">
        <v>226</v>
      </c>
    </row>
    <row r="1493" spans="1:8" x14ac:dyDescent="0.35">
      <c r="A1493" t="s">
        <v>227</v>
      </c>
      <c r="B1493" t="s">
        <v>263</v>
      </c>
      <c r="C1493" s="2">
        <v>0.3251</v>
      </c>
      <c r="D1493" s="2">
        <v>0.23169999999999999</v>
      </c>
      <c r="E1493" s="2">
        <v>0.2487</v>
      </c>
      <c r="F1493" s="2">
        <v>0.17349999999999999</v>
      </c>
      <c r="G1493" s="2">
        <v>2.1000000000000001E-2</v>
      </c>
      <c r="H1493">
        <v>321</v>
      </c>
    </row>
    <row r="1494" spans="1:8" x14ac:dyDescent="0.35">
      <c r="A1494" t="s">
        <v>227</v>
      </c>
      <c r="B1494" t="s">
        <v>262</v>
      </c>
      <c r="C1494" s="2">
        <v>0.3039</v>
      </c>
      <c r="D1494" s="2">
        <v>0.24379999999999999</v>
      </c>
      <c r="E1494" s="2">
        <v>0.26050000000000001</v>
      </c>
      <c r="F1494" s="2">
        <v>0.1794</v>
      </c>
      <c r="G1494" s="2">
        <v>1.24E-2</v>
      </c>
      <c r="H1494">
        <v>774</v>
      </c>
    </row>
    <row r="1495" spans="1:8" x14ac:dyDescent="0.35">
      <c r="A1495" t="s">
        <v>227</v>
      </c>
      <c r="B1495" t="s">
        <v>261</v>
      </c>
      <c r="C1495" s="2">
        <v>0.35720000000000002</v>
      </c>
      <c r="D1495" s="2">
        <v>0.23699999999999999</v>
      </c>
      <c r="E1495" s="2">
        <v>0.19589999999999999</v>
      </c>
      <c r="F1495" s="2">
        <v>0.18940000000000001</v>
      </c>
      <c r="G1495" s="2">
        <v>2.0500000000000001E-2</v>
      </c>
      <c r="H1495">
        <v>680</v>
      </c>
    </row>
    <row r="1496" spans="1:8" x14ac:dyDescent="0.35">
      <c r="A1496" s="3" t="s">
        <v>227</v>
      </c>
      <c r="B1496" s="3" t="s">
        <v>232</v>
      </c>
      <c r="C1496" s="4">
        <v>0.5</v>
      </c>
      <c r="D1496" s="5"/>
      <c r="E1496" s="5"/>
      <c r="F1496" s="4">
        <v>0.5</v>
      </c>
      <c r="G1496" s="5"/>
      <c r="H1496" s="5" t="s">
        <v>434</v>
      </c>
    </row>
    <row r="1497" spans="1:8" x14ac:dyDescent="0.35">
      <c r="A1497" t="s">
        <v>228</v>
      </c>
      <c r="B1497" t="s">
        <v>228</v>
      </c>
      <c r="C1497" s="2">
        <v>0.33129999999999998</v>
      </c>
      <c r="D1497" s="2">
        <v>0.2382</v>
      </c>
      <c r="E1497" s="2">
        <v>0.2298</v>
      </c>
      <c r="F1497" s="2">
        <v>0.18329999999999999</v>
      </c>
      <c r="G1497" s="2">
        <v>1.7399999999999999E-2</v>
      </c>
      <c r="H1497">
        <v>1777</v>
      </c>
    </row>
    <row r="1499" spans="1:8" x14ac:dyDescent="0.35">
      <c r="A1499" s="1" t="s">
        <v>632</v>
      </c>
    </row>
    <row r="1500" spans="1:8" x14ac:dyDescent="0.35">
      <c r="A1500" t="s">
        <v>219</v>
      </c>
      <c r="B1500" t="s">
        <v>301</v>
      </c>
      <c r="C1500" t="s">
        <v>623</v>
      </c>
      <c r="D1500" t="s">
        <v>624</v>
      </c>
      <c r="E1500" t="s">
        <v>625</v>
      </c>
      <c r="F1500" t="s">
        <v>626</v>
      </c>
      <c r="G1500" t="s">
        <v>277</v>
      </c>
      <c r="H1500" t="s">
        <v>226</v>
      </c>
    </row>
    <row r="1501" spans="1:8" x14ac:dyDescent="0.35">
      <c r="A1501" t="s">
        <v>227</v>
      </c>
      <c r="B1501" t="s">
        <v>248</v>
      </c>
      <c r="C1501" s="2">
        <v>0.37490000000000001</v>
      </c>
      <c r="D1501" s="2">
        <v>0.2084</v>
      </c>
      <c r="E1501" s="2">
        <v>0.22170000000000001</v>
      </c>
      <c r="F1501" s="2">
        <v>0.18390000000000001</v>
      </c>
      <c r="G1501" s="2">
        <v>1.11E-2</v>
      </c>
      <c r="H1501">
        <v>574</v>
      </c>
    </row>
    <row r="1502" spans="1:8" x14ac:dyDescent="0.35">
      <c r="A1502" t="s">
        <v>227</v>
      </c>
      <c r="B1502" t="s">
        <v>249</v>
      </c>
      <c r="C1502" s="2">
        <v>0.33779999999999999</v>
      </c>
      <c r="D1502" s="2">
        <v>0.21690000000000001</v>
      </c>
      <c r="E1502" s="2">
        <v>0.22189999999999999</v>
      </c>
      <c r="F1502" s="2">
        <v>0.2036</v>
      </c>
      <c r="G1502" s="2">
        <v>1.9800000000000002E-2</v>
      </c>
      <c r="H1502">
        <v>390</v>
      </c>
    </row>
    <row r="1503" spans="1:8" x14ac:dyDescent="0.35">
      <c r="A1503" t="s">
        <v>227</v>
      </c>
      <c r="B1503" t="s">
        <v>247</v>
      </c>
      <c r="C1503" s="2">
        <v>0.30120000000000002</v>
      </c>
      <c r="D1503" s="2">
        <v>0.26640000000000003</v>
      </c>
      <c r="E1503" s="2">
        <v>0.2384</v>
      </c>
      <c r="F1503" s="2">
        <v>0.17369999999999999</v>
      </c>
      <c r="G1503" s="2">
        <v>2.0299999999999999E-2</v>
      </c>
      <c r="H1503">
        <v>813</v>
      </c>
    </row>
    <row r="1504" spans="1:8" x14ac:dyDescent="0.35">
      <c r="A1504" t="s">
        <v>228</v>
      </c>
      <c r="B1504" t="s">
        <v>228</v>
      </c>
      <c r="C1504" s="2">
        <v>0.33129999999999998</v>
      </c>
      <c r="D1504" s="2">
        <v>0.2382</v>
      </c>
      <c r="E1504" s="2">
        <v>0.2298</v>
      </c>
      <c r="F1504" s="2">
        <v>0.18329999999999999</v>
      </c>
      <c r="G1504" s="2">
        <v>1.7399999999999999E-2</v>
      </c>
      <c r="H1504">
        <v>1777</v>
      </c>
    </row>
    <row r="1506" spans="1:8" x14ac:dyDescent="0.35">
      <c r="A1506" s="1" t="s">
        <v>633</v>
      </c>
    </row>
    <row r="1507" spans="1:8" x14ac:dyDescent="0.35">
      <c r="A1507" t="s">
        <v>219</v>
      </c>
      <c r="B1507" t="s">
        <v>301</v>
      </c>
      <c r="C1507" t="s">
        <v>623</v>
      </c>
      <c r="D1507" t="s">
        <v>624</v>
      </c>
      <c r="E1507" t="s">
        <v>625</v>
      </c>
      <c r="F1507" t="s">
        <v>626</v>
      </c>
      <c r="G1507" t="s">
        <v>277</v>
      </c>
      <c r="H1507" t="s">
        <v>226</v>
      </c>
    </row>
    <row r="1508" spans="1:8" x14ac:dyDescent="0.35">
      <c r="A1508" t="s">
        <v>227</v>
      </c>
      <c r="B1508" t="s">
        <v>245</v>
      </c>
      <c r="C1508" s="2">
        <v>0.3054</v>
      </c>
      <c r="D1508" s="2">
        <v>0.24490000000000001</v>
      </c>
      <c r="E1508" s="2">
        <v>0.223</v>
      </c>
      <c r="F1508" s="2">
        <v>0.2016</v>
      </c>
      <c r="G1508" s="2">
        <v>2.5100000000000001E-2</v>
      </c>
      <c r="H1508">
        <v>474</v>
      </c>
    </row>
    <row r="1509" spans="1:8" x14ac:dyDescent="0.35">
      <c r="A1509" t="s">
        <v>227</v>
      </c>
      <c r="B1509" t="s">
        <v>244</v>
      </c>
      <c r="C1509" s="2">
        <v>0.34110000000000001</v>
      </c>
      <c r="D1509" s="2">
        <v>0.2356</v>
      </c>
      <c r="E1509" s="2">
        <v>0.23230000000000001</v>
      </c>
      <c r="F1509" s="2">
        <v>0.1764</v>
      </c>
      <c r="G1509" s="2">
        <v>1.4500000000000001E-2</v>
      </c>
      <c r="H1509">
        <v>1303</v>
      </c>
    </row>
    <row r="1510" spans="1:8" x14ac:dyDescent="0.35">
      <c r="A1510" t="s">
        <v>228</v>
      </c>
      <c r="B1510" t="s">
        <v>228</v>
      </c>
      <c r="C1510" s="2">
        <v>0.33129999999999998</v>
      </c>
      <c r="D1510" s="2">
        <v>0.2382</v>
      </c>
      <c r="E1510" s="2">
        <v>0.2298</v>
      </c>
      <c r="F1510" s="2">
        <v>0.18329999999999999</v>
      </c>
      <c r="G1510" s="2">
        <v>1.7399999999999999E-2</v>
      </c>
      <c r="H1510">
        <v>1777</v>
      </c>
    </row>
    <row r="1512" spans="1:8" x14ac:dyDescent="0.35">
      <c r="A1512" s="1" t="s">
        <v>634</v>
      </c>
    </row>
    <row r="1513" spans="1:8" x14ac:dyDescent="0.35">
      <c r="A1513" t="s">
        <v>219</v>
      </c>
      <c r="B1513" t="s">
        <v>301</v>
      </c>
      <c r="C1513" t="s">
        <v>623</v>
      </c>
      <c r="D1513" t="s">
        <v>624</v>
      </c>
      <c r="E1513" t="s">
        <v>625</v>
      </c>
      <c r="F1513" t="s">
        <v>626</v>
      </c>
      <c r="G1513" t="s">
        <v>277</v>
      </c>
      <c r="H1513" t="s">
        <v>226</v>
      </c>
    </row>
    <row r="1514" spans="1:8" x14ac:dyDescent="0.35">
      <c r="A1514" t="s">
        <v>227</v>
      </c>
      <c r="B1514" t="s">
        <v>259</v>
      </c>
      <c r="C1514" s="2">
        <v>0.13500000000000001</v>
      </c>
      <c r="D1514" s="2">
        <v>0.58489999999999998</v>
      </c>
      <c r="E1514" s="2">
        <v>0.2364</v>
      </c>
      <c r="F1514" s="2">
        <v>4.02E-2</v>
      </c>
      <c r="G1514" s="2">
        <v>3.5000000000000001E-3</v>
      </c>
      <c r="H1514">
        <v>54</v>
      </c>
    </row>
    <row r="1515" spans="1:8" x14ac:dyDescent="0.35">
      <c r="A1515" t="s">
        <v>227</v>
      </c>
      <c r="B1515" t="s">
        <v>257</v>
      </c>
      <c r="C1515" s="2">
        <v>0.28050000000000003</v>
      </c>
      <c r="D1515" s="2">
        <v>0.28789999999999999</v>
      </c>
      <c r="E1515" s="2">
        <v>0.17910000000000001</v>
      </c>
      <c r="F1515" s="2">
        <v>0.2198</v>
      </c>
      <c r="G1515" s="2">
        <v>3.27E-2</v>
      </c>
      <c r="H1515">
        <v>309</v>
      </c>
    </row>
    <row r="1516" spans="1:8" x14ac:dyDescent="0.35">
      <c r="A1516" t="s">
        <v>227</v>
      </c>
      <c r="B1516" t="s">
        <v>256</v>
      </c>
      <c r="C1516" s="2">
        <v>0.3634</v>
      </c>
      <c r="D1516" s="2">
        <v>0.20810000000000001</v>
      </c>
      <c r="E1516" s="2">
        <v>0.22450000000000001</v>
      </c>
      <c r="F1516" s="2">
        <v>0.18909999999999999</v>
      </c>
      <c r="G1516" s="2">
        <v>1.49E-2</v>
      </c>
      <c r="H1516">
        <v>1032</v>
      </c>
    </row>
    <row r="1517" spans="1:8" x14ac:dyDescent="0.35">
      <c r="A1517" s="3" t="s">
        <v>227</v>
      </c>
      <c r="B1517" s="3" t="s">
        <v>232</v>
      </c>
      <c r="C1517" s="4">
        <v>0.48730000000000001</v>
      </c>
      <c r="D1517" s="4">
        <v>0.48509999999999998</v>
      </c>
      <c r="E1517" s="5"/>
      <c r="F1517" s="4">
        <v>2.75E-2</v>
      </c>
      <c r="G1517" s="5"/>
      <c r="H1517" s="5" t="s">
        <v>366</v>
      </c>
    </row>
    <row r="1518" spans="1:8" x14ac:dyDescent="0.35">
      <c r="A1518" t="s">
        <v>227</v>
      </c>
      <c r="B1518" t="s">
        <v>258</v>
      </c>
      <c r="C1518" s="2">
        <v>0.2969</v>
      </c>
      <c r="D1518" s="2">
        <v>0.24030000000000001</v>
      </c>
      <c r="E1518" s="2">
        <v>0.31340000000000001</v>
      </c>
      <c r="F1518" s="2">
        <v>0.1389</v>
      </c>
      <c r="G1518" s="2">
        <v>1.0500000000000001E-2</v>
      </c>
      <c r="H1518">
        <v>375</v>
      </c>
    </row>
    <row r="1519" spans="1:8" x14ac:dyDescent="0.35">
      <c r="A1519" t="s">
        <v>228</v>
      </c>
      <c r="B1519" t="s">
        <v>228</v>
      </c>
      <c r="C1519" s="2">
        <v>0.33129999999999998</v>
      </c>
      <c r="D1519" s="2">
        <v>0.2382</v>
      </c>
      <c r="E1519" s="2">
        <v>0.2298</v>
      </c>
      <c r="F1519" s="2">
        <v>0.18329999999999999</v>
      </c>
      <c r="G1519" s="2">
        <v>1.7399999999999999E-2</v>
      </c>
      <c r="H1519">
        <v>1777</v>
      </c>
    </row>
    <row r="1521" spans="1:8" x14ac:dyDescent="0.35">
      <c r="A1521" s="1" t="s">
        <v>635</v>
      </c>
    </row>
    <row r="1522" spans="1:8" x14ac:dyDescent="0.35">
      <c r="A1522" t="s">
        <v>219</v>
      </c>
      <c r="B1522" t="s">
        <v>301</v>
      </c>
      <c r="C1522" t="s">
        <v>623</v>
      </c>
      <c r="D1522" t="s">
        <v>624</v>
      </c>
      <c r="E1522" t="s">
        <v>625</v>
      </c>
      <c r="F1522" t="s">
        <v>626</v>
      </c>
      <c r="G1522" t="s">
        <v>277</v>
      </c>
      <c r="H1522" t="s">
        <v>226</v>
      </c>
    </row>
    <row r="1523" spans="1:8" x14ac:dyDescent="0.35">
      <c r="A1523" t="s">
        <v>227</v>
      </c>
      <c r="B1523" t="s">
        <v>343</v>
      </c>
      <c r="C1523" s="2">
        <v>0.28050000000000003</v>
      </c>
      <c r="D1523" s="2">
        <v>0.28789999999999999</v>
      </c>
      <c r="E1523" s="2">
        <v>0.17910000000000001</v>
      </c>
      <c r="F1523" s="2">
        <v>0.2198</v>
      </c>
      <c r="G1523" s="2">
        <v>3.27E-2</v>
      </c>
      <c r="H1523">
        <v>309</v>
      </c>
    </row>
    <row r="1524" spans="1:8" x14ac:dyDescent="0.35">
      <c r="A1524" t="s">
        <v>227</v>
      </c>
      <c r="B1524" t="s">
        <v>344</v>
      </c>
      <c r="C1524" s="2">
        <v>0.34399999999999997</v>
      </c>
      <c r="D1524" s="2">
        <v>0.22570000000000001</v>
      </c>
      <c r="E1524" s="2">
        <v>0.2424</v>
      </c>
      <c r="F1524" s="2">
        <v>0.17419999999999999</v>
      </c>
      <c r="G1524" s="2">
        <v>1.3599999999999999E-2</v>
      </c>
      <c r="H1524">
        <v>1468</v>
      </c>
    </row>
    <row r="1525" spans="1:8" x14ac:dyDescent="0.35">
      <c r="A1525" t="s">
        <v>228</v>
      </c>
      <c r="B1525" t="s">
        <v>228</v>
      </c>
      <c r="C1525" s="2">
        <v>0.33129999999999998</v>
      </c>
      <c r="D1525" s="2">
        <v>0.2382</v>
      </c>
      <c r="E1525" s="2">
        <v>0.2298</v>
      </c>
      <c r="F1525" s="2">
        <v>0.18329999999999999</v>
      </c>
      <c r="G1525" s="2">
        <v>1.7399999999999999E-2</v>
      </c>
      <c r="H1525">
        <v>1777</v>
      </c>
    </row>
    <row r="1527" spans="1:8" x14ac:dyDescent="0.35">
      <c r="A1527" s="1" t="s">
        <v>636</v>
      </c>
    </row>
    <row r="1528" spans="1:8" x14ac:dyDescent="0.35">
      <c r="A1528" t="s">
        <v>219</v>
      </c>
      <c r="B1528" t="s">
        <v>301</v>
      </c>
      <c r="C1528" t="s">
        <v>623</v>
      </c>
      <c r="D1528" t="s">
        <v>624</v>
      </c>
      <c r="E1528" t="s">
        <v>625</v>
      </c>
      <c r="F1528" t="s">
        <v>626</v>
      </c>
      <c r="G1528" t="s">
        <v>277</v>
      </c>
      <c r="H1528" t="s">
        <v>226</v>
      </c>
    </row>
    <row r="1529" spans="1:8" x14ac:dyDescent="0.35">
      <c r="A1529" t="s">
        <v>227</v>
      </c>
      <c r="B1529" t="s">
        <v>346</v>
      </c>
      <c r="C1529" s="2">
        <v>0.33460000000000001</v>
      </c>
      <c r="D1529" s="2">
        <v>0.2298</v>
      </c>
      <c r="E1529" s="2">
        <v>0.2286</v>
      </c>
      <c r="F1529" s="2">
        <v>0.1888</v>
      </c>
      <c r="G1529" s="2">
        <v>1.8100000000000002E-2</v>
      </c>
      <c r="H1529">
        <v>874</v>
      </c>
    </row>
    <row r="1530" spans="1:8" x14ac:dyDescent="0.35">
      <c r="A1530" t="s">
        <v>227</v>
      </c>
      <c r="B1530" t="s">
        <v>347</v>
      </c>
      <c r="C1530" s="2">
        <v>0.25159999999999999</v>
      </c>
      <c r="D1530" s="2">
        <v>0.25790000000000002</v>
      </c>
      <c r="E1530" s="2">
        <v>0.29880000000000001</v>
      </c>
      <c r="F1530" s="2">
        <v>0.18390000000000001</v>
      </c>
      <c r="G1530" s="2">
        <v>7.7000000000000002E-3</v>
      </c>
      <c r="H1530">
        <v>408</v>
      </c>
    </row>
    <row r="1531" spans="1:8" x14ac:dyDescent="0.35">
      <c r="A1531" t="s">
        <v>227</v>
      </c>
      <c r="B1531" t="s">
        <v>348</v>
      </c>
      <c r="C1531" s="2">
        <v>0.33429999999999999</v>
      </c>
      <c r="D1531" s="2">
        <v>0.3039</v>
      </c>
      <c r="E1531" s="2">
        <v>0.2117</v>
      </c>
      <c r="F1531" s="2">
        <v>0.1348</v>
      </c>
      <c r="G1531" s="2">
        <v>1.52E-2</v>
      </c>
      <c r="H1531">
        <v>495</v>
      </c>
    </row>
    <row r="1532" spans="1:8" x14ac:dyDescent="0.35">
      <c r="A1532" t="s">
        <v>228</v>
      </c>
      <c r="B1532" t="s">
        <v>228</v>
      </c>
      <c r="C1532" s="2">
        <v>0.33129999999999998</v>
      </c>
      <c r="D1532" s="2">
        <v>0.2382</v>
      </c>
      <c r="E1532" s="2">
        <v>0.2298</v>
      </c>
      <c r="F1532" s="2">
        <v>0.18329999999999999</v>
      </c>
      <c r="G1532" s="2">
        <v>1.7399999999999999E-2</v>
      </c>
      <c r="H1532">
        <v>1777</v>
      </c>
    </row>
    <row r="1534" spans="1:8" x14ac:dyDescent="0.35">
      <c r="A1534" s="1" t="s">
        <v>637</v>
      </c>
    </row>
    <row r="1535" spans="1:8" x14ac:dyDescent="0.35">
      <c r="A1535" t="s">
        <v>219</v>
      </c>
      <c r="B1535" t="s">
        <v>301</v>
      </c>
      <c r="C1535" t="s">
        <v>623</v>
      </c>
      <c r="D1535" t="s">
        <v>624</v>
      </c>
      <c r="E1535" t="s">
        <v>625</v>
      </c>
      <c r="F1535" t="s">
        <v>626</v>
      </c>
      <c r="G1535" t="s">
        <v>277</v>
      </c>
      <c r="H1535" t="s">
        <v>226</v>
      </c>
    </row>
    <row r="1536" spans="1:8" x14ac:dyDescent="0.35">
      <c r="A1536" t="s">
        <v>227</v>
      </c>
      <c r="B1536" t="s">
        <v>251</v>
      </c>
      <c r="C1536" s="2">
        <v>0.34110000000000001</v>
      </c>
      <c r="D1536" s="2">
        <v>0.2356</v>
      </c>
      <c r="E1536" s="2">
        <v>0.23230000000000001</v>
      </c>
      <c r="F1536" s="2">
        <v>0.1764</v>
      </c>
      <c r="G1536" s="2">
        <v>1.4500000000000001E-2</v>
      </c>
      <c r="H1536">
        <v>1303</v>
      </c>
    </row>
    <row r="1537" spans="1:10" x14ac:dyDescent="0.35">
      <c r="A1537" t="s">
        <v>227</v>
      </c>
      <c r="B1537" t="s">
        <v>252</v>
      </c>
      <c r="C1537" s="2">
        <v>0.31609999999999999</v>
      </c>
      <c r="D1537" s="2">
        <v>0.2382</v>
      </c>
      <c r="E1537" s="2">
        <v>0.2135</v>
      </c>
      <c r="F1537" s="2">
        <v>0.20449999999999999</v>
      </c>
      <c r="G1537" s="2">
        <v>2.7699999999999999E-2</v>
      </c>
      <c r="H1537">
        <v>387</v>
      </c>
    </row>
    <row r="1538" spans="1:10" x14ac:dyDescent="0.35">
      <c r="A1538" t="s">
        <v>227</v>
      </c>
      <c r="B1538" t="s">
        <v>253</v>
      </c>
      <c r="C1538" s="2">
        <v>0.21099999999999999</v>
      </c>
      <c r="D1538" s="2">
        <v>0.31030000000000002</v>
      </c>
      <c r="E1538" s="2">
        <v>0.28989999999999999</v>
      </c>
      <c r="F1538" s="2">
        <v>0.18659999999999999</v>
      </c>
      <c r="G1538" s="2">
        <v>2.3E-3</v>
      </c>
      <c r="H1538">
        <v>81</v>
      </c>
    </row>
    <row r="1539" spans="1:10" x14ac:dyDescent="0.35">
      <c r="A1539" s="3" t="s">
        <v>227</v>
      </c>
      <c r="B1539" s="3" t="s">
        <v>254</v>
      </c>
      <c r="C1539" s="4">
        <v>0.53500000000000003</v>
      </c>
      <c r="D1539" s="5"/>
      <c r="E1539" s="4">
        <v>0.2989</v>
      </c>
      <c r="F1539" s="4">
        <v>8.8200000000000001E-2</v>
      </c>
      <c r="G1539" s="4">
        <v>7.7799999999999994E-2</v>
      </c>
      <c r="H1539" s="5" t="s">
        <v>437</v>
      </c>
    </row>
    <row r="1540" spans="1:10" x14ac:dyDescent="0.35">
      <c r="A1540" t="s">
        <v>228</v>
      </c>
      <c r="B1540" t="s">
        <v>228</v>
      </c>
      <c r="C1540" s="2">
        <v>0.33129999999999998</v>
      </c>
      <c r="D1540" s="2">
        <v>0.2382</v>
      </c>
      <c r="E1540" s="2">
        <v>0.2298</v>
      </c>
      <c r="F1540" s="2">
        <v>0.18329999999999999</v>
      </c>
      <c r="G1540" s="2">
        <v>1.7399999999999999E-2</v>
      </c>
      <c r="H1540">
        <v>1777</v>
      </c>
    </row>
    <row r="1542" spans="1:10" x14ac:dyDescent="0.35">
      <c r="A1542" s="1" t="s">
        <v>638</v>
      </c>
    </row>
    <row r="1543" spans="1:10" x14ac:dyDescent="0.35">
      <c r="A1543" t="s">
        <v>219</v>
      </c>
      <c r="B1543" t="s">
        <v>298</v>
      </c>
      <c r="C1543" t="s">
        <v>639</v>
      </c>
      <c r="D1543" t="s">
        <v>640</v>
      </c>
      <c r="E1543" t="s">
        <v>641</v>
      </c>
      <c r="F1543" t="s">
        <v>642</v>
      </c>
      <c r="G1543" t="s">
        <v>643</v>
      </c>
      <c r="H1543" t="s">
        <v>277</v>
      </c>
      <c r="I1543" t="s">
        <v>226</v>
      </c>
    </row>
    <row r="1544" spans="1:10" x14ac:dyDescent="0.35">
      <c r="A1544" t="s">
        <v>227</v>
      </c>
      <c r="B1544" s="2">
        <v>0.78029999999999999</v>
      </c>
      <c r="C1544" s="2">
        <v>8.4000000000000005E-2</v>
      </c>
      <c r="D1544" s="2">
        <v>7.5899999999999995E-2</v>
      </c>
      <c r="E1544" s="2">
        <v>4.8500000000000001E-2</v>
      </c>
      <c r="F1544" s="2">
        <v>2.5100000000000001E-2</v>
      </c>
      <c r="G1544" s="2">
        <v>1.6400000000000001E-2</v>
      </c>
      <c r="H1544" s="2">
        <v>5.5999999999999999E-3</v>
      </c>
      <c r="I1544">
        <v>1769</v>
      </c>
    </row>
    <row r="1545" spans="1:10" x14ac:dyDescent="0.35">
      <c r="A1545" t="s">
        <v>228</v>
      </c>
      <c r="B1545" s="2">
        <v>0.78029999999999999</v>
      </c>
      <c r="C1545" s="2">
        <v>8.4000000000000005E-2</v>
      </c>
      <c r="D1545" s="2">
        <v>7.5899999999999995E-2</v>
      </c>
      <c r="E1545" s="2">
        <v>4.8500000000000001E-2</v>
      </c>
      <c r="F1545" s="2">
        <v>2.5100000000000001E-2</v>
      </c>
      <c r="G1545" s="2">
        <v>1.6400000000000001E-2</v>
      </c>
      <c r="H1545" s="2">
        <v>5.5999999999999999E-3</v>
      </c>
      <c r="I1545">
        <v>1769</v>
      </c>
    </row>
    <row r="1547" spans="1:10" x14ac:dyDescent="0.35">
      <c r="A1547" s="1" t="s">
        <v>644</v>
      </c>
    </row>
    <row r="1548" spans="1:10" x14ac:dyDescent="0.35">
      <c r="A1548" t="s">
        <v>219</v>
      </c>
      <c r="B1548" t="s">
        <v>301</v>
      </c>
      <c r="C1548" t="s">
        <v>298</v>
      </c>
      <c r="D1548" t="s">
        <v>639</v>
      </c>
      <c r="E1548" t="s">
        <v>640</v>
      </c>
      <c r="F1548" t="s">
        <v>641</v>
      </c>
      <c r="G1548" t="s">
        <v>642</v>
      </c>
      <c r="H1548" t="s">
        <v>643</v>
      </c>
      <c r="I1548" t="s">
        <v>277</v>
      </c>
      <c r="J1548" t="s">
        <v>226</v>
      </c>
    </row>
    <row r="1549" spans="1:10" x14ac:dyDescent="0.35">
      <c r="A1549" t="s">
        <v>227</v>
      </c>
      <c r="B1549" t="s">
        <v>238</v>
      </c>
      <c r="C1549" s="2">
        <v>0.76019999999999999</v>
      </c>
      <c r="D1549" s="2">
        <v>6.8500000000000005E-2</v>
      </c>
      <c r="E1549" s="2">
        <v>0.111</v>
      </c>
      <c r="F1549" s="2">
        <v>5.6500000000000002E-2</v>
      </c>
      <c r="G1549" s="2">
        <v>2.4299999999999999E-2</v>
      </c>
      <c r="H1549" s="2">
        <v>2.23E-2</v>
      </c>
      <c r="I1549" s="2">
        <v>3.0000000000000001E-3</v>
      </c>
      <c r="J1549">
        <v>788</v>
      </c>
    </row>
    <row r="1550" spans="1:10" x14ac:dyDescent="0.35">
      <c r="A1550" t="s">
        <v>227</v>
      </c>
      <c r="B1550" t="s">
        <v>237</v>
      </c>
      <c r="C1550" s="2">
        <v>0.79710000000000003</v>
      </c>
      <c r="D1550" s="2">
        <v>9.69E-2</v>
      </c>
      <c r="E1550" s="2">
        <v>4.6600000000000003E-2</v>
      </c>
      <c r="F1550" s="2">
        <v>4.19E-2</v>
      </c>
      <c r="G1550" s="2">
        <v>2.58E-2</v>
      </c>
      <c r="H1550" s="2">
        <v>1.15E-2</v>
      </c>
      <c r="I1550" s="2">
        <v>7.7000000000000002E-3</v>
      </c>
      <c r="J1550">
        <v>981</v>
      </c>
    </row>
    <row r="1551" spans="1:10" x14ac:dyDescent="0.35">
      <c r="A1551" t="s">
        <v>228</v>
      </c>
      <c r="B1551" t="s">
        <v>228</v>
      </c>
      <c r="C1551" s="2">
        <v>0.78029999999999999</v>
      </c>
      <c r="D1551" s="2">
        <v>8.4000000000000005E-2</v>
      </c>
      <c r="E1551" s="2">
        <v>7.5899999999999995E-2</v>
      </c>
      <c r="F1551" s="2">
        <v>4.8500000000000001E-2</v>
      </c>
      <c r="G1551" s="2">
        <v>2.5100000000000001E-2</v>
      </c>
      <c r="H1551" s="2">
        <v>1.6400000000000001E-2</v>
      </c>
      <c r="I1551" s="2">
        <v>5.5999999999999999E-3</v>
      </c>
      <c r="J1551">
        <v>1769</v>
      </c>
    </row>
    <row r="1553" spans="1:10" x14ac:dyDescent="0.35">
      <c r="A1553" s="1" t="s">
        <v>645</v>
      </c>
    </row>
    <row r="1554" spans="1:10" x14ac:dyDescent="0.35">
      <c r="A1554" t="s">
        <v>219</v>
      </c>
      <c r="B1554" t="s">
        <v>301</v>
      </c>
      <c r="C1554" t="s">
        <v>298</v>
      </c>
      <c r="D1554" t="s">
        <v>639</v>
      </c>
      <c r="E1554" t="s">
        <v>640</v>
      </c>
      <c r="F1554" t="s">
        <v>641</v>
      </c>
      <c r="G1554" t="s">
        <v>642</v>
      </c>
      <c r="H1554" t="s">
        <v>643</v>
      </c>
      <c r="I1554" t="s">
        <v>277</v>
      </c>
      <c r="J1554" t="s">
        <v>226</v>
      </c>
    </row>
    <row r="1555" spans="1:10" x14ac:dyDescent="0.35">
      <c r="A1555" t="s">
        <v>227</v>
      </c>
      <c r="B1555" t="s">
        <v>235</v>
      </c>
      <c r="C1555" s="2">
        <v>0.76590000000000003</v>
      </c>
      <c r="D1555" s="2">
        <v>8.4000000000000005E-2</v>
      </c>
      <c r="E1555" s="2">
        <v>8.3699999999999997E-2</v>
      </c>
      <c r="F1555" s="2">
        <v>6.3200000000000006E-2</v>
      </c>
      <c r="G1555" s="2">
        <v>1.72E-2</v>
      </c>
      <c r="H1555" s="2">
        <v>1.7399999999999999E-2</v>
      </c>
      <c r="I1555" s="2">
        <v>4.1000000000000003E-3</v>
      </c>
      <c r="J1555">
        <v>609</v>
      </c>
    </row>
    <row r="1556" spans="1:10" x14ac:dyDescent="0.35">
      <c r="A1556" t="s">
        <v>227</v>
      </c>
      <c r="B1556" t="s">
        <v>234</v>
      </c>
      <c r="C1556" s="2">
        <v>0.78639999999999999</v>
      </c>
      <c r="D1556" s="2">
        <v>8.4000000000000005E-2</v>
      </c>
      <c r="E1556" s="2">
        <v>7.2700000000000001E-2</v>
      </c>
      <c r="F1556" s="2">
        <v>4.24E-2</v>
      </c>
      <c r="G1556" s="2">
        <v>2.8400000000000002E-2</v>
      </c>
      <c r="H1556" s="2">
        <v>1.6E-2</v>
      </c>
      <c r="I1556" s="2">
        <v>6.1999999999999998E-3</v>
      </c>
      <c r="J1556">
        <v>1160</v>
      </c>
    </row>
    <row r="1557" spans="1:10" x14ac:dyDescent="0.35">
      <c r="A1557" t="s">
        <v>228</v>
      </c>
      <c r="B1557" t="s">
        <v>228</v>
      </c>
      <c r="C1557" s="2">
        <v>0.78029999999999999</v>
      </c>
      <c r="D1557" s="2">
        <v>8.4000000000000005E-2</v>
      </c>
      <c r="E1557" s="2">
        <v>7.5899999999999995E-2</v>
      </c>
      <c r="F1557" s="2">
        <v>4.8500000000000001E-2</v>
      </c>
      <c r="G1557" s="2">
        <v>2.5100000000000001E-2</v>
      </c>
      <c r="H1557" s="2">
        <v>1.6400000000000001E-2</v>
      </c>
      <c r="I1557" s="2">
        <v>5.5999999999999999E-3</v>
      </c>
      <c r="J1557">
        <v>1769</v>
      </c>
    </row>
    <row r="1559" spans="1:10" x14ac:dyDescent="0.35">
      <c r="A1559" s="1" t="s">
        <v>646</v>
      </c>
    </row>
    <row r="1560" spans="1:10" x14ac:dyDescent="0.35">
      <c r="A1560" t="s">
        <v>219</v>
      </c>
      <c r="B1560" t="s">
        <v>301</v>
      </c>
      <c r="C1560" t="s">
        <v>298</v>
      </c>
      <c r="D1560" t="s">
        <v>639</v>
      </c>
      <c r="E1560" t="s">
        <v>640</v>
      </c>
      <c r="F1560" t="s">
        <v>641</v>
      </c>
      <c r="G1560" t="s">
        <v>642</v>
      </c>
      <c r="H1560" t="s">
        <v>643</v>
      </c>
      <c r="I1560" t="s">
        <v>277</v>
      </c>
      <c r="J1560" t="s">
        <v>226</v>
      </c>
    </row>
    <row r="1561" spans="1:10" x14ac:dyDescent="0.35">
      <c r="A1561" t="s">
        <v>227</v>
      </c>
      <c r="B1561" t="s">
        <v>240</v>
      </c>
      <c r="C1561" s="2">
        <v>0.73450000000000004</v>
      </c>
      <c r="D1561" s="2">
        <v>0.1041</v>
      </c>
      <c r="E1561" s="2">
        <v>9.2700000000000005E-2</v>
      </c>
      <c r="F1561" s="2">
        <v>6.7799999999999999E-2</v>
      </c>
      <c r="G1561" s="2">
        <v>2.7199999999999998E-2</v>
      </c>
      <c r="H1561" s="2">
        <v>1.6500000000000001E-2</v>
      </c>
      <c r="I1561" s="2">
        <v>6.0000000000000001E-3</v>
      </c>
      <c r="J1561">
        <v>1131</v>
      </c>
    </row>
    <row r="1562" spans="1:10" x14ac:dyDescent="0.35">
      <c r="A1562" t="s">
        <v>227</v>
      </c>
      <c r="B1562" t="s">
        <v>241</v>
      </c>
      <c r="C1562" s="2">
        <v>0.86419999999999997</v>
      </c>
      <c r="D1562" s="2">
        <v>4.3400000000000001E-2</v>
      </c>
      <c r="E1562" s="2">
        <v>5.3100000000000001E-2</v>
      </c>
      <c r="F1562" s="2">
        <v>9.2999999999999992E-3</v>
      </c>
      <c r="G1562" s="2">
        <v>1.8200000000000001E-2</v>
      </c>
      <c r="H1562" s="2">
        <v>1.9099999999999999E-2</v>
      </c>
      <c r="I1562" s="2">
        <v>5.8999999999999999E-3</v>
      </c>
      <c r="J1562">
        <v>535</v>
      </c>
    </row>
    <row r="1563" spans="1:10" x14ac:dyDescent="0.35">
      <c r="A1563" t="s">
        <v>227</v>
      </c>
      <c r="B1563" t="s">
        <v>242</v>
      </c>
      <c r="C1563" s="2">
        <v>0.88319999999999999</v>
      </c>
      <c r="D1563" s="2">
        <v>5.6000000000000001E-2</v>
      </c>
      <c r="E1563" s="2">
        <v>2.0999999999999999E-3</v>
      </c>
      <c r="F1563" s="2">
        <v>2.41E-2</v>
      </c>
      <c r="G1563" s="2">
        <v>3.49E-2</v>
      </c>
      <c r="H1563" s="2">
        <v>2.5000000000000001E-3</v>
      </c>
      <c r="J1563">
        <v>103</v>
      </c>
    </row>
    <row r="1564" spans="1:10" x14ac:dyDescent="0.35">
      <c r="A1564" t="s">
        <v>228</v>
      </c>
      <c r="B1564" t="s">
        <v>228</v>
      </c>
      <c r="C1564" s="2">
        <v>0.78029999999999999</v>
      </c>
      <c r="D1564" s="2">
        <v>8.4000000000000005E-2</v>
      </c>
      <c r="E1564" s="2">
        <v>7.5899999999999995E-2</v>
      </c>
      <c r="F1564" s="2">
        <v>4.8500000000000001E-2</v>
      </c>
      <c r="G1564" s="2">
        <v>2.5100000000000001E-2</v>
      </c>
      <c r="H1564" s="2">
        <v>1.6400000000000001E-2</v>
      </c>
      <c r="I1564" s="2">
        <v>5.5999999999999999E-3</v>
      </c>
      <c r="J1564">
        <v>1769</v>
      </c>
    </row>
    <row r="1566" spans="1:10" x14ac:dyDescent="0.35">
      <c r="A1566" s="1" t="s">
        <v>647</v>
      </c>
    </row>
    <row r="1567" spans="1:10" x14ac:dyDescent="0.35">
      <c r="A1567" t="s">
        <v>219</v>
      </c>
      <c r="B1567" t="s">
        <v>301</v>
      </c>
      <c r="C1567" t="s">
        <v>298</v>
      </c>
      <c r="D1567" t="s">
        <v>639</v>
      </c>
      <c r="E1567" t="s">
        <v>640</v>
      </c>
      <c r="F1567" t="s">
        <v>641</v>
      </c>
      <c r="G1567" t="s">
        <v>642</v>
      </c>
      <c r="H1567" t="s">
        <v>643</v>
      </c>
      <c r="I1567" t="s">
        <v>277</v>
      </c>
      <c r="J1567" t="s">
        <v>226</v>
      </c>
    </row>
    <row r="1568" spans="1:10" x14ac:dyDescent="0.35">
      <c r="A1568" t="s">
        <v>227</v>
      </c>
      <c r="B1568" t="s">
        <v>334</v>
      </c>
      <c r="C1568" s="2">
        <v>0.7843</v>
      </c>
      <c r="D1568" s="2">
        <v>5.7799999999999997E-2</v>
      </c>
      <c r="E1568" s="2">
        <v>8.5300000000000001E-2</v>
      </c>
      <c r="F1568" s="2">
        <v>4.3900000000000002E-2</v>
      </c>
      <c r="G1568" s="2">
        <v>7.7999999999999996E-3</v>
      </c>
      <c r="H1568" s="2">
        <v>2.01E-2</v>
      </c>
      <c r="I1568" s="2">
        <v>2.4899999999999999E-2</v>
      </c>
      <c r="J1568">
        <v>445</v>
      </c>
    </row>
    <row r="1569" spans="1:10" x14ac:dyDescent="0.35">
      <c r="A1569" t="s">
        <v>227</v>
      </c>
      <c r="B1569" t="s">
        <v>335</v>
      </c>
      <c r="C1569" s="2">
        <v>0.70479999999999998</v>
      </c>
      <c r="D1569" s="2">
        <v>0.1542</v>
      </c>
      <c r="E1569" s="2">
        <v>6.3E-2</v>
      </c>
      <c r="F1569" s="2">
        <v>7.51E-2</v>
      </c>
      <c r="G1569" s="2">
        <v>4.4699999999999997E-2</v>
      </c>
      <c r="H1569" s="2">
        <v>2.7E-2</v>
      </c>
      <c r="J1569">
        <v>366</v>
      </c>
    </row>
    <row r="1570" spans="1:10" x14ac:dyDescent="0.35">
      <c r="A1570" t="s">
        <v>227</v>
      </c>
      <c r="B1570" t="s">
        <v>336</v>
      </c>
      <c r="C1570" s="2">
        <v>0.86339999999999995</v>
      </c>
      <c r="D1570" s="2">
        <v>3.4500000000000003E-2</v>
      </c>
      <c r="E1570" s="2">
        <v>7.2599999999999998E-2</v>
      </c>
      <c r="F1570" s="2">
        <v>1.38E-2</v>
      </c>
      <c r="G1570" s="2">
        <v>1.5900000000000001E-2</v>
      </c>
      <c r="H1570" s="2">
        <v>1.84E-2</v>
      </c>
      <c r="J1570">
        <v>414</v>
      </c>
    </row>
    <row r="1571" spans="1:10" x14ac:dyDescent="0.35">
      <c r="A1571" t="s">
        <v>227</v>
      </c>
      <c r="B1571" t="s">
        <v>337</v>
      </c>
      <c r="C1571" s="2">
        <v>0.7712</v>
      </c>
      <c r="D1571" s="2">
        <v>6.2399999999999997E-2</v>
      </c>
      <c r="E1571" s="2">
        <v>0.1</v>
      </c>
      <c r="F1571" s="2">
        <v>6.8400000000000002E-2</v>
      </c>
      <c r="G1571" s="2">
        <v>1.9800000000000002E-2</v>
      </c>
      <c r="H1571" s="2">
        <v>1.6000000000000001E-3</v>
      </c>
      <c r="J1571">
        <v>372</v>
      </c>
    </row>
    <row r="1572" spans="1:10" x14ac:dyDescent="0.35">
      <c r="A1572" t="s">
        <v>228</v>
      </c>
      <c r="B1572" t="s">
        <v>228</v>
      </c>
      <c r="C1572" s="2">
        <v>0.78029999999999999</v>
      </c>
      <c r="D1572" s="2">
        <v>8.4000000000000005E-2</v>
      </c>
      <c r="E1572" s="2">
        <v>7.5899999999999995E-2</v>
      </c>
      <c r="F1572" s="2">
        <v>4.8500000000000001E-2</v>
      </c>
      <c r="G1572" s="2">
        <v>2.5100000000000001E-2</v>
      </c>
      <c r="H1572" s="2">
        <v>1.6400000000000001E-2</v>
      </c>
      <c r="I1572" s="2">
        <v>5.5999999999999999E-3</v>
      </c>
      <c r="J1572">
        <v>1597</v>
      </c>
    </row>
    <row r="1574" spans="1:10" x14ac:dyDescent="0.35">
      <c r="A1574" s="1" t="s">
        <v>648</v>
      </c>
    </row>
    <row r="1575" spans="1:10" x14ac:dyDescent="0.35">
      <c r="A1575" t="s">
        <v>219</v>
      </c>
      <c r="B1575" t="s">
        <v>301</v>
      </c>
      <c r="C1575" t="s">
        <v>298</v>
      </c>
      <c r="D1575" t="s">
        <v>639</v>
      </c>
      <c r="E1575" t="s">
        <v>640</v>
      </c>
      <c r="F1575" t="s">
        <v>641</v>
      </c>
      <c r="G1575" t="s">
        <v>642</v>
      </c>
      <c r="H1575" t="s">
        <v>643</v>
      </c>
      <c r="I1575" t="s">
        <v>277</v>
      </c>
      <c r="J1575" t="s">
        <v>226</v>
      </c>
    </row>
    <row r="1576" spans="1:10" x14ac:dyDescent="0.35">
      <c r="A1576" t="s">
        <v>227</v>
      </c>
      <c r="B1576" t="s">
        <v>263</v>
      </c>
      <c r="C1576" s="2">
        <v>0.80779999999999996</v>
      </c>
      <c r="D1576" s="2">
        <v>6.5699999999999995E-2</v>
      </c>
      <c r="E1576" s="2">
        <v>8.7599999999999997E-2</v>
      </c>
      <c r="F1576" s="2">
        <v>4.0800000000000003E-2</v>
      </c>
      <c r="G1576" s="2">
        <v>3.0700000000000002E-2</v>
      </c>
      <c r="H1576" s="2">
        <v>3.0999999999999999E-3</v>
      </c>
      <c r="I1576" s="2">
        <v>8.3999999999999995E-3</v>
      </c>
      <c r="J1576">
        <v>318</v>
      </c>
    </row>
    <row r="1577" spans="1:10" x14ac:dyDescent="0.35">
      <c r="A1577" t="s">
        <v>227</v>
      </c>
      <c r="B1577" t="s">
        <v>262</v>
      </c>
      <c r="C1577" s="2">
        <v>0.82650000000000001</v>
      </c>
      <c r="D1577" s="2">
        <v>5.8599999999999999E-2</v>
      </c>
      <c r="E1577" s="2">
        <v>6.1400000000000003E-2</v>
      </c>
      <c r="F1577" s="2">
        <v>2.7199999999999998E-2</v>
      </c>
      <c r="G1577" s="2">
        <v>1.49E-2</v>
      </c>
      <c r="H1577" s="2">
        <v>1.9E-2</v>
      </c>
      <c r="I1577" s="2">
        <v>7.4000000000000003E-3</v>
      </c>
      <c r="J1577">
        <v>773</v>
      </c>
    </row>
    <row r="1578" spans="1:10" x14ac:dyDescent="0.35">
      <c r="A1578" t="s">
        <v>227</v>
      </c>
      <c r="B1578" t="s">
        <v>261</v>
      </c>
      <c r="C1578" s="2">
        <v>0.72870000000000001</v>
      </c>
      <c r="D1578" s="2">
        <v>0.1124</v>
      </c>
      <c r="E1578" s="2">
        <v>8.4400000000000003E-2</v>
      </c>
      <c r="F1578" s="2">
        <v>7.1199999999999999E-2</v>
      </c>
      <c r="G1578" s="2">
        <v>3.2099999999999997E-2</v>
      </c>
      <c r="H1578" s="2">
        <v>1.9699999999999999E-2</v>
      </c>
      <c r="I1578" s="2">
        <v>2.8E-3</v>
      </c>
      <c r="J1578">
        <v>676</v>
      </c>
    </row>
    <row r="1579" spans="1:10" x14ac:dyDescent="0.35">
      <c r="A1579" s="3" t="s">
        <v>227</v>
      </c>
      <c r="B1579" s="3" t="s">
        <v>232</v>
      </c>
      <c r="C1579" s="4">
        <v>0.5</v>
      </c>
      <c r="D1579" s="4">
        <v>0.5</v>
      </c>
      <c r="E1579" s="5"/>
      <c r="F1579" s="5"/>
      <c r="G1579" s="5"/>
      <c r="H1579" s="5"/>
      <c r="I1579" s="5"/>
      <c r="J1579" s="5" t="s">
        <v>434</v>
      </c>
    </row>
    <row r="1580" spans="1:10" x14ac:dyDescent="0.35">
      <c r="A1580" t="s">
        <v>228</v>
      </c>
      <c r="B1580" t="s">
        <v>228</v>
      </c>
      <c r="C1580" s="2">
        <v>0.78029999999999999</v>
      </c>
      <c r="D1580" s="2">
        <v>8.4000000000000005E-2</v>
      </c>
      <c r="E1580" s="2">
        <v>7.5899999999999995E-2</v>
      </c>
      <c r="F1580" s="2">
        <v>4.8500000000000001E-2</v>
      </c>
      <c r="G1580" s="2">
        <v>2.5100000000000001E-2</v>
      </c>
      <c r="H1580" s="2">
        <v>1.6400000000000001E-2</v>
      </c>
      <c r="I1580" s="2">
        <v>5.5999999999999999E-3</v>
      </c>
      <c r="J1580">
        <v>1769</v>
      </c>
    </row>
    <row r="1582" spans="1:10" x14ac:dyDescent="0.35">
      <c r="A1582" s="1" t="s">
        <v>649</v>
      </c>
    </row>
    <row r="1583" spans="1:10" x14ac:dyDescent="0.35">
      <c r="A1583" t="s">
        <v>219</v>
      </c>
      <c r="B1583" t="s">
        <v>301</v>
      </c>
      <c r="C1583" t="s">
        <v>298</v>
      </c>
      <c r="D1583" t="s">
        <v>639</v>
      </c>
      <c r="E1583" t="s">
        <v>640</v>
      </c>
      <c r="F1583" t="s">
        <v>641</v>
      </c>
      <c r="G1583" t="s">
        <v>642</v>
      </c>
      <c r="H1583" t="s">
        <v>643</v>
      </c>
      <c r="I1583" t="s">
        <v>277</v>
      </c>
      <c r="J1583" t="s">
        <v>226</v>
      </c>
    </row>
    <row r="1584" spans="1:10" x14ac:dyDescent="0.35">
      <c r="A1584" t="s">
        <v>227</v>
      </c>
      <c r="B1584" t="s">
        <v>248</v>
      </c>
      <c r="C1584" s="2">
        <v>0.80889999999999995</v>
      </c>
      <c r="D1584" s="2">
        <v>4.6300000000000001E-2</v>
      </c>
      <c r="E1584" s="2">
        <v>0.1004</v>
      </c>
      <c r="F1584" s="2">
        <v>1.67E-2</v>
      </c>
      <c r="G1584" s="2">
        <v>2.4E-2</v>
      </c>
      <c r="H1584" s="2">
        <v>3.3000000000000002E-2</v>
      </c>
      <c r="I1584" s="2">
        <v>8.0000000000000004E-4</v>
      </c>
      <c r="J1584">
        <v>571</v>
      </c>
    </row>
    <row r="1585" spans="1:10" x14ac:dyDescent="0.35">
      <c r="A1585" t="s">
        <v>227</v>
      </c>
      <c r="B1585" t="s">
        <v>249</v>
      </c>
      <c r="C1585" s="2">
        <v>0.82110000000000005</v>
      </c>
      <c r="D1585" s="2">
        <v>5.1499999999999997E-2</v>
      </c>
      <c r="E1585" s="2">
        <v>6.4899999999999999E-2</v>
      </c>
      <c r="F1585" s="2">
        <v>6.3500000000000001E-2</v>
      </c>
      <c r="G1585" s="2">
        <v>9.1000000000000004E-3</v>
      </c>
      <c r="H1585" s="2">
        <v>8.2000000000000007E-3</v>
      </c>
      <c r="I1585" s="2">
        <v>1.2200000000000001E-2</v>
      </c>
      <c r="J1585">
        <v>389</v>
      </c>
    </row>
    <row r="1586" spans="1:10" x14ac:dyDescent="0.35">
      <c r="A1586" t="s">
        <v>227</v>
      </c>
      <c r="B1586" t="s">
        <v>247</v>
      </c>
      <c r="C1586" s="2">
        <v>0.74380000000000002</v>
      </c>
      <c r="D1586" s="2">
        <v>0.12230000000000001</v>
      </c>
      <c r="E1586" s="2">
        <v>6.5699999999999995E-2</v>
      </c>
      <c r="F1586" s="2">
        <v>6.1499999999999999E-2</v>
      </c>
      <c r="G1586" s="2">
        <v>3.3099999999999997E-2</v>
      </c>
      <c r="H1586" s="2">
        <v>9.9000000000000008E-3</v>
      </c>
      <c r="I1586" s="2">
        <v>5.4999999999999997E-3</v>
      </c>
      <c r="J1586">
        <v>809</v>
      </c>
    </row>
    <row r="1587" spans="1:10" x14ac:dyDescent="0.35">
      <c r="A1587" t="s">
        <v>228</v>
      </c>
      <c r="B1587" t="s">
        <v>228</v>
      </c>
      <c r="C1587" s="2">
        <v>0.78029999999999999</v>
      </c>
      <c r="D1587" s="2">
        <v>8.4000000000000005E-2</v>
      </c>
      <c r="E1587" s="2">
        <v>7.5899999999999995E-2</v>
      </c>
      <c r="F1587" s="2">
        <v>4.8500000000000001E-2</v>
      </c>
      <c r="G1587" s="2">
        <v>2.5100000000000001E-2</v>
      </c>
      <c r="H1587" s="2">
        <v>1.6400000000000001E-2</v>
      </c>
      <c r="I1587" s="2">
        <v>5.5999999999999999E-3</v>
      </c>
      <c r="J1587">
        <v>1769</v>
      </c>
    </row>
    <row r="1589" spans="1:10" x14ac:dyDescent="0.35">
      <c r="A1589" s="1" t="s">
        <v>650</v>
      </c>
    </row>
    <row r="1590" spans="1:10" x14ac:dyDescent="0.35">
      <c r="A1590" t="s">
        <v>219</v>
      </c>
      <c r="B1590" t="s">
        <v>301</v>
      </c>
      <c r="C1590" t="s">
        <v>298</v>
      </c>
      <c r="D1590" t="s">
        <v>639</v>
      </c>
      <c r="E1590" t="s">
        <v>640</v>
      </c>
      <c r="F1590" t="s">
        <v>641</v>
      </c>
      <c r="G1590" t="s">
        <v>642</v>
      </c>
      <c r="H1590" t="s">
        <v>643</v>
      </c>
      <c r="I1590" t="s">
        <v>277</v>
      </c>
      <c r="J1590" t="s">
        <v>226</v>
      </c>
    </row>
    <row r="1591" spans="1:10" x14ac:dyDescent="0.35">
      <c r="A1591" t="s">
        <v>227</v>
      </c>
      <c r="B1591" t="s">
        <v>245</v>
      </c>
      <c r="C1591" s="2">
        <v>0.75870000000000004</v>
      </c>
      <c r="D1591" s="2">
        <v>0.12280000000000001</v>
      </c>
      <c r="E1591" s="2">
        <v>5.6300000000000003E-2</v>
      </c>
      <c r="F1591" s="2">
        <v>5.5500000000000001E-2</v>
      </c>
      <c r="G1591" s="2">
        <v>4.02E-2</v>
      </c>
      <c r="H1591" s="2">
        <v>5.3E-3</v>
      </c>
      <c r="J1591">
        <v>472</v>
      </c>
    </row>
    <row r="1592" spans="1:10" x14ac:dyDescent="0.35">
      <c r="A1592" t="s">
        <v>227</v>
      </c>
      <c r="B1592" t="s">
        <v>244</v>
      </c>
      <c r="C1592" s="2">
        <v>0.78849999999999998</v>
      </c>
      <c r="D1592" s="2">
        <v>6.9199999999999998E-2</v>
      </c>
      <c r="E1592" s="2">
        <v>8.3400000000000002E-2</v>
      </c>
      <c r="F1592" s="2">
        <v>4.5900000000000003E-2</v>
      </c>
      <c r="G1592" s="2">
        <v>1.9400000000000001E-2</v>
      </c>
      <c r="H1592" s="2">
        <v>2.06E-2</v>
      </c>
      <c r="I1592" s="2">
        <v>7.7000000000000002E-3</v>
      </c>
      <c r="J1592">
        <v>1297</v>
      </c>
    </row>
    <row r="1593" spans="1:10" x14ac:dyDescent="0.35">
      <c r="A1593" t="s">
        <v>228</v>
      </c>
      <c r="B1593" t="s">
        <v>228</v>
      </c>
      <c r="C1593" s="2">
        <v>0.78029999999999999</v>
      </c>
      <c r="D1593" s="2">
        <v>8.4000000000000005E-2</v>
      </c>
      <c r="E1593" s="2">
        <v>7.5899999999999995E-2</v>
      </c>
      <c r="F1593" s="2">
        <v>4.8500000000000001E-2</v>
      </c>
      <c r="G1593" s="2">
        <v>2.5100000000000001E-2</v>
      </c>
      <c r="H1593" s="2">
        <v>1.6400000000000001E-2</v>
      </c>
      <c r="I1593" s="2">
        <v>5.5999999999999999E-3</v>
      </c>
      <c r="J1593">
        <v>1769</v>
      </c>
    </row>
    <row r="1595" spans="1:10" x14ac:dyDescent="0.35">
      <c r="A1595" s="1" t="s">
        <v>651</v>
      </c>
    </row>
    <row r="1596" spans="1:10" x14ac:dyDescent="0.35">
      <c r="A1596" t="s">
        <v>219</v>
      </c>
      <c r="B1596" t="s">
        <v>301</v>
      </c>
      <c r="C1596" t="s">
        <v>298</v>
      </c>
      <c r="D1596" t="s">
        <v>639</v>
      </c>
      <c r="E1596" t="s">
        <v>640</v>
      </c>
      <c r="F1596" t="s">
        <v>641</v>
      </c>
      <c r="G1596" t="s">
        <v>642</v>
      </c>
      <c r="H1596" t="s">
        <v>643</v>
      </c>
      <c r="I1596" t="s">
        <v>277</v>
      </c>
      <c r="J1596" t="s">
        <v>226</v>
      </c>
    </row>
    <row r="1597" spans="1:10" x14ac:dyDescent="0.35">
      <c r="A1597" t="s">
        <v>227</v>
      </c>
      <c r="B1597" t="s">
        <v>259</v>
      </c>
      <c r="C1597" s="2">
        <v>0.75690000000000002</v>
      </c>
      <c r="D1597" s="2">
        <v>9.35E-2</v>
      </c>
      <c r="E1597" s="2">
        <v>2.2499999999999999E-2</v>
      </c>
      <c r="G1597" s="2">
        <v>6.0000000000000001E-3</v>
      </c>
      <c r="H1597" s="2">
        <v>6.7500000000000004E-2</v>
      </c>
      <c r="I1597" s="2">
        <v>5.3499999999999999E-2</v>
      </c>
      <c r="J1597">
        <v>54</v>
      </c>
    </row>
    <row r="1598" spans="1:10" x14ac:dyDescent="0.35">
      <c r="A1598" t="s">
        <v>227</v>
      </c>
      <c r="B1598" t="s">
        <v>257</v>
      </c>
      <c r="C1598" s="2">
        <v>0.76870000000000005</v>
      </c>
      <c r="D1598" s="2">
        <v>0.12520000000000001</v>
      </c>
      <c r="E1598" s="2">
        <v>5.62E-2</v>
      </c>
      <c r="F1598" s="2">
        <v>6.1800000000000001E-2</v>
      </c>
      <c r="G1598" s="2">
        <v>6.7999999999999996E-3</v>
      </c>
      <c r="H1598" s="2">
        <v>1.2200000000000001E-2</v>
      </c>
      <c r="J1598">
        <v>307</v>
      </c>
    </row>
    <row r="1599" spans="1:10" x14ac:dyDescent="0.35">
      <c r="A1599" t="s">
        <v>227</v>
      </c>
      <c r="B1599" t="s">
        <v>256</v>
      </c>
      <c r="C1599" s="2">
        <v>0.78610000000000002</v>
      </c>
      <c r="D1599" s="2">
        <v>6.7000000000000004E-2</v>
      </c>
      <c r="E1599" s="2">
        <v>8.7099999999999997E-2</v>
      </c>
      <c r="F1599" s="2">
        <v>4.5400000000000003E-2</v>
      </c>
      <c r="G1599" s="2">
        <v>2.8199999999999999E-2</v>
      </c>
      <c r="H1599" s="2">
        <v>1.52E-2</v>
      </c>
      <c r="I1599" s="2">
        <v>7.1999999999999998E-3</v>
      </c>
      <c r="J1599">
        <v>1027</v>
      </c>
    </row>
    <row r="1600" spans="1:10" x14ac:dyDescent="0.35">
      <c r="A1600" s="3" t="s">
        <v>227</v>
      </c>
      <c r="B1600" s="3" t="s">
        <v>232</v>
      </c>
      <c r="C1600" s="4">
        <v>0.90549999999999997</v>
      </c>
      <c r="D1600" s="4">
        <v>9.4500000000000001E-2</v>
      </c>
      <c r="E1600" s="4">
        <v>9.4500000000000001E-2</v>
      </c>
      <c r="F1600" s="5"/>
      <c r="G1600" s="5"/>
      <c r="H1600" s="5"/>
      <c r="I1600" s="5"/>
      <c r="J1600" s="5" t="s">
        <v>366</v>
      </c>
    </row>
    <row r="1601" spans="1:10" x14ac:dyDescent="0.35">
      <c r="A1601" t="s">
        <v>227</v>
      </c>
      <c r="B1601" t="s">
        <v>258</v>
      </c>
      <c r="C1601" s="2">
        <v>0.7742</v>
      </c>
      <c r="D1601" s="2">
        <v>9.5399999999999999E-2</v>
      </c>
      <c r="E1601" s="2">
        <v>6.5100000000000005E-2</v>
      </c>
      <c r="F1601" s="2">
        <v>5.1400000000000001E-2</v>
      </c>
      <c r="G1601" s="2">
        <v>3.85E-2</v>
      </c>
      <c r="H1601" s="2">
        <v>1.9599999999999999E-2</v>
      </c>
      <c r="I1601" s="2">
        <v>5.0000000000000001E-4</v>
      </c>
      <c r="J1601">
        <v>374</v>
      </c>
    </row>
    <row r="1602" spans="1:10" x14ac:dyDescent="0.35">
      <c r="A1602" t="s">
        <v>228</v>
      </c>
      <c r="B1602" t="s">
        <v>228</v>
      </c>
      <c r="C1602" s="2">
        <v>0.78029999999999999</v>
      </c>
      <c r="D1602" s="2">
        <v>8.4000000000000005E-2</v>
      </c>
      <c r="E1602" s="2">
        <v>7.5899999999999995E-2</v>
      </c>
      <c r="F1602" s="2">
        <v>4.8500000000000001E-2</v>
      </c>
      <c r="G1602" s="2">
        <v>2.5100000000000001E-2</v>
      </c>
      <c r="H1602" s="2">
        <v>1.6400000000000001E-2</v>
      </c>
      <c r="I1602" s="2">
        <v>5.5999999999999999E-3</v>
      </c>
      <c r="J1602">
        <v>1769</v>
      </c>
    </row>
    <row r="1604" spans="1:10" x14ac:dyDescent="0.35">
      <c r="A1604" s="1" t="s">
        <v>652</v>
      </c>
    </row>
    <row r="1605" spans="1:10" x14ac:dyDescent="0.35">
      <c r="A1605" t="s">
        <v>219</v>
      </c>
      <c r="B1605" t="s">
        <v>301</v>
      </c>
      <c r="C1605" t="s">
        <v>298</v>
      </c>
      <c r="D1605" t="s">
        <v>639</v>
      </c>
      <c r="E1605" t="s">
        <v>640</v>
      </c>
      <c r="F1605" t="s">
        <v>641</v>
      </c>
      <c r="G1605" t="s">
        <v>642</v>
      </c>
      <c r="H1605" t="s">
        <v>643</v>
      </c>
      <c r="I1605" t="s">
        <v>277</v>
      </c>
      <c r="J1605" t="s">
        <v>226</v>
      </c>
    </row>
    <row r="1606" spans="1:10" x14ac:dyDescent="0.35">
      <c r="A1606" t="s">
        <v>227</v>
      </c>
      <c r="B1606" t="s">
        <v>343</v>
      </c>
      <c r="C1606" s="2">
        <v>0.76870000000000005</v>
      </c>
      <c r="D1606" s="2">
        <v>0.12520000000000001</v>
      </c>
      <c r="E1606" s="2">
        <v>5.62E-2</v>
      </c>
      <c r="F1606" s="2">
        <v>6.1800000000000001E-2</v>
      </c>
      <c r="G1606" s="2">
        <v>6.7999999999999996E-3</v>
      </c>
      <c r="H1606" s="2">
        <v>1.2200000000000001E-2</v>
      </c>
      <c r="J1606">
        <v>307</v>
      </c>
    </row>
    <row r="1607" spans="1:10" x14ac:dyDescent="0.35">
      <c r="A1607" t="s">
        <v>227</v>
      </c>
      <c r="B1607" t="s">
        <v>344</v>
      </c>
      <c r="C1607" s="2">
        <v>0.78320000000000001</v>
      </c>
      <c r="D1607" s="2">
        <v>7.3700000000000002E-2</v>
      </c>
      <c r="E1607" s="2">
        <v>8.0799999999999997E-2</v>
      </c>
      <c r="F1607" s="2">
        <v>4.5199999999999997E-2</v>
      </c>
      <c r="G1607" s="2">
        <v>2.9600000000000001E-2</v>
      </c>
      <c r="H1607" s="2">
        <v>1.7399999999999999E-2</v>
      </c>
      <c r="I1607" s="2">
        <v>7.0000000000000001E-3</v>
      </c>
      <c r="J1607">
        <v>1462</v>
      </c>
    </row>
    <row r="1608" spans="1:10" x14ac:dyDescent="0.35">
      <c r="A1608" t="s">
        <v>228</v>
      </c>
      <c r="B1608" t="s">
        <v>228</v>
      </c>
      <c r="C1608" s="2">
        <v>0.78029999999999999</v>
      </c>
      <c r="D1608" s="2">
        <v>8.4000000000000005E-2</v>
      </c>
      <c r="E1608" s="2">
        <v>7.5899999999999995E-2</v>
      </c>
      <c r="F1608" s="2">
        <v>4.8500000000000001E-2</v>
      </c>
      <c r="G1608" s="2">
        <v>2.5100000000000001E-2</v>
      </c>
      <c r="H1608" s="2">
        <v>1.6400000000000001E-2</v>
      </c>
      <c r="I1608" s="2">
        <v>5.5999999999999999E-3</v>
      </c>
      <c r="J1608">
        <v>1769</v>
      </c>
    </row>
    <row r="1610" spans="1:10" x14ac:dyDescent="0.35">
      <c r="A1610" s="1" t="s">
        <v>653</v>
      </c>
    </row>
    <row r="1611" spans="1:10" x14ac:dyDescent="0.35">
      <c r="A1611" t="s">
        <v>219</v>
      </c>
      <c r="B1611" t="s">
        <v>301</v>
      </c>
      <c r="C1611" t="s">
        <v>298</v>
      </c>
      <c r="D1611" t="s">
        <v>639</v>
      </c>
      <c r="E1611" t="s">
        <v>640</v>
      </c>
      <c r="F1611" t="s">
        <v>641</v>
      </c>
      <c r="G1611" t="s">
        <v>642</v>
      </c>
      <c r="H1611" t="s">
        <v>643</v>
      </c>
      <c r="I1611" t="s">
        <v>277</v>
      </c>
      <c r="J1611" t="s">
        <v>226</v>
      </c>
    </row>
    <row r="1612" spans="1:10" x14ac:dyDescent="0.35">
      <c r="A1612" t="s">
        <v>227</v>
      </c>
      <c r="B1612" t="s">
        <v>346</v>
      </c>
      <c r="C1612" s="2">
        <v>0.77690000000000003</v>
      </c>
      <c r="D1612" s="2">
        <v>8.6199999999999999E-2</v>
      </c>
      <c r="E1612" s="2">
        <v>7.8200000000000006E-2</v>
      </c>
      <c r="F1612" s="2">
        <v>5.1700000000000003E-2</v>
      </c>
      <c r="G1612" s="2">
        <v>2.3E-2</v>
      </c>
      <c r="H1612" s="2">
        <v>1.5900000000000001E-2</v>
      </c>
      <c r="I1612" s="2">
        <v>6.1999999999999998E-3</v>
      </c>
      <c r="J1612">
        <v>867</v>
      </c>
    </row>
    <row r="1613" spans="1:10" x14ac:dyDescent="0.35">
      <c r="A1613" t="s">
        <v>227</v>
      </c>
      <c r="B1613" t="s">
        <v>347</v>
      </c>
      <c r="C1613" s="2">
        <v>0.80459999999999998</v>
      </c>
      <c r="D1613" s="2">
        <v>6.2399999999999997E-2</v>
      </c>
      <c r="E1613" s="2">
        <v>5.4600000000000003E-2</v>
      </c>
      <c r="F1613" s="2">
        <v>2.8899999999999999E-2</v>
      </c>
      <c r="G1613" s="2">
        <v>3.8600000000000002E-2</v>
      </c>
      <c r="H1613" s="2">
        <v>2.53E-2</v>
      </c>
      <c r="I1613" s="2">
        <v>1.9E-3</v>
      </c>
      <c r="J1613">
        <v>407</v>
      </c>
    </row>
    <row r="1614" spans="1:10" x14ac:dyDescent="0.35">
      <c r="A1614" t="s">
        <v>227</v>
      </c>
      <c r="B1614" t="s">
        <v>348</v>
      </c>
      <c r="C1614" s="2">
        <v>0.80010000000000003</v>
      </c>
      <c r="D1614" s="2">
        <v>7.3099999999999998E-2</v>
      </c>
      <c r="E1614" s="2">
        <v>6.4799999999999996E-2</v>
      </c>
      <c r="F1614" s="2">
        <v>2.93E-2</v>
      </c>
      <c r="G1614" s="2">
        <v>3.7499999999999999E-2</v>
      </c>
      <c r="H1614" s="2">
        <v>1.7000000000000001E-2</v>
      </c>
      <c r="I1614" s="2">
        <v>1.5E-3</v>
      </c>
      <c r="J1614">
        <v>495</v>
      </c>
    </row>
    <row r="1615" spans="1:10" x14ac:dyDescent="0.35">
      <c r="A1615" t="s">
        <v>228</v>
      </c>
      <c r="B1615" t="s">
        <v>228</v>
      </c>
      <c r="C1615" s="2">
        <v>0.78029999999999999</v>
      </c>
      <c r="D1615" s="2">
        <v>8.4000000000000005E-2</v>
      </c>
      <c r="E1615" s="2">
        <v>7.5899999999999995E-2</v>
      </c>
      <c r="F1615" s="2">
        <v>4.8500000000000001E-2</v>
      </c>
      <c r="G1615" s="2">
        <v>2.5100000000000001E-2</v>
      </c>
      <c r="H1615" s="2">
        <v>1.6400000000000001E-2</v>
      </c>
      <c r="I1615" s="2">
        <v>5.5999999999999999E-3</v>
      </c>
      <c r="J1615">
        <v>1769</v>
      </c>
    </row>
    <row r="1617" spans="1:10" x14ac:dyDescent="0.35">
      <c r="A1617" s="1" t="s">
        <v>654</v>
      </c>
    </row>
    <row r="1618" spans="1:10" x14ac:dyDescent="0.35">
      <c r="A1618" t="s">
        <v>219</v>
      </c>
      <c r="B1618" t="s">
        <v>301</v>
      </c>
      <c r="C1618" t="s">
        <v>298</v>
      </c>
      <c r="D1618" t="s">
        <v>639</v>
      </c>
      <c r="E1618" t="s">
        <v>640</v>
      </c>
      <c r="F1618" t="s">
        <v>641</v>
      </c>
      <c r="G1618" t="s">
        <v>642</v>
      </c>
      <c r="H1618" t="s">
        <v>643</v>
      </c>
      <c r="I1618" t="s">
        <v>277</v>
      </c>
      <c r="J1618" t="s">
        <v>226</v>
      </c>
    </row>
    <row r="1619" spans="1:10" x14ac:dyDescent="0.35">
      <c r="A1619" t="s">
        <v>227</v>
      </c>
      <c r="B1619" t="s">
        <v>251</v>
      </c>
      <c r="C1619" s="2">
        <v>0.78849999999999998</v>
      </c>
      <c r="D1619" s="2">
        <v>6.9199999999999998E-2</v>
      </c>
      <c r="E1619" s="2">
        <v>8.3400000000000002E-2</v>
      </c>
      <c r="F1619" s="2">
        <v>4.5900000000000003E-2</v>
      </c>
      <c r="G1619" s="2">
        <v>1.9400000000000001E-2</v>
      </c>
      <c r="H1619" s="2">
        <v>2.06E-2</v>
      </c>
      <c r="I1619" s="2">
        <v>7.7000000000000002E-3</v>
      </c>
      <c r="J1619">
        <v>1297</v>
      </c>
    </row>
    <row r="1620" spans="1:10" x14ac:dyDescent="0.35">
      <c r="A1620" t="s">
        <v>227</v>
      </c>
      <c r="B1620" t="s">
        <v>252</v>
      </c>
      <c r="C1620" s="2">
        <v>0.76890000000000003</v>
      </c>
      <c r="D1620" s="2">
        <v>0.1178</v>
      </c>
      <c r="E1620" s="2">
        <v>5.5300000000000002E-2</v>
      </c>
      <c r="F1620" s="2">
        <v>5.4300000000000001E-2</v>
      </c>
      <c r="G1620" s="2">
        <v>3.9399999999999998E-2</v>
      </c>
      <c r="H1620" s="2">
        <v>5.7999999999999996E-3</v>
      </c>
      <c r="J1620">
        <v>386</v>
      </c>
    </row>
    <row r="1621" spans="1:10" x14ac:dyDescent="0.35">
      <c r="A1621" t="s">
        <v>227</v>
      </c>
      <c r="B1621" t="s">
        <v>253</v>
      </c>
      <c r="C1621" s="2">
        <v>0.67249999999999999</v>
      </c>
      <c r="D1621" s="2">
        <v>0.16719999999999999</v>
      </c>
      <c r="E1621" s="2">
        <v>6.6600000000000006E-2</v>
      </c>
      <c r="F1621" s="2">
        <v>6.7599999999999993E-2</v>
      </c>
      <c r="G1621" s="2">
        <v>4.3700000000000003E-2</v>
      </c>
      <c r="H1621" s="2">
        <v>2.3999999999999998E-3</v>
      </c>
      <c r="J1621">
        <v>80</v>
      </c>
    </row>
    <row r="1622" spans="1:10" x14ac:dyDescent="0.35">
      <c r="A1622" s="3" t="s">
        <v>227</v>
      </c>
      <c r="B1622" s="3" t="s">
        <v>254</v>
      </c>
      <c r="C1622" s="4">
        <v>0.92220000000000002</v>
      </c>
      <c r="D1622" s="5"/>
      <c r="E1622" s="5"/>
      <c r="F1622" s="5"/>
      <c r="G1622" s="4">
        <v>7.7799999999999994E-2</v>
      </c>
      <c r="H1622" s="5"/>
      <c r="I1622" s="5"/>
      <c r="J1622" s="5" t="s">
        <v>437</v>
      </c>
    </row>
    <row r="1623" spans="1:10" x14ac:dyDescent="0.35">
      <c r="A1623" t="s">
        <v>228</v>
      </c>
      <c r="B1623" t="s">
        <v>228</v>
      </c>
      <c r="C1623" s="2">
        <v>0.78029999999999999</v>
      </c>
      <c r="D1623" s="2">
        <v>8.4000000000000005E-2</v>
      </c>
      <c r="E1623" s="2">
        <v>7.5899999999999995E-2</v>
      </c>
      <c r="F1623" s="2">
        <v>4.8500000000000001E-2</v>
      </c>
      <c r="G1623" s="2">
        <v>2.5100000000000001E-2</v>
      </c>
      <c r="H1623" s="2">
        <v>1.6400000000000001E-2</v>
      </c>
      <c r="I1623" s="2">
        <v>5.5999999999999999E-3</v>
      </c>
      <c r="J1623">
        <v>1769</v>
      </c>
    </row>
    <row r="1625" spans="1:10" x14ac:dyDescent="0.35">
      <c r="A1625" s="1" t="s">
        <v>655</v>
      </c>
    </row>
    <row r="1626" spans="1:10" x14ac:dyDescent="0.35">
      <c r="A1626" t="s">
        <v>219</v>
      </c>
      <c r="B1626" t="s">
        <v>298</v>
      </c>
      <c r="C1626" t="s">
        <v>656</v>
      </c>
      <c r="D1626" t="s">
        <v>657</v>
      </c>
      <c r="E1626" t="s">
        <v>658</v>
      </c>
      <c r="F1626" t="s">
        <v>659</v>
      </c>
      <c r="G1626" t="s">
        <v>277</v>
      </c>
      <c r="H1626" t="s">
        <v>226</v>
      </c>
    </row>
    <row r="1627" spans="1:10" x14ac:dyDescent="0.35">
      <c r="A1627" t="s">
        <v>227</v>
      </c>
      <c r="B1627" s="2">
        <v>0.78690000000000004</v>
      </c>
      <c r="C1627" s="2">
        <v>0.1031</v>
      </c>
      <c r="D1627" s="2">
        <v>7.8700000000000006E-2</v>
      </c>
      <c r="E1627" s="2">
        <v>3.3700000000000001E-2</v>
      </c>
      <c r="F1627" s="2">
        <v>8.8999999999999999E-3</v>
      </c>
      <c r="G1627" s="2">
        <v>3.5999999999999999E-3</v>
      </c>
      <c r="H1627">
        <v>2813</v>
      </c>
    </row>
    <row r="1628" spans="1:10" x14ac:dyDescent="0.35">
      <c r="A1628" t="s">
        <v>228</v>
      </c>
      <c r="B1628" s="2">
        <v>0.78690000000000004</v>
      </c>
      <c r="C1628" s="2">
        <v>0.1031</v>
      </c>
      <c r="D1628" s="2">
        <v>7.8700000000000006E-2</v>
      </c>
      <c r="E1628" s="2">
        <v>3.3700000000000001E-2</v>
      </c>
      <c r="F1628" s="2">
        <v>8.8999999999999999E-3</v>
      </c>
      <c r="G1628" s="2">
        <v>3.5999999999999999E-3</v>
      </c>
      <c r="H1628">
        <v>2813</v>
      </c>
    </row>
    <row r="1630" spans="1:10" x14ac:dyDescent="0.35">
      <c r="A1630" s="1" t="s">
        <v>660</v>
      </c>
    </row>
    <row r="1631" spans="1:10" x14ac:dyDescent="0.35">
      <c r="A1631" t="s">
        <v>219</v>
      </c>
      <c r="B1631" t="s">
        <v>301</v>
      </c>
      <c r="C1631" t="s">
        <v>298</v>
      </c>
      <c r="D1631" t="s">
        <v>656</v>
      </c>
      <c r="E1631" t="s">
        <v>657</v>
      </c>
      <c r="F1631" t="s">
        <v>658</v>
      </c>
      <c r="G1631" t="s">
        <v>659</v>
      </c>
      <c r="H1631" t="s">
        <v>277</v>
      </c>
      <c r="I1631" t="s">
        <v>226</v>
      </c>
    </row>
    <row r="1632" spans="1:10" x14ac:dyDescent="0.35">
      <c r="A1632" t="s">
        <v>227</v>
      </c>
      <c r="B1632" t="s">
        <v>238</v>
      </c>
      <c r="C1632" s="2">
        <v>0.42699999999999999</v>
      </c>
      <c r="D1632" s="2">
        <v>0.28000000000000003</v>
      </c>
      <c r="E1632" s="2">
        <v>0.21360000000000001</v>
      </c>
      <c r="F1632" s="2">
        <v>9.1399999999999995E-2</v>
      </c>
      <c r="G1632" s="2">
        <v>2.4199999999999999E-2</v>
      </c>
      <c r="H1632" s="2">
        <v>4.0000000000000001E-3</v>
      </c>
      <c r="I1632">
        <v>1005</v>
      </c>
    </row>
    <row r="1633" spans="1:9" x14ac:dyDescent="0.35">
      <c r="A1633" t="s">
        <v>227</v>
      </c>
      <c r="B1633" t="s">
        <v>237</v>
      </c>
      <c r="C1633" s="2">
        <v>0.99670000000000003</v>
      </c>
      <c r="H1633" s="2">
        <v>3.3E-3</v>
      </c>
      <c r="I1633">
        <v>1808</v>
      </c>
    </row>
    <row r="1634" spans="1:9" x14ac:dyDescent="0.35">
      <c r="A1634" t="s">
        <v>228</v>
      </c>
      <c r="B1634" t="s">
        <v>228</v>
      </c>
      <c r="C1634" s="2">
        <v>0.78690000000000004</v>
      </c>
      <c r="D1634" s="2">
        <v>0.1031</v>
      </c>
      <c r="E1634" s="2">
        <v>7.8700000000000006E-2</v>
      </c>
      <c r="F1634" s="2">
        <v>3.3700000000000001E-2</v>
      </c>
      <c r="G1634" s="2">
        <v>8.8999999999999999E-3</v>
      </c>
      <c r="H1634" s="2">
        <v>3.5999999999999999E-3</v>
      </c>
      <c r="I1634">
        <v>2813</v>
      </c>
    </row>
    <row r="1636" spans="1:9" x14ac:dyDescent="0.35">
      <c r="A1636" s="1" t="s">
        <v>661</v>
      </c>
    </row>
    <row r="1637" spans="1:9" x14ac:dyDescent="0.35">
      <c r="A1637" t="s">
        <v>219</v>
      </c>
      <c r="B1637" t="s">
        <v>301</v>
      </c>
      <c r="C1637" t="s">
        <v>298</v>
      </c>
      <c r="D1637" t="s">
        <v>656</v>
      </c>
      <c r="E1637" t="s">
        <v>657</v>
      </c>
      <c r="F1637" t="s">
        <v>658</v>
      </c>
      <c r="G1637" t="s">
        <v>659</v>
      </c>
      <c r="H1637" t="s">
        <v>277</v>
      </c>
      <c r="I1637" t="s">
        <v>226</v>
      </c>
    </row>
    <row r="1638" spans="1:9" x14ac:dyDescent="0.35">
      <c r="A1638" t="s">
        <v>227</v>
      </c>
      <c r="B1638" t="s">
        <v>235</v>
      </c>
      <c r="C1638" s="2">
        <v>0.75190000000000001</v>
      </c>
      <c r="D1638" s="2">
        <v>0.13370000000000001</v>
      </c>
      <c r="E1638" s="2">
        <v>6.7699999999999996E-2</v>
      </c>
      <c r="F1638" s="2">
        <v>5.0999999999999997E-2</v>
      </c>
      <c r="G1638" s="2">
        <v>1.43E-2</v>
      </c>
      <c r="H1638" s="2">
        <v>4.0000000000000002E-4</v>
      </c>
      <c r="I1638">
        <v>992</v>
      </c>
    </row>
    <row r="1639" spans="1:9" x14ac:dyDescent="0.35">
      <c r="A1639" t="s">
        <v>227</v>
      </c>
      <c r="B1639" t="s">
        <v>234</v>
      </c>
      <c r="C1639" s="2">
        <v>0.80159999999999998</v>
      </c>
      <c r="D1639" s="2">
        <v>9.0300000000000005E-2</v>
      </c>
      <c r="E1639" s="2">
        <v>8.3299999999999999E-2</v>
      </c>
      <c r="F1639" s="2">
        <v>2.64E-2</v>
      </c>
      <c r="G1639" s="2">
        <v>6.6E-3</v>
      </c>
      <c r="H1639" s="2">
        <v>4.8999999999999998E-3</v>
      </c>
      <c r="I1639">
        <v>1821</v>
      </c>
    </row>
    <row r="1640" spans="1:9" x14ac:dyDescent="0.35">
      <c r="A1640" t="s">
        <v>228</v>
      </c>
      <c r="B1640" t="s">
        <v>228</v>
      </c>
      <c r="C1640" s="2">
        <v>0.78690000000000004</v>
      </c>
      <c r="D1640" s="2">
        <v>0.1031</v>
      </c>
      <c r="E1640" s="2">
        <v>7.8700000000000006E-2</v>
      </c>
      <c r="F1640" s="2">
        <v>3.3700000000000001E-2</v>
      </c>
      <c r="G1640" s="2">
        <v>8.8999999999999999E-3</v>
      </c>
      <c r="H1640" s="2">
        <v>3.5999999999999999E-3</v>
      </c>
      <c r="I1640">
        <v>2813</v>
      </c>
    </row>
    <row r="1642" spans="1:9" x14ac:dyDescent="0.35">
      <c r="A1642" s="1" t="s">
        <v>662</v>
      </c>
    </row>
    <row r="1643" spans="1:9" x14ac:dyDescent="0.35">
      <c r="A1643" t="s">
        <v>219</v>
      </c>
      <c r="B1643" t="s">
        <v>301</v>
      </c>
      <c r="C1643" t="s">
        <v>298</v>
      </c>
      <c r="D1643" t="s">
        <v>656</v>
      </c>
      <c r="E1643" t="s">
        <v>657</v>
      </c>
      <c r="F1643" t="s">
        <v>658</v>
      </c>
      <c r="G1643" t="s">
        <v>659</v>
      </c>
      <c r="H1643" t="s">
        <v>277</v>
      </c>
      <c r="I1643" t="s">
        <v>226</v>
      </c>
    </row>
    <row r="1644" spans="1:9" x14ac:dyDescent="0.35">
      <c r="A1644" t="s">
        <v>227</v>
      </c>
      <c r="B1644" t="s">
        <v>240</v>
      </c>
      <c r="C1644" s="2">
        <v>0.75729999999999997</v>
      </c>
      <c r="D1644" s="2">
        <v>0.1183</v>
      </c>
      <c r="E1644" s="2">
        <v>9.8000000000000004E-2</v>
      </c>
      <c r="F1644" s="2">
        <v>3.49E-2</v>
      </c>
      <c r="G1644" s="2">
        <v>9.1000000000000004E-3</v>
      </c>
      <c r="H1644" s="2">
        <v>5.9999999999999995E-4</v>
      </c>
      <c r="I1644">
        <v>1756</v>
      </c>
    </row>
    <row r="1645" spans="1:9" x14ac:dyDescent="0.35">
      <c r="A1645" t="s">
        <v>227</v>
      </c>
      <c r="B1645" t="s">
        <v>241</v>
      </c>
      <c r="C1645" s="2">
        <v>0.88539999999999996</v>
      </c>
      <c r="D1645" s="2">
        <v>6.0699999999999997E-2</v>
      </c>
      <c r="E1645" s="2">
        <v>3.4299999999999997E-2</v>
      </c>
      <c r="F1645" s="2">
        <v>1.47E-2</v>
      </c>
      <c r="H1645" s="2">
        <v>4.8999999999999998E-3</v>
      </c>
      <c r="I1645">
        <v>891</v>
      </c>
    </row>
    <row r="1646" spans="1:9" x14ac:dyDescent="0.35">
      <c r="A1646" t="s">
        <v>227</v>
      </c>
      <c r="B1646" t="s">
        <v>242</v>
      </c>
      <c r="C1646" s="2">
        <v>0.63470000000000004</v>
      </c>
      <c r="D1646" s="2">
        <v>0.14460000000000001</v>
      </c>
      <c r="E1646" s="2">
        <v>8.9399999999999993E-2</v>
      </c>
      <c r="F1646" s="2">
        <v>0.1057</v>
      </c>
      <c r="G1646" s="2">
        <v>4.65E-2</v>
      </c>
      <c r="H1646" s="2">
        <v>2.6100000000000002E-2</v>
      </c>
      <c r="I1646">
        <v>166</v>
      </c>
    </row>
    <row r="1647" spans="1:9" x14ac:dyDescent="0.35">
      <c r="A1647" t="s">
        <v>228</v>
      </c>
      <c r="B1647" t="s">
        <v>228</v>
      </c>
      <c r="C1647" s="2">
        <v>0.78690000000000004</v>
      </c>
      <c r="D1647" s="2">
        <v>0.1031</v>
      </c>
      <c r="E1647" s="2">
        <v>7.8700000000000006E-2</v>
      </c>
      <c r="F1647" s="2">
        <v>3.3700000000000001E-2</v>
      </c>
      <c r="G1647" s="2">
        <v>8.8999999999999999E-3</v>
      </c>
      <c r="H1647" s="2">
        <v>3.5999999999999999E-3</v>
      </c>
      <c r="I1647">
        <v>2813</v>
      </c>
    </row>
    <row r="1649" spans="1:9" x14ac:dyDescent="0.35">
      <c r="A1649" s="1" t="s">
        <v>663</v>
      </c>
    </row>
    <row r="1650" spans="1:9" x14ac:dyDescent="0.35">
      <c r="A1650" t="s">
        <v>219</v>
      </c>
      <c r="B1650" t="s">
        <v>301</v>
      </c>
      <c r="C1650" t="s">
        <v>298</v>
      </c>
      <c r="D1650" t="s">
        <v>656</v>
      </c>
      <c r="E1650" t="s">
        <v>657</v>
      </c>
      <c r="F1650" t="s">
        <v>658</v>
      </c>
      <c r="G1650" t="s">
        <v>659</v>
      </c>
      <c r="H1650" t="s">
        <v>277</v>
      </c>
      <c r="I1650" t="s">
        <v>226</v>
      </c>
    </row>
    <row r="1651" spans="1:9" x14ac:dyDescent="0.35">
      <c r="A1651" t="s">
        <v>227</v>
      </c>
      <c r="B1651" t="s">
        <v>334</v>
      </c>
      <c r="C1651" s="2">
        <v>0.73680000000000001</v>
      </c>
      <c r="D1651" s="2">
        <v>0.1114</v>
      </c>
      <c r="E1651" s="2">
        <v>8.5000000000000006E-2</v>
      </c>
      <c r="F1651" s="2">
        <v>8.2500000000000004E-2</v>
      </c>
      <c r="G1651" s="2">
        <v>1.52E-2</v>
      </c>
      <c r="H1651" s="2">
        <v>4.1000000000000003E-3</v>
      </c>
      <c r="I1651">
        <v>625</v>
      </c>
    </row>
    <row r="1652" spans="1:9" x14ac:dyDescent="0.35">
      <c r="A1652" t="s">
        <v>227</v>
      </c>
      <c r="B1652" t="s">
        <v>335</v>
      </c>
      <c r="C1652" s="2">
        <v>0.85329999999999995</v>
      </c>
      <c r="D1652" s="2">
        <v>6.7500000000000004E-2</v>
      </c>
      <c r="E1652" s="2">
        <v>6.3600000000000004E-2</v>
      </c>
      <c r="F1652" s="2">
        <v>5.0000000000000001E-3</v>
      </c>
      <c r="G1652" s="2">
        <v>5.3E-3</v>
      </c>
      <c r="H1652" s="2">
        <v>6.1000000000000004E-3</v>
      </c>
      <c r="I1652">
        <v>628</v>
      </c>
    </row>
    <row r="1653" spans="1:9" x14ac:dyDescent="0.35">
      <c r="A1653" t="s">
        <v>227</v>
      </c>
      <c r="B1653" t="s">
        <v>336</v>
      </c>
      <c r="C1653" s="2">
        <v>0.71260000000000001</v>
      </c>
      <c r="D1653" s="2">
        <v>0.1444</v>
      </c>
      <c r="E1653" s="2">
        <v>0.1038</v>
      </c>
      <c r="F1653" s="2">
        <v>4.3200000000000002E-2</v>
      </c>
      <c r="G1653" s="2">
        <v>1.47E-2</v>
      </c>
      <c r="H1653" s="2">
        <v>3.0999999999999999E-3</v>
      </c>
      <c r="I1653">
        <v>621</v>
      </c>
    </row>
    <row r="1654" spans="1:9" x14ac:dyDescent="0.35">
      <c r="A1654" t="s">
        <v>227</v>
      </c>
      <c r="B1654" t="s">
        <v>337</v>
      </c>
      <c r="C1654" s="2">
        <v>0.75280000000000002</v>
      </c>
      <c r="D1654" s="2">
        <v>0.13789999999999999</v>
      </c>
      <c r="E1654" s="2">
        <v>8.8499999999999995E-2</v>
      </c>
      <c r="F1654" s="2">
        <v>2.93E-2</v>
      </c>
      <c r="G1654" s="2">
        <v>4.4999999999999997E-3</v>
      </c>
      <c r="I1654">
        <v>602</v>
      </c>
    </row>
    <row r="1655" spans="1:9" x14ac:dyDescent="0.35">
      <c r="A1655" t="s">
        <v>228</v>
      </c>
      <c r="B1655" t="s">
        <v>228</v>
      </c>
      <c r="C1655" s="2">
        <v>0.78690000000000004</v>
      </c>
      <c r="D1655" s="2">
        <v>0.1031</v>
      </c>
      <c r="E1655" s="2">
        <v>7.8700000000000006E-2</v>
      </c>
      <c r="F1655" s="2">
        <v>3.3700000000000001E-2</v>
      </c>
      <c r="G1655" s="2">
        <v>8.8999999999999999E-3</v>
      </c>
      <c r="H1655" s="2">
        <v>3.5999999999999999E-3</v>
      </c>
      <c r="I1655">
        <v>2476</v>
      </c>
    </row>
    <row r="1657" spans="1:9" x14ac:dyDescent="0.35">
      <c r="A1657" s="1" t="s">
        <v>664</v>
      </c>
    </row>
    <row r="1658" spans="1:9" x14ac:dyDescent="0.35">
      <c r="A1658" t="s">
        <v>219</v>
      </c>
      <c r="B1658" t="s">
        <v>301</v>
      </c>
      <c r="C1658" t="s">
        <v>298</v>
      </c>
      <c r="D1658" t="s">
        <v>656</v>
      </c>
      <c r="E1658" t="s">
        <v>657</v>
      </c>
      <c r="F1658" t="s">
        <v>658</v>
      </c>
      <c r="G1658" t="s">
        <v>659</v>
      </c>
      <c r="H1658" t="s">
        <v>277</v>
      </c>
      <c r="I1658" t="s">
        <v>226</v>
      </c>
    </row>
    <row r="1659" spans="1:9" x14ac:dyDescent="0.35">
      <c r="A1659" t="s">
        <v>227</v>
      </c>
      <c r="B1659" t="s">
        <v>263</v>
      </c>
      <c r="C1659" s="2">
        <v>0.79869999999999997</v>
      </c>
      <c r="D1659" s="2">
        <v>0.1087</v>
      </c>
      <c r="E1659" s="2">
        <v>6.0699999999999997E-2</v>
      </c>
      <c r="F1659" s="2">
        <v>4.24E-2</v>
      </c>
      <c r="G1659" s="2">
        <v>5.4999999999999997E-3</v>
      </c>
      <c r="H1659" s="2">
        <v>1.1000000000000001E-3</v>
      </c>
      <c r="I1659">
        <v>589</v>
      </c>
    </row>
    <row r="1660" spans="1:9" x14ac:dyDescent="0.35">
      <c r="A1660" t="s">
        <v>227</v>
      </c>
      <c r="B1660" t="s">
        <v>262</v>
      </c>
      <c r="C1660" s="2">
        <v>0.84299999999999997</v>
      </c>
      <c r="D1660" s="2">
        <v>7.7299999999999994E-2</v>
      </c>
      <c r="E1660" s="2">
        <v>5.79E-2</v>
      </c>
      <c r="F1660" s="2">
        <v>2.1100000000000001E-2</v>
      </c>
      <c r="G1660" s="2">
        <v>3.3E-3</v>
      </c>
      <c r="H1660" s="2">
        <v>4.0000000000000001E-3</v>
      </c>
      <c r="I1660">
        <v>1160</v>
      </c>
    </row>
    <row r="1661" spans="1:9" x14ac:dyDescent="0.35">
      <c r="A1661" t="s">
        <v>227</v>
      </c>
      <c r="B1661" t="s">
        <v>261</v>
      </c>
      <c r="C1661" s="2">
        <v>0.73199999999999998</v>
      </c>
      <c r="D1661" s="2">
        <v>0.123</v>
      </c>
      <c r="E1661" s="2">
        <v>0.1056</v>
      </c>
      <c r="F1661" s="2">
        <v>4.0399999999999998E-2</v>
      </c>
      <c r="G1661" s="2">
        <v>1.54E-2</v>
      </c>
      <c r="H1661" s="2">
        <v>4.4999999999999997E-3</v>
      </c>
      <c r="I1661">
        <v>1062</v>
      </c>
    </row>
    <row r="1662" spans="1:9" x14ac:dyDescent="0.35">
      <c r="A1662" s="3" t="s">
        <v>227</v>
      </c>
      <c r="B1662" s="3" t="s">
        <v>232</v>
      </c>
      <c r="C1662" s="4">
        <v>1</v>
      </c>
      <c r="D1662" s="5"/>
      <c r="E1662" s="5"/>
      <c r="F1662" s="5"/>
      <c r="G1662" s="5"/>
      <c r="H1662" s="5"/>
      <c r="I1662" s="5" t="s">
        <v>434</v>
      </c>
    </row>
    <row r="1663" spans="1:9" x14ac:dyDescent="0.35">
      <c r="A1663" t="s">
        <v>228</v>
      </c>
      <c r="B1663" t="s">
        <v>228</v>
      </c>
      <c r="C1663" s="2">
        <v>0.78690000000000004</v>
      </c>
      <c r="D1663" s="2">
        <v>0.1031</v>
      </c>
      <c r="E1663" s="2">
        <v>7.8700000000000006E-2</v>
      </c>
      <c r="F1663" s="2">
        <v>3.3700000000000001E-2</v>
      </c>
      <c r="G1663" s="2">
        <v>8.8999999999999999E-3</v>
      </c>
      <c r="H1663" s="2">
        <v>3.5999999999999999E-3</v>
      </c>
      <c r="I1663">
        <v>2813</v>
      </c>
    </row>
    <row r="1665" spans="1:9" x14ac:dyDescent="0.35">
      <c r="A1665" s="1" t="s">
        <v>665</v>
      </c>
    </row>
    <row r="1666" spans="1:9" x14ac:dyDescent="0.35">
      <c r="A1666" t="s">
        <v>219</v>
      </c>
      <c r="B1666" t="s">
        <v>301</v>
      </c>
      <c r="C1666" t="s">
        <v>298</v>
      </c>
      <c r="D1666" t="s">
        <v>656</v>
      </c>
      <c r="E1666" t="s">
        <v>657</v>
      </c>
      <c r="F1666" t="s">
        <v>658</v>
      </c>
      <c r="G1666" t="s">
        <v>659</v>
      </c>
      <c r="H1666" t="s">
        <v>277</v>
      </c>
      <c r="I1666" t="s">
        <v>226</v>
      </c>
    </row>
    <row r="1667" spans="1:9" x14ac:dyDescent="0.35">
      <c r="A1667" t="s">
        <v>227</v>
      </c>
      <c r="B1667" t="s">
        <v>248</v>
      </c>
      <c r="C1667" s="2">
        <v>0.77100000000000002</v>
      </c>
      <c r="D1667" s="2">
        <v>0.1101</v>
      </c>
      <c r="E1667" s="2">
        <v>8.5000000000000006E-2</v>
      </c>
      <c r="F1667" s="2">
        <v>4.2500000000000003E-2</v>
      </c>
      <c r="H1667" s="2">
        <v>5.3E-3</v>
      </c>
      <c r="I1667">
        <v>796</v>
      </c>
    </row>
    <row r="1668" spans="1:9" x14ac:dyDescent="0.35">
      <c r="A1668" t="s">
        <v>227</v>
      </c>
      <c r="B1668" t="s">
        <v>249</v>
      </c>
      <c r="C1668" s="2">
        <v>0.66949999999999998</v>
      </c>
      <c r="D1668" s="2">
        <v>0.1401</v>
      </c>
      <c r="E1668" s="2">
        <v>0.1401</v>
      </c>
      <c r="F1668" s="2">
        <v>6.6400000000000001E-2</v>
      </c>
      <c r="G1668" s="2">
        <v>2.1299999999999999E-2</v>
      </c>
      <c r="I1668">
        <v>541</v>
      </c>
    </row>
    <row r="1669" spans="1:9" x14ac:dyDescent="0.35">
      <c r="A1669" t="s">
        <v>227</v>
      </c>
      <c r="B1669" t="s">
        <v>247</v>
      </c>
      <c r="C1669" s="2">
        <v>0.83789999999999998</v>
      </c>
      <c r="D1669" s="2">
        <v>8.5999999999999993E-2</v>
      </c>
      <c r="E1669" s="2">
        <v>5.2999999999999999E-2</v>
      </c>
      <c r="F1669" s="2">
        <v>1.72E-2</v>
      </c>
      <c r="G1669" s="2">
        <v>8.9999999999999993E-3</v>
      </c>
      <c r="H1669" s="2">
        <v>4.0000000000000001E-3</v>
      </c>
      <c r="I1669">
        <v>1476</v>
      </c>
    </row>
    <row r="1670" spans="1:9" x14ac:dyDescent="0.35">
      <c r="A1670" t="s">
        <v>228</v>
      </c>
      <c r="B1670" t="s">
        <v>228</v>
      </c>
      <c r="C1670" s="2">
        <v>0.78690000000000004</v>
      </c>
      <c r="D1670" s="2">
        <v>0.1031</v>
      </c>
      <c r="E1670" s="2">
        <v>7.8700000000000006E-2</v>
      </c>
      <c r="F1670" s="2">
        <v>3.3700000000000001E-2</v>
      </c>
      <c r="G1670" s="2">
        <v>8.8999999999999999E-3</v>
      </c>
      <c r="H1670" s="2">
        <v>3.5999999999999999E-3</v>
      </c>
      <c r="I1670">
        <v>2813</v>
      </c>
    </row>
    <row r="1672" spans="1:9" x14ac:dyDescent="0.35">
      <c r="A1672" s="1" t="s">
        <v>666</v>
      </c>
    </row>
    <row r="1673" spans="1:9" x14ac:dyDescent="0.35">
      <c r="A1673" t="s">
        <v>219</v>
      </c>
      <c r="B1673" t="s">
        <v>301</v>
      </c>
      <c r="C1673" t="s">
        <v>298</v>
      </c>
      <c r="D1673" t="s">
        <v>656</v>
      </c>
      <c r="E1673" t="s">
        <v>657</v>
      </c>
      <c r="F1673" t="s">
        <v>658</v>
      </c>
      <c r="G1673" t="s">
        <v>659</v>
      </c>
      <c r="H1673" t="s">
        <v>277</v>
      </c>
      <c r="I1673" t="s">
        <v>226</v>
      </c>
    </row>
    <row r="1674" spans="1:9" x14ac:dyDescent="0.35">
      <c r="A1674" t="s">
        <v>227</v>
      </c>
      <c r="B1674" t="s">
        <v>245</v>
      </c>
      <c r="C1674" s="2">
        <v>0.8054</v>
      </c>
      <c r="D1674" s="2">
        <v>0.10249999999999999</v>
      </c>
      <c r="E1674" s="2">
        <v>5.6000000000000001E-2</v>
      </c>
      <c r="F1674" s="2">
        <v>1.7899999999999999E-2</v>
      </c>
      <c r="G1674" s="2">
        <v>1.7000000000000001E-2</v>
      </c>
      <c r="H1674" s="2">
        <v>6.3E-3</v>
      </c>
      <c r="I1674">
        <v>783</v>
      </c>
    </row>
    <row r="1675" spans="1:9" x14ac:dyDescent="0.35">
      <c r="A1675" t="s">
        <v>227</v>
      </c>
      <c r="B1675" t="s">
        <v>244</v>
      </c>
      <c r="C1675" s="2">
        <v>0.77959999999999996</v>
      </c>
      <c r="D1675" s="2">
        <v>0.1033</v>
      </c>
      <c r="E1675" s="2">
        <v>8.7599999999999997E-2</v>
      </c>
      <c r="F1675" s="2">
        <v>3.9899999999999998E-2</v>
      </c>
      <c r="G1675" s="2">
        <v>5.7000000000000002E-3</v>
      </c>
      <c r="H1675" s="2">
        <v>2.5000000000000001E-3</v>
      </c>
      <c r="I1675">
        <v>2030</v>
      </c>
    </row>
    <row r="1676" spans="1:9" x14ac:dyDescent="0.35">
      <c r="A1676" t="s">
        <v>228</v>
      </c>
      <c r="B1676" t="s">
        <v>228</v>
      </c>
      <c r="C1676" s="2">
        <v>0.78690000000000004</v>
      </c>
      <c r="D1676" s="2">
        <v>0.1031</v>
      </c>
      <c r="E1676" s="2">
        <v>7.8700000000000006E-2</v>
      </c>
      <c r="F1676" s="2">
        <v>3.3700000000000001E-2</v>
      </c>
      <c r="G1676" s="2">
        <v>8.8999999999999999E-3</v>
      </c>
      <c r="H1676" s="2">
        <v>3.5999999999999999E-3</v>
      </c>
      <c r="I1676">
        <v>2813</v>
      </c>
    </row>
    <row r="1678" spans="1:9" x14ac:dyDescent="0.35">
      <c r="A1678" s="1" t="s">
        <v>667</v>
      </c>
    </row>
    <row r="1679" spans="1:9" x14ac:dyDescent="0.35">
      <c r="A1679" t="s">
        <v>219</v>
      </c>
      <c r="B1679" t="s">
        <v>301</v>
      </c>
      <c r="C1679" t="s">
        <v>298</v>
      </c>
      <c r="D1679" t="s">
        <v>656</v>
      </c>
      <c r="E1679" t="s">
        <v>657</v>
      </c>
      <c r="F1679" t="s">
        <v>658</v>
      </c>
      <c r="G1679" t="s">
        <v>659</v>
      </c>
      <c r="H1679" t="s">
        <v>277</v>
      </c>
      <c r="I1679" t="s">
        <v>226</v>
      </c>
    </row>
    <row r="1680" spans="1:9" x14ac:dyDescent="0.35">
      <c r="A1680" t="s">
        <v>227</v>
      </c>
      <c r="B1680" t="s">
        <v>259</v>
      </c>
      <c r="C1680" s="2">
        <v>0.73140000000000005</v>
      </c>
      <c r="D1680" s="2">
        <v>0.161</v>
      </c>
      <c r="E1680" s="2">
        <v>7.5999999999999998E-2</v>
      </c>
      <c r="F1680" s="2">
        <v>4.5199999999999997E-2</v>
      </c>
      <c r="I1680">
        <v>69</v>
      </c>
    </row>
    <row r="1681" spans="1:9" x14ac:dyDescent="0.35">
      <c r="A1681" t="s">
        <v>227</v>
      </c>
      <c r="B1681" t="s">
        <v>257</v>
      </c>
      <c r="C1681" s="2">
        <v>0.751</v>
      </c>
      <c r="D1681" s="2">
        <v>0.15559999999999999</v>
      </c>
      <c r="E1681" s="2">
        <v>7.7299999999999994E-2</v>
      </c>
      <c r="F1681" s="2">
        <v>1.5299999999999999E-2</v>
      </c>
      <c r="G1681" s="2">
        <v>6.1000000000000004E-3</v>
      </c>
      <c r="H1681" s="2">
        <v>6.9999999999999999E-4</v>
      </c>
      <c r="I1681">
        <v>405</v>
      </c>
    </row>
    <row r="1682" spans="1:9" x14ac:dyDescent="0.35">
      <c r="A1682" t="s">
        <v>227</v>
      </c>
      <c r="B1682" t="s">
        <v>256</v>
      </c>
      <c r="C1682" s="2">
        <v>0.78800000000000003</v>
      </c>
      <c r="D1682" s="2">
        <v>9.8400000000000001E-2</v>
      </c>
      <c r="E1682" s="2">
        <v>7.8399999999999997E-2</v>
      </c>
      <c r="F1682" s="2">
        <v>3.9899999999999998E-2</v>
      </c>
      <c r="G1682" s="2">
        <v>9.5999999999999992E-3</v>
      </c>
      <c r="H1682" s="2">
        <v>5.1999999999999998E-3</v>
      </c>
      <c r="I1682">
        <v>1803</v>
      </c>
    </row>
    <row r="1683" spans="1:9" x14ac:dyDescent="0.35">
      <c r="A1683" s="3" t="s">
        <v>227</v>
      </c>
      <c r="B1683" s="3" t="s">
        <v>232</v>
      </c>
      <c r="C1683" s="4">
        <v>0.89419999999999999</v>
      </c>
      <c r="D1683" s="5"/>
      <c r="E1683" s="4">
        <v>0.10580000000000001</v>
      </c>
      <c r="F1683" s="5"/>
      <c r="G1683" s="5"/>
      <c r="H1683" s="5"/>
      <c r="I1683" s="5" t="s">
        <v>307</v>
      </c>
    </row>
    <row r="1684" spans="1:9" x14ac:dyDescent="0.35">
      <c r="A1684" t="s">
        <v>227</v>
      </c>
      <c r="B1684" t="s">
        <v>258</v>
      </c>
      <c r="C1684" s="2">
        <v>0.82820000000000005</v>
      </c>
      <c r="D1684" s="2">
        <v>5.8799999999999998E-2</v>
      </c>
      <c r="E1684" s="2">
        <v>8.1299999999999997E-2</v>
      </c>
      <c r="F1684" s="2">
        <v>2.5700000000000001E-2</v>
      </c>
      <c r="G1684" s="2">
        <v>9.9000000000000008E-3</v>
      </c>
      <c r="I1684">
        <v>525</v>
      </c>
    </row>
    <row r="1685" spans="1:9" x14ac:dyDescent="0.35">
      <c r="A1685" t="s">
        <v>228</v>
      </c>
      <c r="B1685" t="s">
        <v>228</v>
      </c>
      <c r="C1685" s="2">
        <v>0.78690000000000004</v>
      </c>
      <c r="D1685" s="2">
        <v>0.1031</v>
      </c>
      <c r="E1685" s="2">
        <v>7.8700000000000006E-2</v>
      </c>
      <c r="F1685" s="2">
        <v>3.3700000000000001E-2</v>
      </c>
      <c r="G1685" s="2">
        <v>8.8999999999999999E-3</v>
      </c>
      <c r="H1685" s="2">
        <v>3.5999999999999999E-3</v>
      </c>
      <c r="I1685">
        <v>2813</v>
      </c>
    </row>
    <row r="1687" spans="1:9" x14ac:dyDescent="0.35">
      <c r="A1687" s="1" t="s">
        <v>668</v>
      </c>
    </row>
    <row r="1688" spans="1:9" x14ac:dyDescent="0.35">
      <c r="A1688" t="s">
        <v>219</v>
      </c>
      <c r="B1688" t="s">
        <v>301</v>
      </c>
      <c r="C1688" t="s">
        <v>298</v>
      </c>
      <c r="D1688" t="s">
        <v>656</v>
      </c>
      <c r="E1688" t="s">
        <v>657</v>
      </c>
      <c r="F1688" t="s">
        <v>658</v>
      </c>
      <c r="G1688" t="s">
        <v>659</v>
      </c>
      <c r="H1688" t="s">
        <v>277</v>
      </c>
      <c r="I1688" t="s">
        <v>226</v>
      </c>
    </row>
    <row r="1689" spans="1:9" x14ac:dyDescent="0.35">
      <c r="A1689" t="s">
        <v>227</v>
      </c>
      <c r="B1689" t="s">
        <v>343</v>
      </c>
      <c r="C1689" s="2">
        <v>0.751</v>
      </c>
      <c r="D1689" s="2">
        <v>0.15559999999999999</v>
      </c>
      <c r="E1689" s="2">
        <v>7.7299999999999994E-2</v>
      </c>
      <c r="F1689" s="2">
        <v>1.5299999999999999E-2</v>
      </c>
      <c r="G1689" s="2">
        <v>6.1000000000000004E-3</v>
      </c>
      <c r="H1689" s="2">
        <v>6.9999999999999999E-4</v>
      </c>
      <c r="I1689">
        <v>405</v>
      </c>
    </row>
    <row r="1690" spans="1:9" x14ac:dyDescent="0.35">
      <c r="A1690" t="s">
        <v>227</v>
      </c>
      <c r="B1690" t="s">
        <v>344</v>
      </c>
      <c r="C1690" s="2">
        <v>0.79420000000000002</v>
      </c>
      <c r="D1690" s="2">
        <v>9.2399999999999996E-2</v>
      </c>
      <c r="E1690" s="2">
        <v>7.8899999999999998E-2</v>
      </c>
      <c r="F1690" s="2">
        <v>3.7400000000000003E-2</v>
      </c>
      <c r="G1690" s="2">
        <v>9.4999999999999998E-3</v>
      </c>
      <c r="H1690" s="2">
        <v>4.1999999999999997E-3</v>
      </c>
      <c r="I1690">
        <v>2408</v>
      </c>
    </row>
    <row r="1691" spans="1:9" x14ac:dyDescent="0.35">
      <c r="A1691" t="s">
        <v>228</v>
      </c>
      <c r="B1691" t="s">
        <v>228</v>
      </c>
      <c r="C1691" s="2">
        <v>0.78690000000000004</v>
      </c>
      <c r="D1691" s="2">
        <v>0.1031</v>
      </c>
      <c r="E1691" s="2">
        <v>7.8700000000000006E-2</v>
      </c>
      <c r="F1691" s="2">
        <v>3.3700000000000001E-2</v>
      </c>
      <c r="G1691" s="2">
        <v>8.8999999999999999E-3</v>
      </c>
      <c r="H1691" s="2">
        <v>3.5999999999999999E-3</v>
      </c>
      <c r="I1691">
        <v>2813</v>
      </c>
    </row>
    <row r="1693" spans="1:9" x14ac:dyDescent="0.35">
      <c r="A1693" s="1" t="s">
        <v>669</v>
      </c>
    </row>
    <row r="1694" spans="1:9" x14ac:dyDescent="0.35">
      <c r="A1694" t="s">
        <v>219</v>
      </c>
      <c r="B1694" t="s">
        <v>301</v>
      </c>
      <c r="C1694" t="s">
        <v>298</v>
      </c>
      <c r="D1694" t="s">
        <v>656</v>
      </c>
      <c r="E1694" t="s">
        <v>657</v>
      </c>
      <c r="F1694" t="s">
        <v>658</v>
      </c>
      <c r="G1694" t="s">
        <v>659</v>
      </c>
      <c r="H1694" t="s">
        <v>277</v>
      </c>
      <c r="I1694" t="s">
        <v>226</v>
      </c>
    </row>
    <row r="1695" spans="1:9" x14ac:dyDescent="0.35">
      <c r="A1695" t="s">
        <v>227</v>
      </c>
      <c r="B1695" t="s">
        <v>346</v>
      </c>
      <c r="C1695" s="2">
        <v>0.78439999999999999</v>
      </c>
      <c r="D1695" s="2">
        <v>0.10390000000000001</v>
      </c>
      <c r="E1695" s="2">
        <v>7.9500000000000001E-2</v>
      </c>
      <c r="F1695" s="2">
        <v>3.4700000000000002E-2</v>
      </c>
      <c r="G1695" s="2">
        <v>9.1000000000000004E-3</v>
      </c>
      <c r="H1695" s="2">
        <v>3.5999999999999999E-3</v>
      </c>
      <c r="I1695">
        <v>1463</v>
      </c>
    </row>
    <row r="1696" spans="1:9" x14ac:dyDescent="0.35">
      <c r="A1696" t="s">
        <v>227</v>
      </c>
      <c r="B1696" t="s">
        <v>347</v>
      </c>
      <c r="C1696" s="2">
        <v>0.76870000000000005</v>
      </c>
      <c r="D1696" s="2">
        <v>0.10879999999999999</v>
      </c>
      <c r="E1696" s="2">
        <v>9.9400000000000002E-2</v>
      </c>
      <c r="F1696" s="2">
        <v>2.3800000000000002E-2</v>
      </c>
      <c r="G1696" s="2">
        <v>6.4000000000000003E-3</v>
      </c>
      <c r="H1696" s="2">
        <v>3.7000000000000002E-3</v>
      </c>
      <c r="I1696">
        <v>585</v>
      </c>
    </row>
    <row r="1697" spans="1:9" x14ac:dyDescent="0.35">
      <c r="A1697" t="s">
        <v>227</v>
      </c>
      <c r="B1697" t="s">
        <v>348</v>
      </c>
      <c r="C1697" s="2">
        <v>0.81659999999999999</v>
      </c>
      <c r="D1697" s="2">
        <v>9.3299999999999994E-2</v>
      </c>
      <c r="E1697" s="2">
        <v>6.3200000000000006E-2</v>
      </c>
      <c r="F1697" s="2">
        <v>2.7699999999999999E-2</v>
      </c>
      <c r="G1697" s="2">
        <v>8.3999999999999995E-3</v>
      </c>
      <c r="H1697" s="2">
        <v>3.2000000000000002E-3</v>
      </c>
      <c r="I1697">
        <v>765</v>
      </c>
    </row>
    <row r="1698" spans="1:9" x14ac:dyDescent="0.35">
      <c r="A1698" t="s">
        <v>228</v>
      </c>
      <c r="B1698" t="s">
        <v>228</v>
      </c>
      <c r="C1698" s="2">
        <v>0.78690000000000004</v>
      </c>
      <c r="D1698" s="2">
        <v>0.1031</v>
      </c>
      <c r="E1698" s="2">
        <v>7.8700000000000006E-2</v>
      </c>
      <c r="F1698" s="2">
        <v>3.3700000000000001E-2</v>
      </c>
      <c r="G1698" s="2">
        <v>8.8999999999999999E-3</v>
      </c>
      <c r="H1698" s="2">
        <v>3.5999999999999999E-3</v>
      </c>
      <c r="I1698">
        <v>2813</v>
      </c>
    </row>
    <row r="1700" spans="1:9" x14ac:dyDescent="0.35">
      <c r="A1700" s="1" t="s">
        <v>670</v>
      </c>
    </row>
    <row r="1701" spans="1:9" x14ac:dyDescent="0.35">
      <c r="A1701" t="s">
        <v>219</v>
      </c>
      <c r="B1701" t="s">
        <v>301</v>
      </c>
      <c r="C1701" t="s">
        <v>298</v>
      </c>
      <c r="D1701" t="s">
        <v>656</v>
      </c>
      <c r="E1701" t="s">
        <v>657</v>
      </c>
      <c r="F1701" t="s">
        <v>658</v>
      </c>
      <c r="G1701" t="s">
        <v>659</v>
      </c>
      <c r="H1701" t="s">
        <v>277</v>
      </c>
      <c r="I1701" t="s">
        <v>226</v>
      </c>
    </row>
    <row r="1702" spans="1:9" x14ac:dyDescent="0.35">
      <c r="A1702" t="s">
        <v>227</v>
      </c>
      <c r="B1702" t="s">
        <v>251</v>
      </c>
      <c r="C1702" s="2">
        <v>0.77959999999999996</v>
      </c>
      <c r="D1702" s="2">
        <v>0.1033</v>
      </c>
      <c r="E1702" s="2">
        <v>8.7599999999999997E-2</v>
      </c>
      <c r="F1702" s="2">
        <v>3.9899999999999998E-2</v>
      </c>
      <c r="G1702" s="2">
        <v>5.7000000000000002E-3</v>
      </c>
      <c r="H1702" s="2">
        <v>2.5000000000000001E-3</v>
      </c>
      <c r="I1702">
        <v>2030</v>
      </c>
    </row>
    <row r="1703" spans="1:9" x14ac:dyDescent="0.35">
      <c r="A1703" t="s">
        <v>227</v>
      </c>
      <c r="B1703" t="s">
        <v>252</v>
      </c>
      <c r="C1703" s="2">
        <v>0.77239999999999998</v>
      </c>
      <c r="D1703" s="2">
        <v>0.1171</v>
      </c>
      <c r="E1703" s="2">
        <v>6.7900000000000002E-2</v>
      </c>
      <c r="F1703" s="2">
        <v>2.1399999999999999E-2</v>
      </c>
      <c r="G1703" s="2">
        <v>1.9800000000000002E-2</v>
      </c>
      <c r="H1703" s="2">
        <v>7.7999999999999996E-3</v>
      </c>
      <c r="I1703">
        <v>621</v>
      </c>
    </row>
    <row r="1704" spans="1:9" x14ac:dyDescent="0.35">
      <c r="A1704" t="s">
        <v>227</v>
      </c>
      <c r="B1704" t="s">
        <v>253</v>
      </c>
      <c r="C1704" s="2">
        <v>0.94289999999999996</v>
      </c>
      <c r="D1704" s="2">
        <v>4.2099999999999999E-2</v>
      </c>
      <c r="E1704" s="2">
        <v>6.1000000000000004E-3</v>
      </c>
      <c r="F1704" s="2">
        <v>3.5999999999999999E-3</v>
      </c>
      <c r="G1704" s="2">
        <v>5.1999999999999998E-3</v>
      </c>
      <c r="I1704">
        <v>153</v>
      </c>
    </row>
    <row r="1705" spans="1:9" x14ac:dyDescent="0.35">
      <c r="A1705" s="3" t="s">
        <v>227</v>
      </c>
      <c r="B1705" s="3" t="s">
        <v>254</v>
      </c>
      <c r="C1705" s="4">
        <v>1</v>
      </c>
      <c r="D1705" s="5"/>
      <c r="E1705" s="5"/>
      <c r="F1705" s="5"/>
      <c r="G1705" s="5"/>
      <c r="H1705" s="5"/>
      <c r="I1705" s="5" t="s">
        <v>515</v>
      </c>
    </row>
    <row r="1706" spans="1:9" x14ac:dyDescent="0.35">
      <c r="A1706" t="s">
        <v>228</v>
      </c>
      <c r="B1706" t="s">
        <v>228</v>
      </c>
      <c r="C1706" s="2">
        <v>0.78690000000000004</v>
      </c>
      <c r="D1706" s="2">
        <v>0.1031</v>
      </c>
      <c r="E1706" s="2">
        <v>7.8700000000000006E-2</v>
      </c>
      <c r="F1706" s="2">
        <v>3.3700000000000001E-2</v>
      </c>
      <c r="G1706" s="2">
        <v>8.8999999999999999E-3</v>
      </c>
      <c r="H1706" s="2">
        <v>3.5999999999999999E-3</v>
      </c>
      <c r="I1706">
        <v>2813</v>
      </c>
    </row>
    <row r="1708" spans="1:9" x14ac:dyDescent="0.35">
      <c r="A1708" s="1" t="s">
        <v>671</v>
      </c>
    </row>
    <row r="1709" spans="1:9" x14ac:dyDescent="0.35">
      <c r="A1709" t="s">
        <v>219</v>
      </c>
      <c r="B1709" t="s">
        <v>672</v>
      </c>
      <c r="C1709" t="s">
        <v>673</v>
      </c>
      <c r="D1709" t="s">
        <v>674</v>
      </c>
      <c r="E1709" t="s">
        <v>675</v>
      </c>
      <c r="F1709" t="s">
        <v>277</v>
      </c>
      <c r="G1709" t="s">
        <v>282</v>
      </c>
      <c r="H1709" t="s">
        <v>226</v>
      </c>
    </row>
    <row r="1710" spans="1:9" x14ac:dyDescent="0.35">
      <c r="A1710" t="s">
        <v>227</v>
      </c>
      <c r="B1710" s="2">
        <v>0.6512</v>
      </c>
      <c r="C1710" s="2">
        <v>0.25940000000000002</v>
      </c>
      <c r="D1710" s="2">
        <v>7.2099999999999997E-2</v>
      </c>
      <c r="E1710" s="2">
        <v>9.2999999999999992E-3</v>
      </c>
      <c r="F1710" s="2">
        <v>6.6E-3</v>
      </c>
      <c r="G1710" s="2">
        <v>1.4E-3</v>
      </c>
      <c r="H1710">
        <v>2813</v>
      </c>
    </row>
    <row r="1711" spans="1:9" x14ac:dyDescent="0.35">
      <c r="A1711" t="s">
        <v>228</v>
      </c>
      <c r="B1711" s="2">
        <v>0.6512</v>
      </c>
      <c r="C1711" s="2">
        <v>0.25940000000000002</v>
      </c>
      <c r="D1711" s="2">
        <v>7.2099999999999997E-2</v>
      </c>
      <c r="E1711" s="2">
        <v>9.2999999999999992E-3</v>
      </c>
      <c r="F1711" s="2">
        <v>6.6E-3</v>
      </c>
      <c r="G1711" s="2">
        <v>1.4E-3</v>
      </c>
      <c r="H1711">
        <v>2813</v>
      </c>
    </row>
    <row r="1713" spans="1:9" x14ac:dyDescent="0.35">
      <c r="A1713" s="1" t="s">
        <v>676</v>
      </c>
    </row>
    <row r="1714" spans="1:9" x14ac:dyDescent="0.35">
      <c r="A1714" t="s">
        <v>219</v>
      </c>
      <c r="B1714" t="s">
        <v>301</v>
      </c>
      <c r="C1714" t="s">
        <v>672</v>
      </c>
      <c r="D1714" t="s">
        <v>673</v>
      </c>
      <c r="E1714" t="s">
        <v>674</v>
      </c>
      <c r="F1714" t="s">
        <v>675</v>
      </c>
      <c r="G1714" t="s">
        <v>277</v>
      </c>
      <c r="H1714" t="s">
        <v>282</v>
      </c>
      <c r="I1714" t="s">
        <v>226</v>
      </c>
    </row>
    <row r="1715" spans="1:9" x14ac:dyDescent="0.35">
      <c r="A1715" t="s">
        <v>227</v>
      </c>
      <c r="B1715" t="s">
        <v>238</v>
      </c>
      <c r="C1715" s="2">
        <v>0.45040000000000002</v>
      </c>
      <c r="D1715" s="2">
        <v>0.32169999999999999</v>
      </c>
      <c r="E1715" s="2">
        <v>0.19589999999999999</v>
      </c>
      <c r="F1715" s="2">
        <v>2.5100000000000001E-2</v>
      </c>
      <c r="G1715" s="2">
        <v>3.3999999999999998E-3</v>
      </c>
      <c r="H1715" s="2">
        <v>3.5000000000000001E-3</v>
      </c>
      <c r="I1715">
        <v>1005</v>
      </c>
    </row>
    <row r="1716" spans="1:9" x14ac:dyDescent="0.35">
      <c r="A1716" t="s">
        <v>227</v>
      </c>
      <c r="B1716" t="s">
        <v>237</v>
      </c>
      <c r="C1716" s="2">
        <v>0.7681</v>
      </c>
      <c r="D1716" s="2">
        <v>0.22320000000000001</v>
      </c>
      <c r="G1716" s="2">
        <v>8.5000000000000006E-3</v>
      </c>
      <c r="H1716" s="2">
        <v>1E-4</v>
      </c>
      <c r="I1716">
        <v>1808</v>
      </c>
    </row>
    <row r="1717" spans="1:9" x14ac:dyDescent="0.35">
      <c r="A1717" t="s">
        <v>228</v>
      </c>
      <c r="B1717" t="s">
        <v>228</v>
      </c>
      <c r="C1717" s="2">
        <v>0.6512</v>
      </c>
      <c r="D1717" s="2">
        <v>0.25940000000000002</v>
      </c>
      <c r="E1717" s="2">
        <v>7.2099999999999997E-2</v>
      </c>
      <c r="F1717" s="2">
        <v>9.2999999999999992E-3</v>
      </c>
      <c r="G1717" s="2">
        <v>6.6E-3</v>
      </c>
      <c r="H1717" s="2">
        <v>1.4E-3</v>
      </c>
      <c r="I1717">
        <v>2813</v>
      </c>
    </row>
    <row r="1719" spans="1:9" x14ac:dyDescent="0.35">
      <c r="A1719" s="1" t="s">
        <v>677</v>
      </c>
    </row>
    <row r="1720" spans="1:9" x14ac:dyDescent="0.35">
      <c r="A1720" t="s">
        <v>219</v>
      </c>
      <c r="B1720" t="s">
        <v>301</v>
      </c>
      <c r="C1720" t="s">
        <v>672</v>
      </c>
      <c r="D1720" t="s">
        <v>673</v>
      </c>
      <c r="E1720" t="s">
        <v>674</v>
      </c>
      <c r="F1720" t="s">
        <v>675</v>
      </c>
      <c r="G1720" t="s">
        <v>277</v>
      </c>
      <c r="H1720" t="s">
        <v>282</v>
      </c>
      <c r="I1720" t="s">
        <v>226</v>
      </c>
    </row>
    <row r="1721" spans="1:9" x14ac:dyDescent="0.35">
      <c r="A1721" t="s">
        <v>227</v>
      </c>
      <c r="B1721" t="s">
        <v>235</v>
      </c>
      <c r="C1721" s="2">
        <v>0.6038</v>
      </c>
      <c r="D1721" s="2">
        <v>0.28820000000000001</v>
      </c>
      <c r="E1721" s="2">
        <v>8.4000000000000005E-2</v>
      </c>
      <c r="F1721" s="2">
        <v>1.67E-2</v>
      </c>
      <c r="G1721" s="2">
        <v>3.3E-3</v>
      </c>
      <c r="H1721" s="2">
        <v>4.1999999999999997E-3</v>
      </c>
      <c r="I1721">
        <v>992</v>
      </c>
    </row>
    <row r="1722" spans="1:9" x14ac:dyDescent="0.35">
      <c r="A1722" t="s">
        <v>227</v>
      </c>
      <c r="B1722" t="s">
        <v>234</v>
      </c>
      <c r="C1722" s="2">
        <v>0.67100000000000004</v>
      </c>
      <c r="D1722" s="2">
        <v>0.24740000000000001</v>
      </c>
      <c r="E1722" s="2">
        <v>6.7199999999999996E-2</v>
      </c>
      <c r="F1722" s="2">
        <v>6.1999999999999998E-3</v>
      </c>
      <c r="G1722" s="2">
        <v>8.0000000000000002E-3</v>
      </c>
      <c r="H1722" s="2">
        <v>2.0000000000000001E-4</v>
      </c>
      <c r="I1722">
        <v>1821</v>
      </c>
    </row>
    <row r="1723" spans="1:9" x14ac:dyDescent="0.35">
      <c r="A1723" t="s">
        <v>228</v>
      </c>
      <c r="B1723" t="s">
        <v>228</v>
      </c>
      <c r="C1723" s="2">
        <v>0.6512</v>
      </c>
      <c r="D1723" s="2">
        <v>0.25940000000000002</v>
      </c>
      <c r="E1723" s="2">
        <v>7.2099999999999997E-2</v>
      </c>
      <c r="F1723" s="2">
        <v>9.2999999999999992E-3</v>
      </c>
      <c r="G1723" s="2">
        <v>6.6E-3</v>
      </c>
      <c r="H1723" s="2">
        <v>1.4E-3</v>
      </c>
      <c r="I1723">
        <v>2813</v>
      </c>
    </row>
    <row r="1725" spans="1:9" x14ac:dyDescent="0.35">
      <c r="A1725" s="1" t="s">
        <v>678</v>
      </c>
    </row>
    <row r="1726" spans="1:9" x14ac:dyDescent="0.35">
      <c r="A1726" t="s">
        <v>219</v>
      </c>
      <c r="B1726" t="s">
        <v>301</v>
      </c>
      <c r="C1726" t="s">
        <v>672</v>
      </c>
      <c r="D1726" t="s">
        <v>673</v>
      </c>
      <c r="E1726" t="s">
        <v>674</v>
      </c>
      <c r="F1726" t="s">
        <v>675</v>
      </c>
      <c r="G1726" t="s">
        <v>277</v>
      </c>
      <c r="H1726" t="s">
        <v>282</v>
      </c>
      <c r="I1726" t="s">
        <v>226</v>
      </c>
    </row>
    <row r="1727" spans="1:9" x14ac:dyDescent="0.35">
      <c r="A1727" t="s">
        <v>227</v>
      </c>
      <c r="B1727" t="s">
        <v>240</v>
      </c>
      <c r="C1727" s="2">
        <v>0.6421</v>
      </c>
      <c r="D1727" s="2">
        <v>0.26669999999999999</v>
      </c>
      <c r="E1727" s="2">
        <v>7.2900000000000006E-2</v>
      </c>
      <c r="F1727" s="2">
        <v>7.6E-3</v>
      </c>
      <c r="G1727" s="2">
        <v>9.7000000000000003E-3</v>
      </c>
      <c r="H1727" s="2">
        <v>8.9999999999999998E-4</v>
      </c>
      <c r="I1727">
        <v>1756</v>
      </c>
    </row>
    <row r="1728" spans="1:9" x14ac:dyDescent="0.35">
      <c r="A1728" t="s">
        <v>227</v>
      </c>
      <c r="B1728" t="s">
        <v>241</v>
      </c>
      <c r="C1728" s="2">
        <v>0.69499999999999995</v>
      </c>
      <c r="D1728" s="2">
        <v>0.2346</v>
      </c>
      <c r="E1728" s="2">
        <v>5.4899999999999997E-2</v>
      </c>
      <c r="F1728" s="2">
        <v>1.17E-2</v>
      </c>
      <c r="G1728" s="2">
        <v>1.1000000000000001E-3</v>
      </c>
      <c r="H1728" s="2">
        <v>2.7000000000000001E-3</v>
      </c>
      <c r="I1728">
        <v>891</v>
      </c>
    </row>
    <row r="1729" spans="1:9" x14ac:dyDescent="0.35">
      <c r="A1729" t="s">
        <v>227</v>
      </c>
      <c r="B1729" t="s">
        <v>242</v>
      </c>
      <c r="C1729" s="2">
        <v>0.54330000000000001</v>
      </c>
      <c r="D1729" s="2">
        <v>0.2994</v>
      </c>
      <c r="E1729" s="2">
        <v>0.14169999999999999</v>
      </c>
      <c r="F1729" s="2">
        <v>1.4200000000000001E-2</v>
      </c>
      <c r="G1729" s="2">
        <v>1.5E-3</v>
      </c>
      <c r="I1729">
        <v>166</v>
      </c>
    </row>
    <row r="1730" spans="1:9" x14ac:dyDescent="0.35">
      <c r="A1730" t="s">
        <v>228</v>
      </c>
      <c r="B1730" t="s">
        <v>228</v>
      </c>
      <c r="C1730" s="2">
        <v>0.6512</v>
      </c>
      <c r="D1730" s="2">
        <v>0.25940000000000002</v>
      </c>
      <c r="E1730" s="2">
        <v>7.2099999999999997E-2</v>
      </c>
      <c r="F1730" s="2">
        <v>9.2999999999999992E-3</v>
      </c>
      <c r="G1730" s="2">
        <v>6.6E-3</v>
      </c>
      <c r="H1730" s="2">
        <v>1.4E-3</v>
      </c>
      <c r="I1730">
        <v>2813</v>
      </c>
    </row>
    <row r="1732" spans="1:9" x14ac:dyDescent="0.35">
      <c r="A1732" s="1" t="s">
        <v>679</v>
      </c>
    </row>
    <row r="1733" spans="1:9" x14ac:dyDescent="0.35">
      <c r="A1733" t="s">
        <v>219</v>
      </c>
      <c r="B1733" t="s">
        <v>301</v>
      </c>
      <c r="C1733" t="s">
        <v>672</v>
      </c>
      <c r="D1733" t="s">
        <v>673</v>
      </c>
      <c r="E1733" t="s">
        <v>674</v>
      </c>
      <c r="F1733" t="s">
        <v>675</v>
      </c>
      <c r="G1733" t="s">
        <v>277</v>
      </c>
      <c r="H1733" t="s">
        <v>282</v>
      </c>
      <c r="I1733" t="s">
        <v>226</v>
      </c>
    </row>
    <row r="1734" spans="1:9" x14ac:dyDescent="0.35">
      <c r="A1734" t="s">
        <v>227</v>
      </c>
      <c r="B1734" t="s">
        <v>334</v>
      </c>
      <c r="C1734" s="2">
        <v>0.56769999999999998</v>
      </c>
      <c r="D1734" s="2">
        <v>0.28660000000000002</v>
      </c>
      <c r="E1734" s="2">
        <v>0.1134</v>
      </c>
      <c r="F1734" s="2">
        <v>2.2800000000000001E-2</v>
      </c>
      <c r="G1734" s="2">
        <v>2.8999999999999998E-3</v>
      </c>
      <c r="H1734" s="2">
        <v>6.6E-3</v>
      </c>
      <c r="I1734">
        <v>625</v>
      </c>
    </row>
    <row r="1735" spans="1:9" x14ac:dyDescent="0.35">
      <c r="A1735" t="s">
        <v>227</v>
      </c>
      <c r="B1735" t="s">
        <v>335</v>
      </c>
      <c r="C1735" s="2">
        <v>0.70209999999999995</v>
      </c>
      <c r="D1735" s="2">
        <v>0.23499999999999999</v>
      </c>
      <c r="E1735" s="2">
        <v>5.0500000000000003E-2</v>
      </c>
      <c r="F1735" s="2">
        <v>1E-4</v>
      </c>
      <c r="G1735" s="2">
        <v>1.23E-2</v>
      </c>
      <c r="I1735">
        <v>628</v>
      </c>
    </row>
    <row r="1736" spans="1:9" x14ac:dyDescent="0.35">
      <c r="A1736" t="s">
        <v>227</v>
      </c>
      <c r="B1736" t="s">
        <v>336</v>
      </c>
      <c r="C1736" s="2">
        <v>0.64859999999999995</v>
      </c>
      <c r="D1736" s="2">
        <v>0.2571</v>
      </c>
      <c r="E1736" s="2">
        <v>7.0300000000000001E-2</v>
      </c>
      <c r="F1736" s="2">
        <v>1.6899999999999998E-2</v>
      </c>
      <c r="G1736" s="2">
        <v>7.1000000000000004E-3</v>
      </c>
      <c r="I1736">
        <v>621</v>
      </c>
    </row>
    <row r="1737" spans="1:9" x14ac:dyDescent="0.35">
      <c r="A1737" t="s">
        <v>227</v>
      </c>
      <c r="B1737" t="s">
        <v>337</v>
      </c>
      <c r="C1737" s="2">
        <v>0.65620000000000001</v>
      </c>
      <c r="D1737" s="2">
        <v>0.2581</v>
      </c>
      <c r="E1737" s="2">
        <v>8.0199999999999994E-2</v>
      </c>
      <c r="F1737" s="2">
        <v>4.8999999999999998E-3</v>
      </c>
      <c r="G1737" s="2">
        <v>5.9999999999999995E-4</v>
      </c>
      <c r="I1737">
        <v>602</v>
      </c>
    </row>
    <row r="1738" spans="1:9" x14ac:dyDescent="0.35">
      <c r="A1738" t="s">
        <v>228</v>
      </c>
      <c r="B1738" t="s">
        <v>228</v>
      </c>
      <c r="C1738" s="2">
        <v>0.6512</v>
      </c>
      <c r="D1738" s="2">
        <v>0.25940000000000002</v>
      </c>
      <c r="E1738" s="2">
        <v>7.2099999999999997E-2</v>
      </c>
      <c r="F1738" s="2">
        <v>9.2999999999999992E-3</v>
      </c>
      <c r="G1738" s="2">
        <v>6.6E-3</v>
      </c>
      <c r="H1738" s="2">
        <v>1.4E-3</v>
      </c>
      <c r="I1738">
        <v>2476</v>
      </c>
    </row>
    <row r="1740" spans="1:9" x14ac:dyDescent="0.35">
      <c r="A1740" s="1" t="s">
        <v>680</v>
      </c>
    </row>
    <row r="1741" spans="1:9" x14ac:dyDescent="0.35">
      <c r="A1741" t="s">
        <v>219</v>
      </c>
      <c r="B1741" t="s">
        <v>301</v>
      </c>
      <c r="C1741" t="s">
        <v>672</v>
      </c>
      <c r="D1741" t="s">
        <v>673</v>
      </c>
      <c r="E1741" t="s">
        <v>674</v>
      </c>
      <c r="F1741" t="s">
        <v>675</v>
      </c>
      <c r="G1741" t="s">
        <v>277</v>
      </c>
      <c r="H1741" t="s">
        <v>282</v>
      </c>
      <c r="I1741" t="s">
        <v>226</v>
      </c>
    </row>
    <row r="1742" spans="1:9" x14ac:dyDescent="0.35">
      <c r="A1742" t="s">
        <v>227</v>
      </c>
      <c r="B1742" t="s">
        <v>263</v>
      </c>
      <c r="C1742" s="2">
        <v>0.69</v>
      </c>
      <c r="D1742" s="2">
        <v>0.22670000000000001</v>
      </c>
      <c r="E1742" s="2">
        <v>6.1699999999999998E-2</v>
      </c>
      <c r="F1742" s="2">
        <v>1.61E-2</v>
      </c>
      <c r="G1742" s="2">
        <v>2.5999999999999999E-3</v>
      </c>
      <c r="H1742" s="2">
        <v>2.8999999999999998E-3</v>
      </c>
      <c r="I1742">
        <v>589</v>
      </c>
    </row>
    <row r="1743" spans="1:9" x14ac:dyDescent="0.35">
      <c r="A1743" t="s">
        <v>227</v>
      </c>
      <c r="B1743" t="s">
        <v>262</v>
      </c>
      <c r="C1743" s="2">
        <v>0.68589999999999995</v>
      </c>
      <c r="D1743" s="2">
        <v>0.22789999999999999</v>
      </c>
      <c r="E1743" s="2">
        <v>6.6799999999999998E-2</v>
      </c>
      <c r="F1743" s="2">
        <v>1.2E-2</v>
      </c>
      <c r="G1743" s="2">
        <v>5.1999999999999998E-3</v>
      </c>
      <c r="H1743" s="2">
        <v>2.0999999999999999E-3</v>
      </c>
      <c r="I1743">
        <v>1160</v>
      </c>
    </row>
    <row r="1744" spans="1:9" x14ac:dyDescent="0.35">
      <c r="A1744" t="s">
        <v>227</v>
      </c>
      <c r="B1744" t="s">
        <v>261</v>
      </c>
      <c r="C1744" s="2">
        <v>0.60260000000000002</v>
      </c>
      <c r="D1744" s="2">
        <v>0.30359999999999998</v>
      </c>
      <c r="E1744" s="2">
        <v>8.0500000000000002E-2</v>
      </c>
      <c r="F1744" s="2">
        <v>3.5000000000000001E-3</v>
      </c>
      <c r="G1744" s="2">
        <v>9.7999999999999997E-3</v>
      </c>
      <c r="I1744">
        <v>1062</v>
      </c>
    </row>
    <row r="1745" spans="1:9" x14ac:dyDescent="0.35">
      <c r="A1745" s="3" t="s">
        <v>227</v>
      </c>
      <c r="B1745" s="3" t="s">
        <v>232</v>
      </c>
      <c r="C1745" s="4">
        <v>0.5</v>
      </c>
      <c r="D1745" s="5"/>
      <c r="E1745" s="4">
        <v>0.5</v>
      </c>
      <c r="F1745" s="5"/>
      <c r="G1745" s="5"/>
      <c r="H1745" s="5"/>
      <c r="I1745" s="5" t="s">
        <v>434</v>
      </c>
    </row>
    <row r="1746" spans="1:9" x14ac:dyDescent="0.35">
      <c r="A1746" t="s">
        <v>228</v>
      </c>
      <c r="B1746" t="s">
        <v>228</v>
      </c>
      <c r="C1746" s="2">
        <v>0.6512</v>
      </c>
      <c r="D1746" s="2">
        <v>0.25940000000000002</v>
      </c>
      <c r="E1746" s="2">
        <v>7.2099999999999997E-2</v>
      </c>
      <c r="F1746" s="2">
        <v>9.2999999999999992E-3</v>
      </c>
      <c r="G1746" s="2">
        <v>6.6E-3</v>
      </c>
      <c r="H1746" s="2">
        <v>1.4E-3</v>
      </c>
      <c r="I1746">
        <v>2813</v>
      </c>
    </row>
    <row r="1748" spans="1:9" x14ac:dyDescent="0.35">
      <c r="A1748" s="1" t="s">
        <v>681</v>
      </c>
    </row>
    <row r="1749" spans="1:9" x14ac:dyDescent="0.35">
      <c r="A1749" t="s">
        <v>219</v>
      </c>
      <c r="B1749" t="s">
        <v>301</v>
      </c>
      <c r="C1749" t="s">
        <v>672</v>
      </c>
      <c r="D1749" t="s">
        <v>673</v>
      </c>
      <c r="E1749" t="s">
        <v>674</v>
      </c>
      <c r="F1749" t="s">
        <v>675</v>
      </c>
      <c r="G1749" t="s">
        <v>277</v>
      </c>
      <c r="H1749" t="s">
        <v>282</v>
      </c>
      <c r="I1749" t="s">
        <v>226</v>
      </c>
    </row>
    <row r="1750" spans="1:9" x14ac:dyDescent="0.35">
      <c r="A1750" t="s">
        <v>227</v>
      </c>
      <c r="B1750" t="s">
        <v>248</v>
      </c>
      <c r="C1750" s="2">
        <v>0.60899999999999999</v>
      </c>
      <c r="D1750" s="2">
        <v>0.26650000000000001</v>
      </c>
      <c r="E1750" s="2">
        <v>0.10059999999999999</v>
      </c>
      <c r="F1750" s="2">
        <v>1.83E-2</v>
      </c>
      <c r="G1750" s="2">
        <v>2.8E-3</v>
      </c>
      <c r="H1750" s="2">
        <v>2.8999999999999998E-3</v>
      </c>
      <c r="I1750">
        <v>796</v>
      </c>
    </row>
    <row r="1751" spans="1:9" x14ac:dyDescent="0.35">
      <c r="A1751" t="s">
        <v>227</v>
      </c>
      <c r="B1751" t="s">
        <v>249</v>
      </c>
      <c r="C1751" s="2">
        <v>0.50239999999999996</v>
      </c>
      <c r="D1751" s="2">
        <v>0.36349999999999999</v>
      </c>
      <c r="E1751" s="2">
        <v>0.123</v>
      </c>
      <c r="F1751" s="2">
        <v>8.3999999999999995E-3</v>
      </c>
      <c r="G1751" s="2">
        <v>2.5999999999999999E-3</v>
      </c>
      <c r="I1751">
        <v>541</v>
      </c>
    </row>
    <row r="1752" spans="1:9" x14ac:dyDescent="0.35">
      <c r="A1752" t="s">
        <v>227</v>
      </c>
      <c r="B1752" t="s">
        <v>247</v>
      </c>
      <c r="C1752" s="2">
        <v>0.72709999999999997</v>
      </c>
      <c r="D1752" s="2">
        <v>0.21790000000000001</v>
      </c>
      <c r="E1752" s="2">
        <v>3.8899999999999997E-2</v>
      </c>
      <c r="F1752" s="2">
        <v>4.8999999999999998E-3</v>
      </c>
      <c r="G1752" s="2">
        <v>1.01E-2</v>
      </c>
      <c r="H1752" s="2">
        <v>1.1000000000000001E-3</v>
      </c>
      <c r="I1752">
        <v>1476</v>
      </c>
    </row>
    <row r="1753" spans="1:9" x14ac:dyDescent="0.35">
      <c r="A1753" t="s">
        <v>228</v>
      </c>
      <c r="B1753" t="s">
        <v>228</v>
      </c>
      <c r="C1753" s="2">
        <v>0.6512</v>
      </c>
      <c r="D1753" s="2">
        <v>0.25940000000000002</v>
      </c>
      <c r="E1753" s="2">
        <v>7.2099999999999997E-2</v>
      </c>
      <c r="F1753" s="2">
        <v>9.2999999999999992E-3</v>
      </c>
      <c r="G1753" s="2">
        <v>6.6E-3</v>
      </c>
      <c r="H1753" s="2">
        <v>1.4E-3</v>
      </c>
      <c r="I1753">
        <v>2813</v>
      </c>
    </row>
    <row r="1755" spans="1:9" x14ac:dyDescent="0.35">
      <c r="A1755" s="1" t="s">
        <v>682</v>
      </c>
    </row>
    <row r="1756" spans="1:9" x14ac:dyDescent="0.35">
      <c r="A1756" t="s">
        <v>219</v>
      </c>
      <c r="B1756" t="s">
        <v>301</v>
      </c>
      <c r="C1756" t="s">
        <v>672</v>
      </c>
      <c r="D1756" t="s">
        <v>673</v>
      </c>
      <c r="E1756" t="s">
        <v>674</v>
      </c>
      <c r="F1756" t="s">
        <v>675</v>
      </c>
      <c r="G1756" t="s">
        <v>277</v>
      </c>
      <c r="H1756" t="s">
        <v>282</v>
      </c>
      <c r="I1756" t="s">
        <v>226</v>
      </c>
    </row>
    <row r="1757" spans="1:9" x14ac:dyDescent="0.35">
      <c r="A1757" t="s">
        <v>227</v>
      </c>
      <c r="B1757" t="s">
        <v>245</v>
      </c>
      <c r="C1757" s="2">
        <v>0.72009999999999996</v>
      </c>
      <c r="D1757" s="2">
        <v>0.2142</v>
      </c>
      <c r="E1757" s="2">
        <v>5.2299999999999999E-2</v>
      </c>
      <c r="F1757" s="2">
        <v>4.7000000000000002E-3</v>
      </c>
      <c r="G1757" s="2">
        <v>6.8999999999999999E-3</v>
      </c>
      <c r="H1757" s="2">
        <v>1.8E-3</v>
      </c>
      <c r="I1757">
        <v>783</v>
      </c>
    </row>
    <row r="1758" spans="1:9" x14ac:dyDescent="0.35">
      <c r="A1758" t="s">
        <v>227</v>
      </c>
      <c r="B1758" t="s">
        <v>244</v>
      </c>
      <c r="C1758" s="2">
        <v>0.62390000000000001</v>
      </c>
      <c r="D1758" s="2">
        <v>0.27729999999999999</v>
      </c>
      <c r="E1758" s="2">
        <v>0.08</v>
      </c>
      <c r="F1758" s="2">
        <v>1.11E-2</v>
      </c>
      <c r="G1758" s="2">
        <v>6.4999999999999997E-3</v>
      </c>
      <c r="H1758" s="2">
        <v>1.1999999999999999E-3</v>
      </c>
      <c r="I1758">
        <v>2030</v>
      </c>
    </row>
    <row r="1759" spans="1:9" x14ac:dyDescent="0.35">
      <c r="A1759" t="s">
        <v>228</v>
      </c>
      <c r="B1759" t="s">
        <v>228</v>
      </c>
      <c r="C1759" s="2">
        <v>0.6512</v>
      </c>
      <c r="D1759" s="2">
        <v>0.25940000000000002</v>
      </c>
      <c r="E1759" s="2">
        <v>7.2099999999999997E-2</v>
      </c>
      <c r="F1759" s="2">
        <v>9.2999999999999992E-3</v>
      </c>
      <c r="G1759" s="2">
        <v>6.6E-3</v>
      </c>
      <c r="H1759" s="2">
        <v>1.4E-3</v>
      </c>
      <c r="I1759">
        <v>2813</v>
      </c>
    </row>
    <row r="1761" spans="1:9" x14ac:dyDescent="0.35">
      <c r="A1761" s="1" t="s">
        <v>683</v>
      </c>
    </row>
    <row r="1762" spans="1:9" x14ac:dyDescent="0.35">
      <c r="A1762" t="s">
        <v>219</v>
      </c>
      <c r="B1762" t="s">
        <v>301</v>
      </c>
      <c r="C1762" t="s">
        <v>672</v>
      </c>
      <c r="D1762" t="s">
        <v>673</v>
      </c>
      <c r="E1762" t="s">
        <v>674</v>
      </c>
      <c r="F1762" t="s">
        <v>675</v>
      </c>
      <c r="G1762" t="s">
        <v>277</v>
      </c>
      <c r="H1762" t="s">
        <v>282</v>
      </c>
      <c r="I1762" t="s">
        <v>226</v>
      </c>
    </row>
    <row r="1763" spans="1:9" x14ac:dyDescent="0.35">
      <c r="A1763" t="s">
        <v>227</v>
      </c>
      <c r="B1763" t="s">
        <v>259</v>
      </c>
      <c r="C1763" s="2">
        <v>0.46510000000000001</v>
      </c>
      <c r="D1763" s="2">
        <v>0.5101</v>
      </c>
      <c r="E1763" s="2">
        <v>2.01E-2</v>
      </c>
      <c r="F1763" s="2">
        <v>4.7999999999999996E-3</v>
      </c>
      <c r="I1763">
        <v>69</v>
      </c>
    </row>
    <row r="1764" spans="1:9" x14ac:dyDescent="0.35">
      <c r="A1764" t="s">
        <v>227</v>
      </c>
      <c r="B1764" t="s">
        <v>257</v>
      </c>
      <c r="C1764" s="2">
        <v>0.60450000000000004</v>
      </c>
      <c r="D1764" s="2">
        <v>0.28100000000000003</v>
      </c>
      <c r="E1764" s="2">
        <v>9.8699999999999996E-2</v>
      </c>
      <c r="F1764" s="2">
        <v>6.6E-3</v>
      </c>
      <c r="G1764" s="2">
        <v>6.1000000000000004E-3</v>
      </c>
      <c r="H1764" s="2">
        <v>3.0999999999999999E-3</v>
      </c>
      <c r="I1764">
        <v>405</v>
      </c>
    </row>
    <row r="1765" spans="1:9" x14ac:dyDescent="0.35">
      <c r="A1765" t="s">
        <v>227</v>
      </c>
      <c r="B1765" t="s">
        <v>256</v>
      </c>
      <c r="C1765" s="2">
        <v>0.65749999999999997</v>
      </c>
      <c r="D1765" s="2">
        <v>0.2485</v>
      </c>
      <c r="E1765" s="2">
        <v>7.4200000000000002E-2</v>
      </c>
      <c r="F1765" s="2">
        <v>1.1900000000000001E-2</v>
      </c>
      <c r="G1765" s="2">
        <v>6.6E-3</v>
      </c>
      <c r="H1765" s="2">
        <v>1.2999999999999999E-3</v>
      </c>
      <c r="I1765">
        <v>1803</v>
      </c>
    </row>
    <row r="1766" spans="1:9" x14ac:dyDescent="0.35">
      <c r="A1766" s="3" t="s">
        <v>227</v>
      </c>
      <c r="B1766" s="3" t="s">
        <v>232</v>
      </c>
      <c r="C1766" s="4">
        <v>0.1867</v>
      </c>
      <c r="D1766" s="4">
        <v>0.77259999999999995</v>
      </c>
      <c r="E1766" s="4">
        <v>4.07E-2</v>
      </c>
      <c r="F1766" s="5"/>
      <c r="G1766" s="5"/>
      <c r="H1766" s="5"/>
      <c r="I1766" s="5" t="s">
        <v>307</v>
      </c>
    </row>
    <row r="1767" spans="1:9" x14ac:dyDescent="0.35">
      <c r="A1767" t="s">
        <v>227</v>
      </c>
      <c r="B1767" t="s">
        <v>258</v>
      </c>
      <c r="C1767" s="2">
        <v>0.7036</v>
      </c>
      <c r="D1767" s="2">
        <v>0.24859999999999999</v>
      </c>
      <c r="E1767" s="2">
        <v>3.8600000000000002E-2</v>
      </c>
      <c r="F1767" s="2">
        <v>1.1000000000000001E-3</v>
      </c>
      <c r="G1767" s="2">
        <v>8.0999999999999996E-3</v>
      </c>
      <c r="I1767">
        <v>525</v>
      </c>
    </row>
    <row r="1768" spans="1:9" x14ac:dyDescent="0.35">
      <c r="A1768" t="s">
        <v>228</v>
      </c>
      <c r="B1768" t="s">
        <v>228</v>
      </c>
      <c r="C1768" s="2">
        <v>0.6512</v>
      </c>
      <c r="D1768" s="2">
        <v>0.25940000000000002</v>
      </c>
      <c r="E1768" s="2">
        <v>7.2099999999999997E-2</v>
      </c>
      <c r="F1768" s="2">
        <v>9.2999999999999992E-3</v>
      </c>
      <c r="G1768" s="2">
        <v>6.6E-3</v>
      </c>
      <c r="H1768" s="2">
        <v>1.4E-3</v>
      </c>
      <c r="I1768">
        <v>2813</v>
      </c>
    </row>
    <row r="1770" spans="1:9" x14ac:dyDescent="0.35">
      <c r="A1770" s="1" t="s">
        <v>684</v>
      </c>
    </row>
    <row r="1771" spans="1:9" x14ac:dyDescent="0.35">
      <c r="A1771" t="s">
        <v>219</v>
      </c>
      <c r="B1771" t="s">
        <v>301</v>
      </c>
      <c r="C1771" t="s">
        <v>672</v>
      </c>
      <c r="D1771" t="s">
        <v>673</v>
      </c>
      <c r="E1771" t="s">
        <v>674</v>
      </c>
      <c r="F1771" t="s">
        <v>675</v>
      </c>
      <c r="G1771" t="s">
        <v>277</v>
      </c>
      <c r="H1771" t="s">
        <v>282</v>
      </c>
      <c r="I1771" t="s">
        <v>226</v>
      </c>
    </row>
    <row r="1772" spans="1:9" x14ac:dyDescent="0.35">
      <c r="A1772" t="s">
        <v>227</v>
      </c>
      <c r="B1772" t="s">
        <v>343</v>
      </c>
      <c r="C1772" s="2">
        <v>0.60450000000000004</v>
      </c>
      <c r="D1772" s="2">
        <v>0.28100000000000003</v>
      </c>
      <c r="E1772" s="2">
        <v>9.8699999999999996E-2</v>
      </c>
      <c r="F1772" s="2">
        <v>6.6E-3</v>
      </c>
      <c r="G1772" s="2">
        <v>6.1000000000000004E-3</v>
      </c>
      <c r="H1772" s="2">
        <v>3.0999999999999999E-3</v>
      </c>
      <c r="I1772">
        <v>405</v>
      </c>
    </row>
    <row r="1773" spans="1:9" x14ac:dyDescent="0.35">
      <c r="A1773" t="s">
        <v>227</v>
      </c>
      <c r="B1773" t="s">
        <v>344</v>
      </c>
      <c r="C1773" s="2">
        <v>0.66059999999999997</v>
      </c>
      <c r="D1773" s="2">
        <v>0.25509999999999999</v>
      </c>
      <c r="E1773" s="2">
        <v>6.6699999999999995E-2</v>
      </c>
      <c r="F1773" s="2">
        <v>9.7999999999999997E-3</v>
      </c>
      <c r="G1773" s="2">
        <v>6.7000000000000002E-3</v>
      </c>
      <c r="H1773" s="2">
        <v>1E-3</v>
      </c>
      <c r="I1773">
        <v>2408</v>
      </c>
    </row>
    <row r="1774" spans="1:9" x14ac:dyDescent="0.35">
      <c r="A1774" t="s">
        <v>228</v>
      </c>
      <c r="B1774" t="s">
        <v>228</v>
      </c>
      <c r="C1774" s="2">
        <v>0.6512</v>
      </c>
      <c r="D1774" s="2">
        <v>0.25940000000000002</v>
      </c>
      <c r="E1774" s="2">
        <v>7.2099999999999997E-2</v>
      </c>
      <c r="F1774" s="2">
        <v>9.2999999999999992E-3</v>
      </c>
      <c r="G1774" s="2">
        <v>6.6E-3</v>
      </c>
      <c r="H1774" s="2">
        <v>1.4E-3</v>
      </c>
      <c r="I1774">
        <v>2813</v>
      </c>
    </row>
    <row r="1776" spans="1:9" x14ac:dyDescent="0.35">
      <c r="A1776" s="1" t="s">
        <v>685</v>
      </c>
    </row>
    <row r="1777" spans="1:9" x14ac:dyDescent="0.35">
      <c r="A1777" t="s">
        <v>219</v>
      </c>
      <c r="B1777" t="s">
        <v>301</v>
      </c>
      <c r="C1777" t="s">
        <v>672</v>
      </c>
      <c r="D1777" t="s">
        <v>673</v>
      </c>
      <c r="E1777" t="s">
        <v>674</v>
      </c>
      <c r="F1777" t="s">
        <v>675</v>
      </c>
      <c r="G1777" t="s">
        <v>277</v>
      </c>
      <c r="H1777" t="s">
        <v>282</v>
      </c>
      <c r="I1777" t="s">
        <v>226</v>
      </c>
    </row>
    <row r="1778" spans="1:9" x14ac:dyDescent="0.35">
      <c r="A1778" t="s">
        <v>227</v>
      </c>
      <c r="B1778" t="s">
        <v>346</v>
      </c>
      <c r="C1778" s="2">
        <v>0.64990000000000003</v>
      </c>
      <c r="D1778" s="2">
        <v>0.2601</v>
      </c>
      <c r="E1778" s="2">
        <v>7.2900000000000006E-2</v>
      </c>
      <c r="F1778" s="2">
        <v>9.1000000000000004E-3</v>
      </c>
      <c r="G1778" s="2">
        <v>6.4999999999999997E-3</v>
      </c>
      <c r="H1778" s="2">
        <v>1.5E-3</v>
      </c>
      <c r="I1778">
        <v>1463</v>
      </c>
    </row>
    <row r="1779" spans="1:9" x14ac:dyDescent="0.35">
      <c r="A1779" t="s">
        <v>227</v>
      </c>
      <c r="B1779" t="s">
        <v>347</v>
      </c>
      <c r="C1779" s="2">
        <v>0.58499999999999996</v>
      </c>
      <c r="D1779" s="2">
        <v>0.30309999999999998</v>
      </c>
      <c r="E1779" s="2">
        <v>8.9099999999999999E-2</v>
      </c>
      <c r="F1779" s="2">
        <v>1.7100000000000001E-2</v>
      </c>
      <c r="G1779" s="2">
        <v>5.7000000000000002E-3</v>
      </c>
      <c r="I1779">
        <v>585</v>
      </c>
    </row>
    <row r="1780" spans="1:9" x14ac:dyDescent="0.35">
      <c r="A1780" t="s">
        <v>227</v>
      </c>
      <c r="B1780" t="s">
        <v>348</v>
      </c>
      <c r="C1780" s="2">
        <v>0.68769999999999998</v>
      </c>
      <c r="D1780" s="2">
        <v>0.2369</v>
      </c>
      <c r="E1780" s="2">
        <v>5.8400000000000001E-2</v>
      </c>
      <c r="F1780" s="2">
        <v>7.9000000000000008E-3</v>
      </c>
      <c r="G1780" s="2">
        <v>8.3000000000000001E-3</v>
      </c>
      <c r="H1780" s="2">
        <v>8.0000000000000004E-4</v>
      </c>
      <c r="I1780">
        <v>765</v>
      </c>
    </row>
    <row r="1781" spans="1:9" x14ac:dyDescent="0.35">
      <c r="A1781" t="s">
        <v>228</v>
      </c>
      <c r="B1781" t="s">
        <v>228</v>
      </c>
      <c r="C1781" s="2">
        <v>0.6512</v>
      </c>
      <c r="D1781" s="2">
        <v>0.25940000000000002</v>
      </c>
      <c r="E1781" s="2">
        <v>7.2099999999999997E-2</v>
      </c>
      <c r="F1781" s="2">
        <v>9.2999999999999992E-3</v>
      </c>
      <c r="G1781" s="2">
        <v>6.6E-3</v>
      </c>
      <c r="H1781" s="2">
        <v>1.4E-3</v>
      </c>
      <c r="I1781">
        <v>2813</v>
      </c>
    </row>
    <row r="1783" spans="1:9" x14ac:dyDescent="0.35">
      <c r="A1783" s="1" t="s">
        <v>686</v>
      </c>
    </row>
    <row r="1784" spans="1:9" x14ac:dyDescent="0.35">
      <c r="A1784" t="s">
        <v>219</v>
      </c>
      <c r="B1784" t="s">
        <v>301</v>
      </c>
      <c r="C1784" t="s">
        <v>672</v>
      </c>
      <c r="D1784" t="s">
        <v>673</v>
      </c>
      <c r="E1784" t="s">
        <v>674</v>
      </c>
      <c r="F1784" t="s">
        <v>675</v>
      </c>
      <c r="G1784" t="s">
        <v>277</v>
      </c>
      <c r="H1784" t="s">
        <v>282</v>
      </c>
      <c r="I1784" t="s">
        <v>226</v>
      </c>
    </row>
    <row r="1785" spans="1:9" x14ac:dyDescent="0.35">
      <c r="A1785" t="s">
        <v>227</v>
      </c>
      <c r="B1785" t="s">
        <v>251</v>
      </c>
      <c r="C1785" s="2">
        <v>0.62390000000000001</v>
      </c>
      <c r="D1785" s="2">
        <v>0.27729999999999999</v>
      </c>
      <c r="E1785" s="2">
        <v>0.08</v>
      </c>
      <c r="F1785" s="2">
        <v>1.11E-2</v>
      </c>
      <c r="G1785" s="2">
        <v>6.4999999999999997E-3</v>
      </c>
      <c r="H1785" s="2">
        <v>1.1999999999999999E-3</v>
      </c>
      <c r="I1785">
        <v>2030</v>
      </c>
    </row>
    <row r="1786" spans="1:9" x14ac:dyDescent="0.35">
      <c r="A1786" t="s">
        <v>227</v>
      </c>
      <c r="B1786" t="s">
        <v>252</v>
      </c>
      <c r="C1786" s="2">
        <v>0.69430000000000003</v>
      </c>
      <c r="D1786" s="2">
        <v>0.23330000000000001</v>
      </c>
      <c r="E1786" s="2">
        <v>6.3500000000000001E-2</v>
      </c>
      <c r="F1786" s="2">
        <v>1.6999999999999999E-3</v>
      </c>
      <c r="G1786" s="2">
        <v>5.0000000000000001E-3</v>
      </c>
      <c r="H1786" s="2">
        <v>2.2000000000000001E-3</v>
      </c>
      <c r="I1786">
        <v>621</v>
      </c>
    </row>
    <row r="1787" spans="1:9" x14ac:dyDescent="0.35">
      <c r="A1787" t="s">
        <v>227</v>
      </c>
      <c r="B1787" t="s">
        <v>253</v>
      </c>
      <c r="C1787" s="2">
        <v>0.82769999999999999</v>
      </c>
      <c r="D1787" s="2">
        <v>0.1338</v>
      </c>
      <c r="E1787" s="2">
        <v>5.3E-3</v>
      </c>
      <c r="F1787" s="2">
        <v>1.7899999999999999E-2</v>
      </c>
      <c r="G1787" s="2">
        <v>1.5299999999999999E-2</v>
      </c>
      <c r="I1787">
        <v>153</v>
      </c>
    </row>
    <row r="1788" spans="1:9" x14ac:dyDescent="0.35">
      <c r="A1788" s="3" t="s">
        <v>227</v>
      </c>
      <c r="B1788" s="3" t="s">
        <v>254</v>
      </c>
      <c r="C1788" s="4">
        <v>0.86970000000000003</v>
      </c>
      <c r="D1788" s="4">
        <v>0.1303</v>
      </c>
      <c r="E1788" s="5"/>
      <c r="F1788" s="5"/>
      <c r="G1788" s="5"/>
      <c r="H1788" s="5"/>
      <c r="I1788" s="5" t="s">
        <v>515</v>
      </c>
    </row>
    <row r="1789" spans="1:9" x14ac:dyDescent="0.35">
      <c r="A1789" t="s">
        <v>228</v>
      </c>
      <c r="B1789" t="s">
        <v>228</v>
      </c>
      <c r="C1789" s="2">
        <v>0.6512</v>
      </c>
      <c r="D1789" s="2">
        <v>0.25940000000000002</v>
      </c>
      <c r="E1789" s="2">
        <v>7.2099999999999997E-2</v>
      </c>
      <c r="F1789" s="2">
        <v>9.2999999999999992E-3</v>
      </c>
      <c r="G1789" s="2">
        <v>6.6E-3</v>
      </c>
      <c r="H1789" s="2">
        <v>1.4E-3</v>
      </c>
      <c r="I1789">
        <v>2813</v>
      </c>
    </row>
    <row r="1791" spans="1:9" x14ac:dyDescent="0.35">
      <c r="A1791" s="1" t="s">
        <v>687</v>
      </c>
    </row>
    <row r="1792" spans="1:9" x14ac:dyDescent="0.35">
      <c r="A1792" t="s">
        <v>219</v>
      </c>
      <c r="B1792" t="s">
        <v>672</v>
      </c>
      <c r="C1792" t="s">
        <v>673</v>
      </c>
      <c r="D1792" t="s">
        <v>674</v>
      </c>
      <c r="E1792" t="s">
        <v>675</v>
      </c>
      <c r="F1792" t="s">
        <v>277</v>
      </c>
      <c r="G1792" t="s">
        <v>282</v>
      </c>
      <c r="H1792" t="s">
        <v>226</v>
      </c>
    </row>
    <row r="1793" spans="1:9" x14ac:dyDescent="0.35">
      <c r="A1793" t="s">
        <v>227</v>
      </c>
      <c r="B1793" s="2">
        <v>0.92259999999999998</v>
      </c>
      <c r="C1793" s="2">
        <v>5.8299999999999998E-2</v>
      </c>
      <c r="D1793" s="2">
        <v>1.6799999999999999E-2</v>
      </c>
      <c r="E1793" s="2">
        <v>1.6000000000000001E-3</v>
      </c>
      <c r="F1793" s="2">
        <v>5.9999999999999995E-4</v>
      </c>
      <c r="G1793" s="2">
        <v>1E-4</v>
      </c>
      <c r="H1793">
        <v>2813</v>
      </c>
    </row>
    <row r="1794" spans="1:9" x14ac:dyDescent="0.35">
      <c r="A1794" t="s">
        <v>228</v>
      </c>
      <c r="B1794" s="2">
        <v>0.92259999999999998</v>
      </c>
      <c r="C1794" s="2">
        <v>5.8299999999999998E-2</v>
      </c>
      <c r="D1794" s="2">
        <v>1.6799999999999999E-2</v>
      </c>
      <c r="E1794" s="2">
        <v>1.6000000000000001E-3</v>
      </c>
      <c r="F1794" s="2">
        <v>5.9999999999999995E-4</v>
      </c>
      <c r="G1794" s="2">
        <v>1E-4</v>
      </c>
      <c r="H1794">
        <v>2813</v>
      </c>
    </row>
    <row r="1796" spans="1:9" x14ac:dyDescent="0.35">
      <c r="A1796" s="1" t="s">
        <v>688</v>
      </c>
    </row>
    <row r="1797" spans="1:9" x14ac:dyDescent="0.35">
      <c r="A1797" t="s">
        <v>219</v>
      </c>
      <c r="B1797" t="s">
        <v>301</v>
      </c>
      <c r="C1797" t="s">
        <v>672</v>
      </c>
      <c r="D1797" t="s">
        <v>673</v>
      </c>
      <c r="E1797" t="s">
        <v>674</v>
      </c>
      <c r="F1797" t="s">
        <v>675</v>
      </c>
      <c r="G1797" t="s">
        <v>277</v>
      </c>
      <c r="H1797" t="s">
        <v>282</v>
      </c>
      <c r="I1797" t="s">
        <v>226</v>
      </c>
    </row>
    <row r="1798" spans="1:9" x14ac:dyDescent="0.35">
      <c r="A1798" t="s">
        <v>227</v>
      </c>
      <c r="B1798" t="s">
        <v>238</v>
      </c>
      <c r="C1798" s="2">
        <v>0.85019999999999996</v>
      </c>
      <c r="D1798" s="2">
        <v>9.8400000000000001E-2</v>
      </c>
      <c r="E1798" s="2">
        <v>4.5699999999999998E-2</v>
      </c>
      <c r="F1798" s="2">
        <v>4.4000000000000003E-3</v>
      </c>
      <c r="G1798" s="2">
        <v>1E-3</v>
      </c>
      <c r="H1798" s="2">
        <v>2.0000000000000001E-4</v>
      </c>
      <c r="I1798">
        <v>1005</v>
      </c>
    </row>
    <row r="1799" spans="1:9" x14ac:dyDescent="0.35">
      <c r="A1799" t="s">
        <v>227</v>
      </c>
      <c r="B1799" t="s">
        <v>237</v>
      </c>
      <c r="C1799" s="2">
        <v>0.9647</v>
      </c>
      <c r="D1799" s="2">
        <v>3.49E-2</v>
      </c>
      <c r="G1799" s="2">
        <v>4.0000000000000002E-4</v>
      </c>
      <c r="I1799">
        <v>1808</v>
      </c>
    </row>
    <row r="1800" spans="1:9" x14ac:dyDescent="0.35">
      <c r="A1800" t="s">
        <v>228</v>
      </c>
      <c r="B1800" t="s">
        <v>228</v>
      </c>
      <c r="C1800" s="2">
        <v>0.92259999999999998</v>
      </c>
      <c r="D1800" s="2">
        <v>5.8299999999999998E-2</v>
      </c>
      <c r="E1800" s="2">
        <v>1.6799999999999999E-2</v>
      </c>
      <c r="F1800" s="2">
        <v>1.6000000000000001E-3</v>
      </c>
      <c r="G1800" s="2">
        <v>5.9999999999999995E-4</v>
      </c>
      <c r="H1800" s="2">
        <v>1E-4</v>
      </c>
      <c r="I1800">
        <v>2813</v>
      </c>
    </row>
    <row r="1802" spans="1:9" x14ac:dyDescent="0.35">
      <c r="A1802" s="1" t="s">
        <v>689</v>
      </c>
    </row>
    <row r="1803" spans="1:9" x14ac:dyDescent="0.35">
      <c r="A1803" t="s">
        <v>219</v>
      </c>
      <c r="B1803" t="s">
        <v>301</v>
      </c>
      <c r="C1803" t="s">
        <v>672</v>
      </c>
      <c r="D1803" t="s">
        <v>673</v>
      </c>
      <c r="E1803" t="s">
        <v>674</v>
      </c>
      <c r="F1803" t="s">
        <v>675</v>
      </c>
      <c r="G1803" t="s">
        <v>277</v>
      </c>
      <c r="H1803" t="s">
        <v>282</v>
      </c>
      <c r="I1803" t="s">
        <v>226</v>
      </c>
    </row>
    <row r="1804" spans="1:9" x14ac:dyDescent="0.35">
      <c r="A1804" t="s">
        <v>227</v>
      </c>
      <c r="B1804" t="s">
        <v>235</v>
      </c>
      <c r="C1804" s="2">
        <v>0.92559999999999998</v>
      </c>
      <c r="D1804" s="2">
        <v>4.3799999999999999E-2</v>
      </c>
      <c r="E1804" s="2">
        <v>2.4199999999999999E-2</v>
      </c>
      <c r="F1804" s="2">
        <v>5.4000000000000003E-3</v>
      </c>
      <c r="G1804" s="2">
        <v>1E-3</v>
      </c>
      <c r="I1804">
        <v>992</v>
      </c>
    </row>
    <row r="1805" spans="1:9" x14ac:dyDescent="0.35">
      <c r="A1805" t="s">
        <v>227</v>
      </c>
      <c r="B1805" t="s">
        <v>234</v>
      </c>
      <c r="C1805" s="2">
        <v>0.92130000000000001</v>
      </c>
      <c r="D1805" s="2">
        <v>6.4299999999999996E-2</v>
      </c>
      <c r="E1805" s="2">
        <v>1.38E-2</v>
      </c>
      <c r="F1805" s="2">
        <v>1E-4</v>
      </c>
      <c r="G1805" s="2">
        <v>4.0000000000000002E-4</v>
      </c>
      <c r="H1805" s="2">
        <v>1E-4</v>
      </c>
      <c r="I1805">
        <v>1821</v>
      </c>
    </row>
    <row r="1806" spans="1:9" x14ac:dyDescent="0.35">
      <c r="A1806" t="s">
        <v>228</v>
      </c>
      <c r="B1806" t="s">
        <v>228</v>
      </c>
      <c r="C1806" s="2">
        <v>0.92259999999999998</v>
      </c>
      <c r="D1806" s="2">
        <v>5.8299999999999998E-2</v>
      </c>
      <c r="E1806" s="2">
        <v>1.6799999999999999E-2</v>
      </c>
      <c r="F1806" s="2">
        <v>1.6000000000000001E-3</v>
      </c>
      <c r="G1806" s="2">
        <v>5.9999999999999995E-4</v>
      </c>
      <c r="H1806" s="2">
        <v>1E-4</v>
      </c>
      <c r="I1806">
        <v>2813</v>
      </c>
    </row>
    <row r="1808" spans="1:9" x14ac:dyDescent="0.35">
      <c r="A1808" s="1" t="s">
        <v>690</v>
      </c>
    </row>
    <row r="1809" spans="1:9" x14ac:dyDescent="0.35">
      <c r="A1809" t="s">
        <v>219</v>
      </c>
      <c r="B1809" t="s">
        <v>301</v>
      </c>
      <c r="C1809" t="s">
        <v>672</v>
      </c>
      <c r="D1809" t="s">
        <v>673</v>
      </c>
      <c r="E1809" t="s">
        <v>674</v>
      </c>
      <c r="F1809" t="s">
        <v>675</v>
      </c>
      <c r="G1809" t="s">
        <v>277</v>
      </c>
      <c r="H1809" t="s">
        <v>282</v>
      </c>
      <c r="I1809" t="s">
        <v>226</v>
      </c>
    </row>
    <row r="1810" spans="1:9" x14ac:dyDescent="0.35">
      <c r="A1810" t="s">
        <v>227</v>
      </c>
      <c r="B1810" t="s">
        <v>240</v>
      </c>
      <c r="C1810" s="2">
        <v>0.92349999999999999</v>
      </c>
      <c r="D1810" s="2">
        <v>5.6000000000000001E-2</v>
      </c>
      <c r="E1810" s="2">
        <v>1.8100000000000002E-2</v>
      </c>
      <c r="F1810" s="2">
        <v>1.6000000000000001E-3</v>
      </c>
      <c r="G1810" s="2">
        <v>6.9999999999999999E-4</v>
      </c>
      <c r="H1810" s="2">
        <v>1E-4</v>
      </c>
      <c r="I1810">
        <v>1756</v>
      </c>
    </row>
    <row r="1811" spans="1:9" x14ac:dyDescent="0.35">
      <c r="A1811" t="s">
        <v>227</v>
      </c>
      <c r="B1811" t="s">
        <v>241</v>
      </c>
      <c r="C1811" s="2">
        <v>0.91810000000000003</v>
      </c>
      <c r="D1811" s="2">
        <v>7.3499999999999996E-2</v>
      </c>
      <c r="E1811" s="2">
        <v>7.9000000000000008E-3</v>
      </c>
      <c r="G1811" s="2">
        <v>5.9999999999999995E-4</v>
      </c>
      <c r="I1811">
        <v>891</v>
      </c>
    </row>
    <row r="1812" spans="1:9" x14ac:dyDescent="0.35">
      <c r="A1812" t="s">
        <v>227</v>
      </c>
      <c r="B1812" t="s">
        <v>242</v>
      </c>
      <c r="C1812" s="2">
        <v>0.93330000000000002</v>
      </c>
      <c r="D1812" s="2">
        <v>1.23E-2</v>
      </c>
      <c r="E1812" s="2">
        <v>4.4699999999999997E-2</v>
      </c>
      <c r="F1812" s="2">
        <v>9.7000000000000003E-3</v>
      </c>
      <c r="I1812">
        <v>166</v>
      </c>
    </row>
    <row r="1813" spans="1:9" x14ac:dyDescent="0.35">
      <c r="A1813" t="s">
        <v>228</v>
      </c>
      <c r="B1813" t="s">
        <v>228</v>
      </c>
      <c r="C1813" s="2">
        <v>0.92259999999999998</v>
      </c>
      <c r="D1813" s="2">
        <v>5.8299999999999998E-2</v>
      </c>
      <c r="E1813" s="2">
        <v>1.6799999999999999E-2</v>
      </c>
      <c r="F1813" s="2">
        <v>1.6000000000000001E-3</v>
      </c>
      <c r="G1813" s="2">
        <v>5.9999999999999995E-4</v>
      </c>
      <c r="H1813" s="2">
        <v>1E-4</v>
      </c>
      <c r="I1813">
        <v>2813</v>
      </c>
    </row>
    <row r="1815" spans="1:9" x14ac:dyDescent="0.35">
      <c r="A1815" s="1" t="s">
        <v>691</v>
      </c>
    </row>
    <row r="1816" spans="1:9" x14ac:dyDescent="0.35">
      <c r="A1816" t="s">
        <v>219</v>
      </c>
      <c r="B1816" t="s">
        <v>301</v>
      </c>
      <c r="C1816" t="s">
        <v>672</v>
      </c>
      <c r="D1816" t="s">
        <v>673</v>
      </c>
      <c r="E1816" t="s">
        <v>674</v>
      </c>
      <c r="F1816" t="s">
        <v>675</v>
      </c>
      <c r="G1816" t="s">
        <v>277</v>
      </c>
      <c r="H1816" t="s">
        <v>282</v>
      </c>
      <c r="I1816" t="s">
        <v>226</v>
      </c>
    </row>
    <row r="1817" spans="1:9" x14ac:dyDescent="0.35">
      <c r="A1817" t="s">
        <v>227</v>
      </c>
      <c r="B1817" t="s">
        <v>334</v>
      </c>
      <c r="C1817" s="2">
        <v>0.89019999999999999</v>
      </c>
      <c r="D1817" s="2">
        <v>7.6999999999999999E-2</v>
      </c>
      <c r="E1817" s="2">
        <v>2.81E-2</v>
      </c>
      <c r="F1817" s="2">
        <v>3.2000000000000002E-3</v>
      </c>
      <c r="G1817" s="2">
        <v>1.1999999999999999E-3</v>
      </c>
      <c r="H1817" s="2">
        <v>4.0000000000000002E-4</v>
      </c>
      <c r="I1817">
        <v>625</v>
      </c>
    </row>
    <row r="1818" spans="1:9" x14ac:dyDescent="0.35">
      <c r="A1818" t="s">
        <v>227</v>
      </c>
      <c r="B1818" t="s">
        <v>335</v>
      </c>
      <c r="C1818" s="2">
        <v>0.95950000000000002</v>
      </c>
      <c r="D1818" s="2">
        <v>3.1E-2</v>
      </c>
      <c r="E1818" s="2">
        <v>8.8000000000000005E-3</v>
      </c>
      <c r="G1818" s="2">
        <v>6.9999999999999999E-4</v>
      </c>
      <c r="I1818">
        <v>628</v>
      </c>
    </row>
    <row r="1819" spans="1:9" x14ac:dyDescent="0.35">
      <c r="A1819" t="s">
        <v>227</v>
      </c>
      <c r="B1819" t="s">
        <v>336</v>
      </c>
      <c r="C1819" s="2">
        <v>0.9153</v>
      </c>
      <c r="D1819" s="2">
        <v>6.3200000000000006E-2</v>
      </c>
      <c r="E1819" s="2">
        <v>2.1299999999999999E-2</v>
      </c>
      <c r="G1819" s="2">
        <v>2.0000000000000001E-4</v>
      </c>
      <c r="I1819">
        <v>621</v>
      </c>
    </row>
    <row r="1820" spans="1:9" x14ac:dyDescent="0.35">
      <c r="A1820" t="s">
        <v>227</v>
      </c>
      <c r="B1820" t="s">
        <v>337</v>
      </c>
      <c r="C1820" s="2">
        <v>0.91</v>
      </c>
      <c r="D1820" s="2">
        <v>7.1199999999999999E-2</v>
      </c>
      <c r="E1820" s="2">
        <v>1.4200000000000001E-2</v>
      </c>
      <c r="F1820" s="2">
        <v>4.5999999999999999E-3</v>
      </c>
      <c r="I1820">
        <v>602</v>
      </c>
    </row>
    <row r="1821" spans="1:9" x14ac:dyDescent="0.35">
      <c r="A1821" t="s">
        <v>228</v>
      </c>
      <c r="B1821" t="s">
        <v>228</v>
      </c>
      <c r="C1821" s="2">
        <v>0.92259999999999998</v>
      </c>
      <c r="D1821" s="2">
        <v>5.8299999999999998E-2</v>
      </c>
      <c r="E1821" s="2">
        <v>1.6799999999999999E-2</v>
      </c>
      <c r="F1821" s="2">
        <v>1.6000000000000001E-3</v>
      </c>
      <c r="G1821" s="2">
        <v>5.9999999999999995E-4</v>
      </c>
      <c r="H1821" s="2">
        <v>1E-4</v>
      </c>
      <c r="I1821">
        <v>2476</v>
      </c>
    </row>
    <row r="1823" spans="1:9" x14ac:dyDescent="0.35">
      <c r="A1823" s="1" t="s">
        <v>692</v>
      </c>
    </row>
    <row r="1824" spans="1:9" x14ac:dyDescent="0.35">
      <c r="A1824" t="s">
        <v>219</v>
      </c>
      <c r="B1824" t="s">
        <v>301</v>
      </c>
      <c r="C1824" t="s">
        <v>672</v>
      </c>
      <c r="D1824" t="s">
        <v>673</v>
      </c>
      <c r="E1824" t="s">
        <v>674</v>
      </c>
      <c r="F1824" t="s">
        <v>675</v>
      </c>
      <c r="G1824" t="s">
        <v>277</v>
      </c>
      <c r="H1824" t="s">
        <v>282</v>
      </c>
      <c r="I1824" t="s">
        <v>226</v>
      </c>
    </row>
    <row r="1825" spans="1:9" x14ac:dyDescent="0.35">
      <c r="A1825" t="s">
        <v>227</v>
      </c>
      <c r="B1825" t="s">
        <v>263</v>
      </c>
      <c r="C1825" s="2">
        <v>0.91649999999999998</v>
      </c>
      <c r="D1825" s="2">
        <v>6.6400000000000001E-2</v>
      </c>
      <c r="E1825" s="2">
        <v>1.7100000000000001E-2</v>
      </c>
      <c r="I1825">
        <v>589</v>
      </c>
    </row>
    <row r="1826" spans="1:9" x14ac:dyDescent="0.35">
      <c r="A1826" t="s">
        <v>227</v>
      </c>
      <c r="B1826" t="s">
        <v>262</v>
      </c>
      <c r="C1826" s="2">
        <v>0.91100000000000003</v>
      </c>
      <c r="D1826" s="2">
        <v>6.6699999999999995E-2</v>
      </c>
      <c r="E1826" s="2">
        <v>0.02</v>
      </c>
      <c r="F1826" s="2">
        <v>1.9E-3</v>
      </c>
      <c r="G1826" s="2">
        <v>5.0000000000000001E-4</v>
      </c>
      <c r="I1826">
        <v>1160</v>
      </c>
    </row>
    <row r="1827" spans="1:9" x14ac:dyDescent="0.35">
      <c r="A1827" t="s">
        <v>227</v>
      </c>
      <c r="B1827" t="s">
        <v>261</v>
      </c>
      <c r="C1827" s="2">
        <v>0.93530000000000002</v>
      </c>
      <c r="D1827" s="2">
        <v>4.7199999999999999E-2</v>
      </c>
      <c r="E1827" s="2">
        <v>1.41E-2</v>
      </c>
      <c r="F1827" s="2">
        <v>2.2000000000000001E-3</v>
      </c>
      <c r="G1827" s="2">
        <v>1E-3</v>
      </c>
      <c r="H1827" s="2">
        <v>2.0000000000000001E-4</v>
      </c>
      <c r="I1827">
        <v>1062</v>
      </c>
    </row>
    <row r="1828" spans="1:9" x14ac:dyDescent="0.35">
      <c r="A1828" s="3" t="s">
        <v>227</v>
      </c>
      <c r="B1828" s="3" t="s">
        <v>232</v>
      </c>
      <c r="C1828" s="4">
        <v>1</v>
      </c>
      <c r="D1828" s="5"/>
      <c r="E1828" s="5"/>
      <c r="F1828" s="5"/>
      <c r="G1828" s="5"/>
      <c r="H1828" s="5"/>
      <c r="I1828" s="5" t="s">
        <v>434</v>
      </c>
    </row>
    <row r="1829" spans="1:9" x14ac:dyDescent="0.35">
      <c r="A1829" t="s">
        <v>228</v>
      </c>
      <c r="B1829" t="s">
        <v>228</v>
      </c>
      <c r="C1829" s="2">
        <v>0.92259999999999998</v>
      </c>
      <c r="D1829" s="2">
        <v>5.8299999999999998E-2</v>
      </c>
      <c r="E1829" s="2">
        <v>1.6799999999999999E-2</v>
      </c>
      <c r="F1829" s="2">
        <v>1.6000000000000001E-3</v>
      </c>
      <c r="G1829" s="2">
        <v>5.9999999999999995E-4</v>
      </c>
      <c r="H1829" s="2">
        <v>1E-4</v>
      </c>
      <c r="I1829">
        <v>2813</v>
      </c>
    </row>
    <row r="1831" spans="1:9" x14ac:dyDescent="0.35">
      <c r="A1831" s="1" t="s">
        <v>693</v>
      </c>
    </row>
    <row r="1832" spans="1:9" x14ac:dyDescent="0.35">
      <c r="A1832" t="s">
        <v>219</v>
      </c>
      <c r="B1832" t="s">
        <v>301</v>
      </c>
      <c r="C1832" t="s">
        <v>672</v>
      </c>
      <c r="D1832" t="s">
        <v>673</v>
      </c>
      <c r="E1832" t="s">
        <v>674</v>
      </c>
      <c r="F1832" t="s">
        <v>675</v>
      </c>
      <c r="G1832" t="s">
        <v>277</v>
      </c>
      <c r="H1832" t="s">
        <v>282</v>
      </c>
      <c r="I1832" t="s">
        <v>226</v>
      </c>
    </row>
    <row r="1833" spans="1:9" x14ac:dyDescent="0.35">
      <c r="A1833" t="s">
        <v>227</v>
      </c>
      <c r="B1833" t="s">
        <v>248</v>
      </c>
      <c r="C1833" s="2">
        <v>0.87609999999999999</v>
      </c>
      <c r="D1833" s="2">
        <v>9.9599999999999994E-2</v>
      </c>
      <c r="E1833" s="2">
        <v>2.3E-2</v>
      </c>
      <c r="G1833" s="2">
        <v>1E-3</v>
      </c>
      <c r="H1833" s="2">
        <v>2.9999999999999997E-4</v>
      </c>
      <c r="I1833">
        <v>796</v>
      </c>
    </row>
    <row r="1834" spans="1:9" x14ac:dyDescent="0.35">
      <c r="A1834" t="s">
        <v>227</v>
      </c>
      <c r="B1834" t="s">
        <v>249</v>
      </c>
      <c r="C1834" s="2">
        <v>0.88049999999999995</v>
      </c>
      <c r="D1834" s="2">
        <v>6.5000000000000002E-2</v>
      </c>
      <c r="E1834" s="2">
        <v>4.4699999999999997E-2</v>
      </c>
      <c r="F1834" s="2">
        <v>8.3000000000000001E-3</v>
      </c>
      <c r="G1834" s="2">
        <v>1.5E-3</v>
      </c>
      <c r="I1834">
        <v>541</v>
      </c>
    </row>
    <row r="1835" spans="1:9" x14ac:dyDescent="0.35">
      <c r="A1835" t="s">
        <v>227</v>
      </c>
      <c r="B1835" t="s">
        <v>247</v>
      </c>
      <c r="C1835" s="2">
        <v>0.96189999999999998</v>
      </c>
      <c r="D1835" s="2">
        <v>3.4500000000000003E-2</v>
      </c>
      <c r="E1835" s="2">
        <v>3.5000000000000001E-3</v>
      </c>
      <c r="F1835" s="2">
        <v>0</v>
      </c>
      <c r="G1835" s="2">
        <v>1E-4</v>
      </c>
      <c r="I1835">
        <v>1476</v>
      </c>
    </row>
    <row r="1836" spans="1:9" x14ac:dyDescent="0.35">
      <c r="A1836" t="s">
        <v>228</v>
      </c>
      <c r="B1836" t="s">
        <v>228</v>
      </c>
      <c r="C1836" s="2">
        <v>0.92259999999999998</v>
      </c>
      <c r="D1836" s="2">
        <v>5.8299999999999998E-2</v>
      </c>
      <c r="E1836" s="2">
        <v>1.6799999999999999E-2</v>
      </c>
      <c r="F1836" s="2">
        <v>1.6000000000000001E-3</v>
      </c>
      <c r="G1836" s="2">
        <v>5.9999999999999995E-4</v>
      </c>
      <c r="H1836" s="2">
        <v>1E-4</v>
      </c>
      <c r="I1836">
        <v>2813</v>
      </c>
    </row>
    <row r="1838" spans="1:9" x14ac:dyDescent="0.35">
      <c r="A1838" s="1" t="s">
        <v>694</v>
      </c>
    </row>
    <row r="1839" spans="1:9" x14ac:dyDescent="0.35">
      <c r="A1839" t="s">
        <v>219</v>
      </c>
      <c r="B1839" t="s">
        <v>301</v>
      </c>
      <c r="C1839" t="s">
        <v>672</v>
      </c>
      <c r="D1839" t="s">
        <v>673</v>
      </c>
      <c r="E1839" t="s">
        <v>674</v>
      </c>
      <c r="F1839" t="s">
        <v>675</v>
      </c>
      <c r="G1839" t="s">
        <v>277</v>
      </c>
      <c r="H1839" t="s">
        <v>282</v>
      </c>
      <c r="I1839" t="s">
        <v>226</v>
      </c>
    </row>
    <row r="1840" spans="1:9" x14ac:dyDescent="0.35">
      <c r="A1840" t="s">
        <v>227</v>
      </c>
      <c r="B1840" t="s">
        <v>245</v>
      </c>
      <c r="C1840" s="2">
        <v>0.97030000000000005</v>
      </c>
      <c r="D1840" s="2">
        <v>1.9300000000000001E-2</v>
      </c>
      <c r="E1840" s="2">
        <v>7.6E-3</v>
      </c>
      <c r="F1840" s="2">
        <v>2.3E-3</v>
      </c>
      <c r="G1840" s="2">
        <v>5.0000000000000001E-4</v>
      </c>
      <c r="I1840">
        <v>783</v>
      </c>
    </row>
    <row r="1841" spans="1:9" x14ac:dyDescent="0.35">
      <c r="A1841" t="s">
        <v>227</v>
      </c>
      <c r="B1841" t="s">
        <v>244</v>
      </c>
      <c r="C1841" s="2">
        <v>0.90369999999999995</v>
      </c>
      <c r="D1841" s="2">
        <v>7.3700000000000002E-2</v>
      </c>
      <c r="E1841" s="2">
        <v>2.0500000000000001E-2</v>
      </c>
      <c r="F1841" s="2">
        <v>1.4E-3</v>
      </c>
      <c r="G1841" s="2">
        <v>5.9999999999999995E-4</v>
      </c>
      <c r="H1841" s="2">
        <v>1E-4</v>
      </c>
      <c r="I1841">
        <v>2030</v>
      </c>
    </row>
    <row r="1842" spans="1:9" x14ac:dyDescent="0.35">
      <c r="A1842" t="s">
        <v>228</v>
      </c>
      <c r="B1842" t="s">
        <v>228</v>
      </c>
      <c r="C1842" s="2">
        <v>0.92259999999999998</v>
      </c>
      <c r="D1842" s="2">
        <v>5.8299999999999998E-2</v>
      </c>
      <c r="E1842" s="2">
        <v>1.6799999999999999E-2</v>
      </c>
      <c r="F1842" s="2">
        <v>1.6000000000000001E-3</v>
      </c>
      <c r="G1842" s="2">
        <v>5.9999999999999995E-4</v>
      </c>
      <c r="H1842" s="2">
        <v>1E-4</v>
      </c>
      <c r="I1842">
        <v>2813</v>
      </c>
    </row>
    <row r="1844" spans="1:9" x14ac:dyDescent="0.35">
      <c r="A1844" s="1" t="s">
        <v>695</v>
      </c>
    </row>
    <row r="1845" spans="1:9" x14ac:dyDescent="0.35">
      <c r="A1845" t="s">
        <v>219</v>
      </c>
      <c r="B1845" t="s">
        <v>301</v>
      </c>
      <c r="C1845" t="s">
        <v>672</v>
      </c>
      <c r="D1845" t="s">
        <v>673</v>
      </c>
      <c r="E1845" t="s">
        <v>674</v>
      </c>
      <c r="F1845" t="s">
        <v>675</v>
      </c>
      <c r="G1845" t="s">
        <v>277</v>
      </c>
      <c r="H1845" t="s">
        <v>282</v>
      </c>
      <c r="I1845" t="s">
        <v>226</v>
      </c>
    </row>
    <row r="1846" spans="1:9" x14ac:dyDescent="0.35">
      <c r="A1846" t="s">
        <v>227</v>
      </c>
      <c r="B1846" t="s">
        <v>259</v>
      </c>
      <c r="C1846" s="2">
        <v>0.9022</v>
      </c>
      <c r="D1846" s="2">
        <v>7.9100000000000004E-2</v>
      </c>
      <c r="E1846" s="2">
        <v>9.1000000000000004E-3</v>
      </c>
      <c r="G1846" s="2">
        <v>9.5999999999999992E-3</v>
      </c>
      <c r="I1846">
        <v>69</v>
      </c>
    </row>
    <row r="1847" spans="1:9" x14ac:dyDescent="0.35">
      <c r="A1847" t="s">
        <v>227</v>
      </c>
      <c r="B1847" t="s">
        <v>257</v>
      </c>
      <c r="C1847" s="2">
        <v>0.8931</v>
      </c>
      <c r="D1847" s="2">
        <v>7.1599999999999997E-2</v>
      </c>
      <c r="E1847" s="2">
        <v>3.15E-2</v>
      </c>
      <c r="F1847" s="2">
        <v>3.8E-3</v>
      </c>
      <c r="I1847">
        <v>405</v>
      </c>
    </row>
    <row r="1848" spans="1:9" x14ac:dyDescent="0.35">
      <c r="A1848" t="s">
        <v>227</v>
      </c>
      <c r="B1848" t="s">
        <v>256</v>
      </c>
      <c r="C1848" s="2">
        <v>0.92310000000000003</v>
      </c>
      <c r="D1848" s="2">
        <v>5.9299999999999999E-2</v>
      </c>
      <c r="E1848" s="2">
        <v>1.55E-2</v>
      </c>
      <c r="F1848" s="2">
        <v>1.5E-3</v>
      </c>
      <c r="G1848" s="2">
        <v>5.9999999999999995E-4</v>
      </c>
      <c r="H1848" s="2">
        <v>1E-4</v>
      </c>
      <c r="I1848">
        <v>1803</v>
      </c>
    </row>
    <row r="1849" spans="1:9" x14ac:dyDescent="0.35">
      <c r="A1849" s="3" t="s">
        <v>227</v>
      </c>
      <c r="B1849" s="3" t="s">
        <v>232</v>
      </c>
      <c r="C1849" s="4">
        <v>0.65949999999999998</v>
      </c>
      <c r="D1849" s="4">
        <v>0.34050000000000002</v>
      </c>
      <c r="E1849" s="5"/>
      <c r="F1849" s="5"/>
      <c r="G1849" s="5"/>
      <c r="H1849" s="5"/>
      <c r="I1849" s="5" t="s">
        <v>307</v>
      </c>
    </row>
    <row r="1850" spans="1:9" x14ac:dyDescent="0.35">
      <c r="A1850" t="s">
        <v>227</v>
      </c>
      <c r="B1850" t="s">
        <v>258</v>
      </c>
      <c r="C1850" s="2">
        <v>0.9597</v>
      </c>
      <c r="D1850" s="2">
        <v>3.2500000000000001E-2</v>
      </c>
      <c r="E1850" s="2">
        <v>7.4000000000000003E-3</v>
      </c>
      <c r="F1850" s="2">
        <v>2.0000000000000001E-4</v>
      </c>
      <c r="G1850" s="2">
        <v>2.9999999999999997E-4</v>
      </c>
      <c r="I1850">
        <v>525</v>
      </c>
    </row>
    <row r="1851" spans="1:9" x14ac:dyDescent="0.35">
      <c r="A1851" t="s">
        <v>228</v>
      </c>
      <c r="B1851" t="s">
        <v>228</v>
      </c>
      <c r="C1851" s="2">
        <v>0.92259999999999998</v>
      </c>
      <c r="D1851" s="2">
        <v>5.8299999999999998E-2</v>
      </c>
      <c r="E1851" s="2">
        <v>1.6799999999999999E-2</v>
      </c>
      <c r="F1851" s="2">
        <v>1.6000000000000001E-3</v>
      </c>
      <c r="G1851" s="2">
        <v>5.9999999999999995E-4</v>
      </c>
      <c r="H1851" s="2">
        <v>1E-4</v>
      </c>
      <c r="I1851">
        <v>2813</v>
      </c>
    </row>
    <row r="1853" spans="1:9" x14ac:dyDescent="0.35">
      <c r="A1853" s="1" t="s">
        <v>696</v>
      </c>
    </row>
    <row r="1854" spans="1:9" x14ac:dyDescent="0.35">
      <c r="A1854" t="s">
        <v>219</v>
      </c>
      <c r="B1854" t="s">
        <v>301</v>
      </c>
      <c r="C1854" t="s">
        <v>672</v>
      </c>
      <c r="D1854" t="s">
        <v>673</v>
      </c>
      <c r="E1854" t="s">
        <v>674</v>
      </c>
      <c r="F1854" t="s">
        <v>675</v>
      </c>
      <c r="G1854" t="s">
        <v>277</v>
      </c>
      <c r="H1854" t="s">
        <v>282</v>
      </c>
      <c r="I1854" t="s">
        <v>226</v>
      </c>
    </row>
    <row r="1855" spans="1:9" x14ac:dyDescent="0.35">
      <c r="A1855" t="s">
        <v>227</v>
      </c>
      <c r="B1855" t="s">
        <v>343</v>
      </c>
      <c r="C1855" s="2">
        <v>0.8931</v>
      </c>
      <c r="D1855" s="2">
        <v>7.1599999999999997E-2</v>
      </c>
      <c r="E1855" s="2">
        <v>3.15E-2</v>
      </c>
      <c r="F1855" s="2">
        <v>3.8E-3</v>
      </c>
      <c r="I1855">
        <v>405</v>
      </c>
    </row>
    <row r="1856" spans="1:9" x14ac:dyDescent="0.35">
      <c r="A1856" t="s">
        <v>227</v>
      </c>
      <c r="B1856" t="s">
        <v>344</v>
      </c>
      <c r="C1856" s="2">
        <v>0.92859999999999998</v>
      </c>
      <c r="D1856" s="2">
        <v>5.5599999999999997E-2</v>
      </c>
      <c r="E1856" s="2">
        <v>1.3899999999999999E-2</v>
      </c>
      <c r="F1856" s="2">
        <v>1.1999999999999999E-3</v>
      </c>
      <c r="G1856" s="2">
        <v>6.9999999999999999E-4</v>
      </c>
      <c r="H1856" s="2">
        <v>1E-4</v>
      </c>
      <c r="I1856">
        <v>2408</v>
      </c>
    </row>
    <row r="1857" spans="1:9" x14ac:dyDescent="0.35">
      <c r="A1857" t="s">
        <v>228</v>
      </c>
      <c r="B1857" t="s">
        <v>228</v>
      </c>
      <c r="C1857" s="2">
        <v>0.92259999999999998</v>
      </c>
      <c r="D1857" s="2">
        <v>5.8299999999999998E-2</v>
      </c>
      <c r="E1857" s="2">
        <v>1.6799999999999999E-2</v>
      </c>
      <c r="F1857" s="2">
        <v>1.6000000000000001E-3</v>
      </c>
      <c r="G1857" s="2">
        <v>5.9999999999999995E-4</v>
      </c>
      <c r="H1857" s="2">
        <v>1E-4</v>
      </c>
      <c r="I1857">
        <v>2813</v>
      </c>
    </row>
    <row r="1859" spans="1:9" x14ac:dyDescent="0.35">
      <c r="A1859" s="1" t="s">
        <v>697</v>
      </c>
    </row>
    <row r="1860" spans="1:9" x14ac:dyDescent="0.35">
      <c r="A1860" t="s">
        <v>219</v>
      </c>
      <c r="B1860" t="s">
        <v>301</v>
      </c>
      <c r="C1860" t="s">
        <v>672</v>
      </c>
      <c r="D1860" t="s">
        <v>673</v>
      </c>
      <c r="E1860" t="s">
        <v>674</v>
      </c>
      <c r="F1860" t="s">
        <v>675</v>
      </c>
      <c r="G1860" t="s">
        <v>277</v>
      </c>
      <c r="H1860" t="s">
        <v>282</v>
      </c>
      <c r="I1860" t="s">
        <v>226</v>
      </c>
    </row>
    <row r="1861" spans="1:9" x14ac:dyDescent="0.35">
      <c r="A1861" t="s">
        <v>227</v>
      </c>
      <c r="B1861" t="s">
        <v>346</v>
      </c>
      <c r="C1861" s="2">
        <v>0.92430000000000001</v>
      </c>
      <c r="D1861" s="2">
        <v>5.6899999999999999E-2</v>
      </c>
      <c r="E1861" s="2">
        <v>1.6799999999999999E-2</v>
      </c>
      <c r="F1861" s="2">
        <v>1.8E-3</v>
      </c>
      <c r="G1861" s="2">
        <v>1E-4</v>
      </c>
      <c r="I1861">
        <v>1463</v>
      </c>
    </row>
    <row r="1862" spans="1:9" x14ac:dyDescent="0.35">
      <c r="A1862" t="s">
        <v>227</v>
      </c>
      <c r="B1862" t="s">
        <v>347</v>
      </c>
      <c r="C1862" s="2">
        <v>0.90010000000000001</v>
      </c>
      <c r="D1862" s="2">
        <v>6.88E-2</v>
      </c>
      <c r="E1862" s="2">
        <v>2.2100000000000002E-2</v>
      </c>
      <c r="F1862" s="2">
        <v>1.4E-3</v>
      </c>
      <c r="G1862" s="2">
        <v>5.4000000000000003E-3</v>
      </c>
      <c r="H1862" s="2">
        <v>2.2000000000000001E-3</v>
      </c>
      <c r="I1862">
        <v>585</v>
      </c>
    </row>
    <row r="1863" spans="1:9" x14ac:dyDescent="0.35">
      <c r="A1863" t="s">
        <v>227</v>
      </c>
      <c r="B1863" t="s">
        <v>348</v>
      </c>
      <c r="C1863" s="2">
        <v>0.91490000000000005</v>
      </c>
      <c r="D1863" s="2">
        <v>6.6699999999999995E-2</v>
      </c>
      <c r="E1863" s="2">
        <v>1.5599999999999999E-2</v>
      </c>
      <c r="G1863" s="2">
        <v>2.8E-3</v>
      </c>
      <c r="I1863">
        <v>765</v>
      </c>
    </row>
    <row r="1864" spans="1:9" x14ac:dyDescent="0.35">
      <c r="A1864" t="s">
        <v>228</v>
      </c>
      <c r="B1864" t="s">
        <v>228</v>
      </c>
      <c r="C1864" s="2">
        <v>0.92259999999999998</v>
      </c>
      <c r="D1864" s="2">
        <v>5.8299999999999998E-2</v>
      </c>
      <c r="E1864" s="2">
        <v>1.6799999999999999E-2</v>
      </c>
      <c r="F1864" s="2">
        <v>1.6000000000000001E-3</v>
      </c>
      <c r="G1864" s="2">
        <v>5.9999999999999995E-4</v>
      </c>
      <c r="H1864" s="2">
        <v>1E-4</v>
      </c>
      <c r="I1864">
        <v>2813</v>
      </c>
    </row>
    <row r="1866" spans="1:9" x14ac:dyDescent="0.35">
      <c r="A1866" s="1" t="s">
        <v>698</v>
      </c>
    </row>
    <row r="1867" spans="1:9" x14ac:dyDescent="0.35">
      <c r="A1867" t="s">
        <v>219</v>
      </c>
      <c r="B1867" t="s">
        <v>301</v>
      </c>
      <c r="C1867" t="s">
        <v>672</v>
      </c>
      <c r="D1867" t="s">
        <v>673</v>
      </c>
      <c r="E1867" t="s">
        <v>674</v>
      </c>
      <c r="F1867" t="s">
        <v>675</v>
      </c>
      <c r="G1867" t="s">
        <v>277</v>
      </c>
      <c r="H1867" t="s">
        <v>282</v>
      </c>
      <c r="I1867" t="s">
        <v>226</v>
      </c>
    </row>
    <row r="1868" spans="1:9" x14ac:dyDescent="0.35">
      <c r="A1868" t="s">
        <v>227</v>
      </c>
      <c r="B1868" t="s">
        <v>251</v>
      </c>
      <c r="C1868" s="2">
        <v>0.90369999999999995</v>
      </c>
      <c r="D1868" s="2">
        <v>7.3700000000000002E-2</v>
      </c>
      <c r="E1868" s="2">
        <v>2.0500000000000001E-2</v>
      </c>
      <c r="F1868" s="2">
        <v>1.4E-3</v>
      </c>
      <c r="G1868" s="2">
        <v>5.9999999999999995E-4</v>
      </c>
      <c r="H1868" s="2">
        <v>1E-4</v>
      </c>
      <c r="I1868">
        <v>2030</v>
      </c>
    </row>
    <row r="1869" spans="1:9" x14ac:dyDescent="0.35">
      <c r="A1869" t="s">
        <v>227</v>
      </c>
      <c r="B1869" t="s">
        <v>252</v>
      </c>
      <c r="C1869" s="2">
        <v>0.96840000000000004</v>
      </c>
      <c r="D1869" s="2">
        <v>2.2800000000000001E-2</v>
      </c>
      <c r="E1869" s="2">
        <v>5.3E-3</v>
      </c>
      <c r="F1869" s="2">
        <v>2.8E-3</v>
      </c>
      <c r="G1869" s="2">
        <v>6.9999999999999999E-4</v>
      </c>
      <c r="I1869">
        <v>621</v>
      </c>
    </row>
    <row r="1870" spans="1:9" x14ac:dyDescent="0.35">
      <c r="A1870" t="s">
        <v>227</v>
      </c>
      <c r="B1870" t="s">
        <v>253</v>
      </c>
      <c r="C1870" s="2">
        <v>0.97740000000000005</v>
      </c>
      <c r="D1870" s="2">
        <v>4.7000000000000002E-3</v>
      </c>
      <c r="E1870" s="2">
        <v>1.7899999999999999E-2</v>
      </c>
      <c r="I1870">
        <v>153</v>
      </c>
    </row>
    <row r="1871" spans="1:9" x14ac:dyDescent="0.35">
      <c r="A1871" s="3" t="s">
        <v>227</v>
      </c>
      <c r="B1871" s="3" t="s">
        <v>254</v>
      </c>
      <c r="C1871" s="4">
        <v>1</v>
      </c>
      <c r="D1871" s="5"/>
      <c r="E1871" s="5"/>
      <c r="F1871" s="5"/>
      <c r="G1871" s="5"/>
      <c r="H1871" s="5"/>
      <c r="I1871" s="5" t="s">
        <v>515</v>
      </c>
    </row>
    <row r="1872" spans="1:9" x14ac:dyDescent="0.35">
      <c r="A1872" t="s">
        <v>228</v>
      </c>
      <c r="B1872" t="s">
        <v>228</v>
      </c>
      <c r="C1872" s="2">
        <v>0.92259999999999998</v>
      </c>
      <c r="D1872" s="2">
        <v>5.8299999999999998E-2</v>
      </c>
      <c r="E1872" s="2">
        <v>1.6799999999999999E-2</v>
      </c>
      <c r="F1872" s="2">
        <v>1.6000000000000001E-3</v>
      </c>
      <c r="G1872" s="2">
        <v>5.9999999999999995E-4</v>
      </c>
      <c r="H1872" s="2">
        <v>1E-4</v>
      </c>
      <c r="I1872">
        <v>2813</v>
      </c>
    </row>
    <row r="1874" spans="1:8" x14ac:dyDescent="0.35">
      <c r="A1874" s="1" t="s">
        <v>699</v>
      </c>
    </row>
    <row r="1875" spans="1:8" x14ac:dyDescent="0.35">
      <c r="A1875" t="s">
        <v>219</v>
      </c>
      <c r="B1875" t="s">
        <v>672</v>
      </c>
      <c r="C1875" t="s">
        <v>673</v>
      </c>
      <c r="D1875" t="s">
        <v>674</v>
      </c>
      <c r="E1875" t="s">
        <v>675</v>
      </c>
      <c r="F1875" t="s">
        <v>277</v>
      </c>
      <c r="G1875" t="s">
        <v>226</v>
      </c>
    </row>
    <row r="1876" spans="1:8" x14ac:dyDescent="0.35">
      <c r="A1876" t="s">
        <v>227</v>
      </c>
      <c r="B1876" s="2">
        <v>0.57640000000000002</v>
      </c>
      <c r="C1876" s="2">
        <v>0.24590000000000001</v>
      </c>
      <c r="D1876" s="2">
        <v>0.1522</v>
      </c>
      <c r="E1876" s="2">
        <v>2.0199999999999999E-2</v>
      </c>
      <c r="F1876" s="2">
        <v>5.3E-3</v>
      </c>
      <c r="G1876">
        <v>2813</v>
      </c>
    </row>
    <row r="1877" spans="1:8" x14ac:dyDescent="0.35">
      <c r="A1877" t="s">
        <v>228</v>
      </c>
      <c r="B1877" s="2">
        <v>0.57640000000000002</v>
      </c>
      <c r="C1877" s="2">
        <v>0.24590000000000001</v>
      </c>
      <c r="D1877" s="2">
        <v>0.1522</v>
      </c>
      <c r="E1877" s="2">
        <v>2.0199999999999999E-2</v>
      </c>
      <c r="F1877" s="2">
        <v>5.3E-3</v>
      </c>
      <c r="G1877">
        <v>2813</v>
      </c>
    </row>
    <row r="1879" spans="1:8" x14ac:dyDescent="0.35">
      <c r="A1879" s="1" t="s">
        <v>700</v>
      </c>
    </row>
    <row r="1880" spans="1:8" x14ac:dyDescent="0.35">
      <c r="A1880" t="s">
        <v>219</v>
      </c>
      <c r="B1880" t="s">
        <v>301</v>
      </c>
      <c r="C1880" t="s">
        <v>672</v>
      </c>
      <c r="D1880" t="s">
        <v>673</v>
      </c>
      <c r="E1880" t="s">
        <v>674</v>
      </c>
      <c r="F1880" t="s">
        <v>675</v>
      </c>
      <c r="G1880" t="s">
        <v>277</v>
      </c>
      <c r="H1880" t="s">
        <v>226</v>
      </c>
    </row>
    <row r="1881" spans="1:8" x14ac:dyDescent="0.35">
      <c r="A1881" t="s">
        <v>227</v>
      </c>
      <c r="B1881" t="s">
        <v>238</v>
      </c>
      <c r="C1881" s="2">
        <v>0.28449999999999998</v>
      </c>
      <c r="D1881" s="2">
        <v>0.24</v>
      </c>
      <c r="E1881" s="2">
        <v>0.41339999999999999</v>
      </c>
      <c r="F1881" s="2">
        <v>5.4899999999999997E-2</v>
      </c>
      <c r="G1881" s="2">
        <v>7.1000000000000004E-3</v>
      </c>
      <c r="H1881">
        <v>1005</v>
      </c>
    </row>
    <row r="1882" spans="1:8" x14ac:dyDescent="0.35">
      <c r="A1882" t="s">
        <v>227</v>
      </c>
      <c r="B1882" t="s">
        <v>237</v>
      </c>
      <c r="C1882" s="2">
        <v>0.74639999999999995</v>
      </c>
      <c r="D1882" s="2">
        <v>0.24929999999999999</v>
      </c>
      <c r="G1882" s="2">
        <v>4.1999999999999997E-3</v>
      </c>
      <c r="H1882">
        <v>1808</v>
      </c>
    </row>
    <row r="1883" spans="1:8" x14ac:dyDescent="0.35">
      <c r="A1883" t="s">
        <v>228</v>
      </c>
      <c r="B1883" t="s">
        <v>228</v>
      </c>
      <c r="C1883" s="2">
        <v>0.57640000000000002</v>
      </c>
      <c r="D1883" s="2">
        <v>0.24590000000000001</v>
      </c>
      <c r="E1883" s="2">
        <v>0.1522</v>
      </c>
      <c r="F1883" s="2">
        <v>2.0199999999999999E-2</v>
      </c>
      <c r="G1883" s="2">
        <v>5.3E-3</v>
      </c>
      <c r="H1883">
        <v>2813</v>
      </c>
    </row>
    <row r="1885" spans="1:8" x14ac:dyDescent="0.35">
      <c r="A1885" s="1" t="s">
        <v>701</v>
      </c>
    </row>
    <row r="1886" spans="1:8" x14ac:dyDescent="0.35">
      <c r="A1886" t="s">
        <v>219</v>
      </c>
      <c r="B1886" t="s">
        <v>301</v>
      </c>
      <c r="C1886" t="s">
        <v>672</v>
      </c>
      <c r="D1886" t="s">
        <v>673</v>
      </c>
      <c r="E1886" t="s">
        <v>674</v>
      </c>
      <c r="F1886" t="s">
        <v>675</v>
      </c>
      <c r="G1886" t="s">
        <v>277</v>
      </c>
      <c r="H1886" t="s">
        <v>226</v>
      </c>
    </row>
    <row r="1887" spans="1:8" x14ac:dyDescent="0.35">
      <c r="A1887" t="s">
        <v>227</v>
      </c>
      <c r="B1887" t="s">
        <v>235</v>
      </c>
      <c r="C1887" s="2">
        <v>0.53129999999999999</v>
      </c>
      <c r="D1887" s="2">
        <v>0.2823</v>
      </c>
      <c r="E1887" s="2">
        <v>0.15040000000000001</v>
      </c>
      <c r="F1887" s="2">
        <v>2.4899999999999999E-2</v>
      </c>
      <c r="G1887" s="2">
        <v>1.12E-2</v>
      </c>
      <c r="H1887">
        <v>992</v>
      </c>
    </row>
    <row r="1888" spans="1:8" x14ac:dyDescent="0.35">
      <c r="A1888" t="s">
        <v>227</v>
      </c>
      <c r="B1888" t="s">
        <v>234</v>
      </c>
      <c r="C1888" s="2">
        <v>0.59519999999999995</v>
      </c>
      <c r="D1888" s="2">
        <v>0.23069999999999999</v>
      </c>
      <c r="E1888" s="2">
        <v>0.153</v>
      </c>
      <c r="F1888" s="2">
        <v>1.83E-2</v>
      </c>
      <c r="G1888" s="2">
        <v>2.8E-3</v>
      </c>
      <c r="H1888">
        <v>1821</v>
      </c>
    </row>
    <row r="1889" spans="1:8" x14ac:dyDescent="0.35">
      <c r="A1889" t="s">
        <v>228</v>
      </c>
      <c r="B1889" t="s">
        <v>228</v>
      </c>
      <c r="C1889" s="2">
        <v>0.57640000000000002</v>
      </c>
      <c r="D1889" s="2">
        <v>0.24590000000000001</v>
      </c>
      <c r="E1889" s="2">
        <v>0.1522</v>
      </c>
      <c r="F1889" s="2">
        <v>2.0199999999999999E-2</v>
      </c>
      <c r="G1889" s="2">
        <v>5.3E-3</v>
      </c>
      <c r="H1889">
        <v>2813</v>
      </c>
    </row>
    <row r="1891" spans="1:8" x14ac:dyDescent="0.35">
      <c r="A1891" s="1" t="s">
        <v>702</v>
      </c>
    </row>
    <row r="1892" spans="1:8" x14ac:dyDescent="0.35">
      <c r="A1892" t="s">
        <v>219</v>
      </c>
      <c r="B1892" t="s">
        <v>301</v>
      </c>
      <c r="C1892" t="s">
        <v>672</v>
      </c>
      <c r="D1892" t="s">
        <v>673</v>
      </c>
      <c r="E1892" t="s">
        <v>674</v>
      </c>
      <c r="F1892" t="s">
        <v>675</v>
      </c>
      <c r="G1892" t="s">
        <v>277</v>
      </c>
      <c r="H1892" t="s">
        <v>226</v>
      </c>
    </row>
    <row r="1893" spans="1:8" x14ac:dyDescent="0.35">
      <c r="A1893" t="s">
        <v>227</v>
      </c>
      <c r="B1893" t="s">
        <v>240</v>
      </c>
      <c r="C1893" s="2">
        <v>0.60209999999999997</v>
      </c>
      <c r="D1893" s="2">
        <v>0.2261</v>
      </c>
      <c r="E1893" s="2">
        <v>0.14749999999999999</v>
      </c>
      <c r="F1893" s="2">
        <v>1.6400000000000001E-2</v>
      </c>
      <c r="G1893" s="2">
        <v>7.9000000000000008E-3</v>
      </c>
      <c r="H1893">
        <v>1756</v>
      </c>
    </row>
    <row r="1894" spans="1:8" x14ac:dyDescent="0.35">
      <c r="A1894" t="s">
        <v>227</v>
      </c>
      <c r="B1894" t="s">
        <v>241</v>
      </c>
      <c r="C1894" s="2">
        <v>0.52170000000000005</v>
      </c>
      <c r="D1894" s="2">
        <v>0.28889999999999999</v>
      </c>
      <c r="E1894" s="2">
        <v>0.1716</v>
      </c>
      <c r="F1894" s="2">
        <v>1.7100000000000001E-2</v>
      </c>
      <c r="G1894" s="2">
        <v>6.9999999999999999E-4</v>
      </c>
      <c r="H1894">
        <v>891</v>
      </c>
    </row>
    <row r="1895" spans="1:8" x14ac:dyDescent="0.35">
      <c r="A1895" t="s">
        <v>227</v>
      </c>
      <c r="B1895" t="s">
        <v>242</v>
      </c>
      <c r="C1895" s="2">
        <v>0.57079999999999997</v>
      </c>
      <c r="D1895" s="2">
        <v>0.24560000000000001</v>
      </c>
      <c r="E1895" s="2">
        <v>0.11219999999999999</v>
      </c>
      <c r="F1895" s="2">
        <v>7.1300000000000002E-2</v>
      </c>
      <c r="H1895">
        <v>166</v>
      </c>
    </row>
    <row r="1896" spans="1:8" x14ac:dyDescent="0.35">
      <c r="A1896" t="s">
        <v>228</v>
      </c>
      <c r="B1896" t="s">
        <v>228</v>
      </c>
      <c r="C1896" s="2">
        <v>0.57640000000000002</v>
      </c>
      <c r="D1896" s="2">
        <v>0.24590000000000001</v>
      </c>
      <c r="E1896" s="2">
        <v>0.1522</v>
      </c>
      <c r="F1896" s="2">
        <v>2.0199999999999999E-2</v>
      </c>
      <c r="G1896" s="2">
        <v>5.3E-3</v>
      </c>
      <c r="H1896">
        <v>2813</v>
      </c>
    </row>
    <row r="1898" spans="1:8" x14ac:dyDescent="0.35">
      <c r="A1898" s="1" t="s">
        <v>703</v>
      </c>
    </row>
    <row r="1899" spans="1:8" x14ac:dyDescent="0.35">
      <c r="A1899" t="s">
        <v>219</v>
      </c>
      <c r="B1899" t="s">
        <v>301</v>
      </c>
      <c r="C1899" t="s">
        <v>672</v>
      </c>
      <c r="D1899" t="s">
        <v>673</v>
      </c>
      <c r="E1899" t="s">
        <v>674</v>
      </c>
      <c r="F1899" t="s">
        <v>675</v>
      </c>
      <c r="G1899" t="s">
        <v>277</v>
      </c>
      <c r="H1899" t="s">
        <v>226</v>
      </c>
    </row>
    <row r="1900" spans="1:8" x14ac:dyDescent="0.35">
      <c r="A1900" t="s">
        <v>227</v>
      </c>
      <c r="B1900" t="s">
        <v>334</v>
      </c>
      <c r="C1900" s="2">
        <v>0.44640000000000002</v>
      </c>
      <c r="D1900" s="2">
        <v>0.29160000000000003</v>
      </c>
      <c r="E1900" s="2">
        <v>0.2147</v>
      </c>
      <c r="F1900" s="2">
        <v>4.24E-2</v>
      </c>
      <c r="G1900" s="2">
        <v>5.0000000000000001E-3</v>
      </c>
      <c r="H1900">
        <v>625</v>
      </c>
    </row>
    <row r="1901" spans="1:8" x14ac:dyDescent="0.35">
      <c r="A1901" t="s">
        <v>227</v>
      </c>
      <c r="B1901" t="s">
        <v>335</v>
      </c>
      <c r="C1901" s="2">
        <v>0.68889999999999996</v>
      </c>
      <c r="D1901" s="2">
        <v>0.20899999999999999</v>
      </c>
      <c r="E1901" s="2">
        <v>0.1004</v>
      </c>
      <c r="F1901" s="2">
        <v>1.8E-3</v>
      </c>
      <c r="H1901">
        <v>628</v>
      </c>
    </row>
    <row r="1902" spans="1:8" x14ac:dyDescent="0.35">
      <c r="A1902" t="s">
        <v>227</v>
      </c>
      <c r="B1902" t="s">
        <v>336</v>
      </c>
      <c r="C1902" s="2">
        <v>0.50529999999999997</v>
      </c>
      <c r="D1902" s="2">
        <v>0.2752</v>
      </c>
      <c r="E1902" s="2">
        <v>0.1762</v>
      </c>
      <c r="F1902" s="2">
        <v>2.5999999999999999E-2</v>
      </c>
      <c r="G1902" s="2">
        <v>1.7299999999999999E-2</v>
      </c>
      <c r="H1902">
        <v>621</v>
      </c>
    </row>
    <row r="1903" spans="1:8" x14ac:dyDescent="0.35">
      <c r="A1903" t="s">
        <v>227</v>
      </c>
      <c r="B1903" t="s">
        <v>337</v>
      </c>
      <c r="C1903" s="2">
        <v>0.55910000000000004</v>
      </c>
      <c r="D1903" s="2">
        <v>0.2591</v>
      </c>
      <c r="E1903" s="2">
        <v>0.1547</v>
      </c>
      <c r="F1903" s="2">
        <v>2.7099999999999999E-2</v>
      </c>
      <c r="H1903">
        <v>602</v>
      </c>
    </row>
    <row r="1904" spans="1:8" x14ac:dyDescent="0.35">
      <c r="A1904" t="s">
        <v>228</v>
      </c>
      <c r="B1904" t="s">
        <v>228</v>
      </c>
      <c r="C1904" s="2">
        <v>0.57640000000000002</v>
      </c>
      <c r="D1904" s="2">
        <v>0.24590000000000001</v>
      </c>
      <c r="E1904" s="2">
        <v>0.1522</v>
      </c>
      <c r="F1904" s="2">
        <v>2.0199999999999999E-2</v>
      </c>
      <c r="G1904" s="2">
        <v>5.3E-3</v>
      </c>
      <c r="H1904">
        <v>2476</v>
      </c>
    </row>
    <row r="1906" spans="1:8" x14ac:dyDescent="0.35">
      <c r="A1906" s="1" t="s">
        <v>704</v>
      </c>
    </row>
    <row r="1907" spans="1:8" x14ac:dyDescent="0.35">
      <c r="A1907" t="s">
        <v>219</v>
      </c>
      <c r="B1907" t="s">
        <v>301</v>
      </c>
      <c r="C1907" t="s">
        <v>672</v>
      </c>
      <c r="D1907" t="s">
        <v>673</v>
      </c>
      <c r="E1907" t="s">
        <v>674</v>
      </c>
      <c r="F1907" t="s">
        <v>675</v>
      </c>
      <c r="G1907" t="s">
        <v>277</v>
      </c>
      <c r="H1907" t="s">
        <v>226</v>
      </c>
    </row>
    <row r="1908" spans="1:8" x14ac:dyDescent="0.35">
      <c r="A1908" t="s">
        <v>227</v>
      </c>
      <c r="B1908" t="s">
        <v>263</v>
      </c>
      <c r="C1908" s="2">
        <v>0.64790000000000003</v>
      </c>
      <c r="D1908" s="2">
        <v>0.23849999999999999</v>
      </c>
      <c r="E1908" s="2">
        <v>0.1082</v>
      </c>
      <c r="F1908" s="2">
        <v>1.5E-3</v>
      </c>
      <c r="G1908" s="2">
        <v>3.8999999999999998E-3</v>
      </c>
      <c r="H1908">
        <v>589</v>
      </c>
    </row>
    <row r="1909" spans="1:8" x14ac:dyDescent="0.35">
      <c r="A1909" t="s">
        <v>227</v>
      </c>
      <c r="B1909" t="s">
        <v>262</v>
      </c>
      <c r="C1909" s="2">
        <v>0.52969999999999995</v>
      </c>
      <c r="D1909" s="2">
        <v>0.25109999999999999</v>
      </c>
      <c r="E1909" s="2">
        <v>0.1946</v>
      </c>
      <c r="F1909" s="2">
        <v>2.0899999999999998E-2</v>
      </c>
      <c r="G1909" s="2">
        <v>3.7000000000000002E-3</v>
      </c>
      <c r="H1909">
        <v>1160</v>
      </c>
    </row>
    <row r="1910" spans="1:8" x14ac:dyDescent="0.35">
      <c r="A1910" t="s">
        <v>227</v>
      </c>
      <c r="B1910" t="s">
        <v>261</v>
      </c>
      <c r="C1910" s="2">
        <v>0.58340000000000003</v>
      </c>
      <c r="D1910" s="2">
        <v>0.24429999999999999</v>
      </c>
      <c r="E1910" s="2">
        <v>0.1361</v>
      </c>
      <c r="F1910" s="2">
        <v>2.8899999999999999E-2</v>
      </c>
      <c r="G1910" s="2">
        <v>7.3000000000000001E-3</v>
      </c>
      <c r="H1910">
        <v>1062</v>
      </c>
    </row>
    <row r="1911" spans="1:8" x14ac:dyDescent="0.35">
      <c r="A1911" s="3" t="s">
        <v>227</v>
      </c>
      <c r="B1911" s="3" t="s">
        <v>232</v>
      </c>
      <c r="C1911" s="5"/>
      <c r="D1911" s="4">
        <v>0.5</v>
      </c>
      <c r="E1911" s="4">
        <v>0.5</v>
      </c>
      <c r="F1911" s="5"/>
      <c r="G1911" s="5"/>
      <c r="H1911" s="5" t="s">
        <v>434</v>
      </c>
    </row>
    <row r="1912" spans="1:8" x14ac:dyDescent="0.35">
      <c r="A1912" t="s">
        <v>228</v>
      </c>
      <c r="B1912" t="s">
        <v>228</v>
      </c>
      <c r="C1912" s="2">
        <v>0.57640000000000002</v>
      </c>
      <c r="D1912" s="2">
        <v>0.24590000000000001</v>
      </c>
      <c r="E1912" s="2">
        <v>0.1522</v>
      </c>
      <c r="F1912" s="2">
        <v>2.0199999999999999E-2</v>
      </c>
      <c r="G1912" s="2">
        <v>5.3E-3</v>
      </c>
      <c r="H1912">
        <v>2813</v>
      </c>
    </row>
    <row r="1914" spans="1:8" x14ac:dyDescent="0.35">
      <c r="A1914" s="1" t="s">
        <v>705</v>
      </c>
    </row>
    <row r="1915" spans="1:8" x14ac:dyDescent="0.35">
      <c r="A1915" t="s">
        <v>219</v>
      </c>
      <c r="B1915" t="s">
        <v>301</v>
      </c>
      <c r="C1915" t="s">
        <v>672</v>
      </c>
      <c r="D1915" t="s">
        <v>673</v>
      </c>
      <c r="E1915" t="s">
        <v>674</v>
      </c>
      <c r="F1915" t="s">
        <v>675</v>
      </c>
      <c r="G1915" t="s">
        <v>277</v>
      </c>
      <c r="H1915" t="s">
        <v>226</v>
      </c>
    </row>
    <row r="1916" spans="1:8" x14ac:dyDescent="0.35">
      <c r="A1916" t="s">
        <v>227</v>
      </c>
      <c r="B1916" t="s">
        <v>248</v>
      </c>
      <c r="C1916" s="2">
        <v>0.36120000000000002</v>
      </c>
      <c r="D1916" s="2">
        <v>0.33960000000000001</v>
      </c>
      <c r="E1916" s="2">
        <v>0.25309999999999999</v>
      </c>
      <c r="F1916" s="2">
        <v>3.1099999999999999E-2</v>
      </c>
      <c r="G1916" s="2">
        <v>1.5100000000000001E-2</v>
      </c>
      <c r="H1916">
        <v>796</v>
      </c>
    </row>
    <row r="1917" spans="1:8" x14ac:dyDescent="0.35">
      <c r="A1917" t="s">
        <v>227</v>
      </c>
      <c r="B1917" t="s">
        <v>249</v>
      </c>
      <c r="C1917" s="2">
        <v>0.3841</v>
      </c>
      <c r="D1917" s="2">
        <v>0.31019999999999998</v>
      </c>
      <c r="E1917" s="2">
        <v>0.26329999999999998</v>
      </c>
      <c r="F1917" s="2">
        <v>4.2500000000000003E-2</v>
      </c>
      <c r="H1917">
        <v>541</v>
      </c>
    </row>
    <row r="1918" spans="1:8" x14ac:dyDescent="0.35">
      <c r="A1918" t="s">
        <v>227</v>
      </c>
      <c r="B1918" t="s">
        <v>247</v>
      </c>
      <c r="C1918" s="2">
        <v>0.75760000000000005</v>
      </c>
      <c r="D1918" s="2">
        <v>0.1741</v>
      </c>
      <c r="E1918" s="2">
        <v>5.9700000000000003E-2</v>
      </c>
      <c r="F1918" s="2">
        <v>6.4999999999999997E-3</v>
      </c>
      <c r="G1918" s="2">
        <v>2.0999999999999999E-3</v>
      </c>
      <c r="H1918">
        <v>1476</v>
      </c>
    </row>
    <row r="1919" spans="1:8" x14ac:dyDescent="0.35">
      <c r="A1919" t="s">
        <v>228</v>
      </c>
      <c r="B1919" t="s">
        <v>228</v>
      </c>
      <c r="C1919" s="2">
        <v>0.57640000000000002</v>
      </c>
      <c r="D1919" s="2">
        <v>0.24590000000000001</v>
      </c>
      <c r="E1919" s="2">
        <v>0.1522</v>
      </c>
      <c r="F1919" s="2">
        <v>2.0199999999999999E-2</v>
      </c>
      <c r="G1919" s="2">
        <v>5.3E-3</v>
      </c>
      <c r="H1919">
        <v>2813</v>
      </c>
    </row>
    <row r="1921" spans="1:8" x14ac:dyDescent="0.35">
      <c r="A1921" s="1" t="s">
        <v>706</v>
      </c>
    </row>
    <row r="1922" spans="1:8" x14ac:dyDescent="0.35">
      <c r="A1922" t="s">
        <v>219</v>
      </c>
      <c r="B1922" t="s">
        <v>301</v>
      </c>
      <c r="C1922" t="s">
        <v>672</v>
      </c>
      <c r="D1922" t="s">
        <v>673</v>
      </c>
      <c r="E1922" t="s">
        <v>674</v>
      </c>
      <c r="F1922" t="s">
        <v>675</v>
      </c>
      <c r="G1922" t="s">
        <v>277</v>
      </c>
      <c r="H1922" t="s">
        <v>226</v>
      </c>
    </row>
    <row r="1923" spans="1:8" x14ac:dyDescent="0.35">
      <c r="A1923" t="s">
        <v>227</v>
      </c>
      <c r="B1923" t="s">
        <v>245</v>
      </c>
      <c r="C1923" s="2">
        <v>0.7349</v>
      </c>
      <c r="D1923" s="2">
        <v>0.17369999999999999</v>
      </c>
      <c r="E1923" s="2">
        <v>7.9500000000000001E-2</v>
      </c>
      <c r="F1923" s="2">
        <v>1.1599999999999999E-2</v>
      </c>
      <c r="G1923" s="2">
        <v>2.9999999999999997E-4</v>
      </c>
      <c r="H1923">
        <v>783</v>
      </c>
    </row>
    <row r="1924" spans="1:8" x14ac:dyDescent="0.35">
      <c r="A1924" t="s">
        <v>227</v>
      </c>
      <c r="B1924" t="s">
        <v>244</v>
      </c>
      <c r="C1924" s="2">
        <v>0.51349999999999996</v>
      </c>
      <c r="D1924" s="2">
        <v>0.27450000000000002</v>
      </c>
      <c r="E1924" s="2">
        <v>0.18110000000000001</v>
      </c>
      <c r="F1924" s="2">
        <v>2.3599999999999999E-2</v>
      </c>
      <c r="G1924" s="2">
        <v>7.1999999999999998E-3</v>
      </c>
      <c r="H1924">
        <v>2030</v>
      </c>
    </row>
    <row r="1925" spans="1:8" x14ac:dyDescent="0.35">
      <c r="A1925" t="s">
        <v>228</v>
      </c>
      <c r="B1925" t="s">
        <v>228</v>
      </c>
      <c r="C1925" s="2">
        <v>0.57640000000000002</v>
      </c>
      <c r="D1925" s="2">
        <v>0.24590000000000001</v>
      </c>
      <c r="E1925" s="2">
        <v>0.1522</v>
      </c>
      <c r="F1925" s="2">
        <v>2.0199999999999999E-2</v>
      </c>
      <c r="G1925" s="2">
        <v>5.3E-3</v>
      </c>
      <c r="H1925">
        <v>2813</v>
      </c>
    </row>
    <row r="1927" spans="1:8" x14ac:dyDescent="0.35">
      <c r="A1927" s="1" t="s">
        <v>707</v>
      </c>
    </row>
    <row r="1928" spans="1:8" x14ac:dyDescent="0.35">
      <c r="A1928" t="s">
        <v>219</v>
      </c>
      <c r="B1928" t="s">
        <v>301</v>
      </c>
      <c r="C1928" t="s">
        <v>672</v>
      </c>
      <c r="D1928" t="s">
        <v>673</v>
      </c>
      <c r="E1928" t="s">
        <v>674</v>
      </c>
      <c r="F1928" t="s">
        <v>675</v>
      </c>
      <c r="G1928" t="s">
        <v>277</v>
      </c>
      <c r="H1928" t="s">
        <v>226</v>
      </c>
    </row>
    <row r="1929" spans="1:8" x14ac:dyDescent="0.35">
      <c r="A1929" t="s">
        <v>227</v>
      </c>
      <c r="B1929" t="s">
        <v>259</v>
      </c>
      <c r="C1929" s="2">
        <v>0.4672</v>
      </c>
      <c r="D1929" s="2">
        <v>0.14030000000000001</v>
      </c>
      <c r="E1929" s="2">
        <v>0.34370000000000001</v>
      </c>
      <c r="G1929" s="2">
        <v>4.87E-2</v>
      </c>
      <c r="H1929">
        <v>69</v>
      </c>
    </row>
    <row r="1930" spans="1:8" x14ac:dyDescent="0.35">
      <c r="A1930" t="s">
        <v>227</v>
      </c>
      <c r="B1930" t="s">
        <v>257</v>
      </c>
      <c r="C1930" s="2">
        <v>0.48080000000000001</v>
      </c>
      <c r="D1930" s="2">
        <v>0.2581</v>
      </c>
      <c r="E1930" s="2">
        <v>0.23519999999999999</v>
      </c>
      <c r="F1930" s="2">
        <v>2.0299999999999999E-2</v>
      </c>
      <c r="G1930" s="2">
        <v>5.5999999999999999E-3</v>
      </c>
      <c r="H1930">
        <v>405</v>
      </c>
    </row>
    <row r="1931" spans="1:8" x14ac:dyDescent="0.35">
      <c r="A1931" t="s">
        <v>227</v>
      </c>
      <c r="B1931" t="s">
        <v>256</v>
      </c>
      <c r="C1931" s="2">
        <v>0.57479999999999998</v>
      </c>
      <c r="D1931" s="2">
        <v>0.26379999999999998</v>
      </c>
      <c r="E1931" s="2">
        <v>0.13289999999999999</v>
      </c>
      <c r="F1931" s="2">
        <v>2.3599999999999999E-2</v>
      </c>
      <c r="G1931" s="2">
        <v>4.8999999999999998E-3</v>
      </c>
      <c r="H1931">
        <v>1803</v>
      </c>
    </row>
    <row r="1932" spans="1:8" x14ac:dyDescent="0.35">
      <c r="A1932" s="3" t="s">
        <v>227</v>
      </c>
      <c r="B1932" s="3" t="s">
        <v>232</v>
      </c>
      <c r="C1932" s="4">
        <v>9.1499999999999998E-2</v>
      </c>
      <c r="D1932" s="4">
        <v>0.31909999999999999</v>
      </c>
      <c r="E1932" s="4">
        <v>0.58940000000000003</v>
      </c>
      <c r="F1932" s="5"/>
      <c r="G1932" s="5"/>
      <c r="H1932" s="5" t="s">
        <v>307</v>
      </c>
    </row>
    <row r="1933" spans="1:8" x14ac:dyDescent="0.35">
      <c r="A1933" t="s">
        <v>227</v>
      </c>
      <c r="B1933" t="s">
        <v>258</v>
      </c>
      <c r="C1933" s="2">
        <v>0.71209999999999996</v>
      </c>
      <c r="D1933" s="2">
        <v>0.16220000000000001</v>
      </c>
      <c r="E1933" s="2">
        <v>0.11650000000000001</v>
      </c>
      <c r="F1933" s="2">
        <v>7.6E-3</v>
      </c>
      <c r="G1933" s="2">
        <v>1.5E-3</v>
      </c>
      <c r="H1933">
        <v>525</v>
      </c>
    </row>
    <row r="1934" spans="1:8" x14ac:dyDescent="0.35">
      <c r="A1934" t="s">
        <v>228</v>
      </c>
      <c r="B1934" t="s">
        <v>228</v>
      </c>
      <c r="C1934" s="2">
        <v>0.57640000000000002</v>
      </c>
      <c r="D1934" s="2">
        <v>0.24590000000000001</v>
      </c>
      <c r="E1934" s="2">
        <v>0.1522</v>
      </c>
      <c r="F1934" s="2">
        <v>2.0199999999999999E-2</v>
      </c>
      <c r="G1934" s="2">
        <v>5.3E-3</v>
      </c>
      <c r="H1934">
        <v>2813</v>
      </c>
    </row>
    <row r="1936" spans="1:8" x14ac:dyDescent="0.35">
      <c r="A1936" s="1" t="s">
        <v>708</v>
      </c>
    </row>
    <row r="1937" spans="1:8" x14ac:dyDescent="0.35">
      <c r="A1937" t="s">
        <v>219</v>
      </c>
      <c r="B1937" t="s">
        <v>301</v>
      </c>
      <c r="C1937" t="s">
        <v>672</v>
      </c>
      <c r="D1937" t="s">
        <v>673</v>
      </c>
      <c r="E1937" t="s">
        <v>674</v>
      </c>
      <c r="F1937" t="s">
        <v>675</v>
      </c>
      <c r="G1937" t="s">
        <v>277</v>
      </c>
      <c r="H1937" t="s">
        <v>226</v>
      </c>
    </row>
    <row r="1938" spans="1:8" x14ac:dyDescent="0.35">
      <c r="A1938" t="s">
        <v>227</v>
      </c>
      <c r="B1938" t="s">
        <v>343</v>
      </c>
      <c r="C1938" s="2">
        <v>0.48080000000000001</v>
      </c>
      <c r="D1938" s="2">
        <v>0.2581</v>
      </c>
      <c r="E1938" s="2">
        <v>0.23519999999999999</v>
      </c>
      <c r="F1938" s="2">
        <v>2.0299999999999999E-2</v>
      </c>
      <c r="G1938" s="2">
        <v>5.5999999999999999E-3</v>
      </c>
      <c r="H1938">
        <v>405</v>
      </c>
    </row>
    <row r="1939" spans="1:8" x14ac:dyDescent="0.35">
      <c r="A1939" t="s">
        <v>227</v>
      </c>
      <c r="B1939" t="s">
        <v>344</v>
      </c>
      <c r="C1939" s="2">
        <v>0.5958</v>
      </c>
      <c r="D1939" s="2">
        <v>0.24340000000000001</v>
      </c>
      <c r="E1939" s="2">
        <v>0.13539999999999999</v>
      </c>
      <c r="F1939" s="2">
        <v>2.0199999999999999E-2</v>
      </c>
      <c r="G1939" s="2">
        <v>5.1999999999999998E-3</v>
      </c>
      <c r="H1939">
        <v>2408</v>
      </c>
    </row>
    <row r="1940" spans="1:8" x14ac:dyDescent="0.35">
      <c r="A1940" t="s">
        <v>228</v>
      </c>
      <c r="B1940" t="s">
        <v>228</v>
      </c>
      <c r="C1940" s="2">
        <v>0.57640000000000002</v>
      </c>
      <c r="D1940" s="2">
        <v>0.24590000000000001</v>
      </c>
      <c r="E1940" s="2">
        <v>0.1522</v>
      </c>
      <c r="F1940" s="2">
        <v>2.0199999999999999E-2</v>
      </c>
      <c r="G1940" s="2">
        <v>5.3E-3</v>
      </c>
      <c r="H1940">
        <v>2813</v>
      </c>
    </row>
    <row r="1942" spans="1:8" x14ac:dyDescent="0.35">
      <c r="A1942" s="1" t="s">
        <v>709</v>
      </c>
    </row>
    <row r="1943" spans="1:8" x14ac:dyDescent="0.35">
      <c r="A1943" t="s">
        <v>219</v>
      </c>
      <c r="B1943" t="s">
        <v>301</v>
      </c>
      <c r="C1943" t="s">
        <v>672</v>
      </c>
      <c r="D1943" t="s">
        <v>673</v>
      </c>
      <c r="E1943" t="s">
        <v>674</v>
      </c>
      <c r="F1943" t="s">
        <v>675</v>
      </c>
      <c r="G1943" t="s">
        <v>277</v>
      </c>
      <c r="H1943" t="s">
        <v>226</v>
      </c>
    </row>
    <row r="1944" spans="1:8" x14ac:dyDescent="0.35">
      <c r="A1944" t="s">
        <v>227</v>
      </c>
      <c r="B1944" t="s">
        <v>346</v>
      </c>
      <c r="C1944" s="2">
        <v>0.57469999999999999</v>
      </c>
      <c r="D1944" s="2">
        <v>0.24440000000000001</v>
      </c>
      <c r="E1944" s="2">
        <v>0.15490000000000001</v>
      </c>
      <c r="F1944" s="2">
        <v>2.0500000000000001E-2</v>
      </c>
      <c r="G1944" s="2">
        <v>5.4999999999999997E-3</v>
      </c>
      <c r="H1944">
        <v>1463</v>
      </c>
    </row>
    <row r="1945" spans="1:8" x14ac:dyDescent="0.35">
      <c r="A1945" t="s">
        <v>227</v>
      </c>
      <c r="B1945" t="s">
        <v>347</v>
      </c>
      <c r="C1945" s="2">
        <v>0.52210000000000001</v>
      </c>
      <c r="D1945" s="2">
        <v>0.25869999999999999</v>
      </c>
      <c r="E1945" s="2">
        <v>0.1915</v>
      </c>
      <c r="F1945" s="2">
        <v>2.24E-2</v>
      </c>
      <c r="G1945" s="2">
        <v>5.3E-3</v>
      </c>
      <c r="H1945">
        <v>585</v>
      </c>
    </row>
    <row r="1946" spans="1:8" x14ac:dyDescent="0.35">
      <c r="A1946" t="s">
        <v>227</v>
      </c>
      <c r="B1946" t="s">
        <v>348</v>
      </c>
      <c r="C1946" s="2">
        <v>0.61150000000000004</v>
      </c>
      <c r="D1946" s="2">
        <v>0.25490000000000002</v>
      </c>
      <c r="E1946" s="2">
        <v>0.113</v>
      </c>
      <c r="F1946" s="2">
        <v>1.7100000000000001E-2</v>
      </c>
      <c r="G1946" s="2">
        <v>3.5000000000000001E-3</v>
      </c>
      <c r="H1946">
        <v>765</v>
      </c>
    </row>
    <row r="1947" spans="1:8" x14ac:dyDescent="0.35">
      <c r="A1947" t="s">
        <v>228</v>
      </c>
      <c r="B1947" t="s">
        <v>228</v>
      </c>
      <c r="C1947" s="2">
        <v>0.57640000000000002</v>
      </c>
      <c r="D1947" s="2">
        <v>0.24590000000000001</v>
      </c>
      <c r="E1947" s="2">
        <v>0.1522</v>
      </c>
      <c r="F1947" s="2">
        <v>2.0199999999999999E-2</v>
      </c>
      <c r="G1947" s="2">
        <v>5.3E-3</v>
      </c>
      <c r="H1947">
        <v>2813</v>
      </c>
    </row>
    <row r="1949" spans="1:8" x14ac:dyDescent="0.35">
      <c r="A1949" s="1" t="s">
        <v>710</v>
      </c>
    </row>
    <row r="1950" spans="1:8" x14ac:dyDescent="0.35">
      <c r="A1950" t="s">
        <v>219</v>
      </c>
      <c r="B1950" t="s">
        <v>301</v>
      </c>
      <c r="C1950" t="s">
        <v>672</v>
      </c>
      <c r="D1950" t="s">
        <v>673</v>
      </c>
      <c r="E1950" t="s">
        <v>674</v>
      </c>
      <c r="F1950" t="s">
        <v>675</v>
      </c>
      <c r="G1950" t="s">
        <v>277</v>
      </c>
      <c r="H1950" t="s">
        <v>226</v>
      </c>
    </row>
    <row r="1951" spans="1:8" x14ac:dyDescent="0.35">
      <c r="A1951" t="s">
        <v>227</v>
      </c>
      <c r="B1951" t="s">
        <v>251</v>
      </c>
      <c r="C1951" s="2">
        <v>0.51349999999999996</v>
      </c>
      <c r="D1951" s="2">
        <v>0.27450000000000002</v>
      </c>
      <c r="E1951" s="2">
        <v>0.18110000000000001</v>
      </c>
      <c r="F1951" s="2">
        <v>2.3599999999999999E-2</v>
      </c>
      <c r="G1951" s="2">
        <v>7.1999999999999998E-3</v>
      </c>
      <c r="H1951">
        <v>2030</v>
      </c>
    </row>
    <row r="1952" spans="1:8" x14ac:dyDescent="0.35">
      <c r="A1952" t="s">
        <v>227</v>
      </c>
      <c r="B1952" t="s">
        <v>252</v>
      </c>
      <c r="C1952" s="2">
        <v>0.70330000000000004</v>
      </c>
      <c r="D1952" s="2">
        <v>0.20130000000000001</v>
      </c>
      <c r="E1952" s="2">
        <v>8.14E-2</v>
      </c>
      <c r="F1952" s="2">
        <v>1.4E-2</v>
      </c>
      <c r="H1952">
        <v>621</v>
      </c>
    </row>
    <row r="1953" spans="1:8" x14ac:dyDescent="0.35">
      <c r="A1953" t="s">
        <v>227</v>
      </c>
      <c r="B1953" t="s">
        <v>253</v>
      </c>
      <c r="C1953" s="2">
        <v>0.86639999999999995</v>
      </c>
      <c r="D1953" s="2">
        <v>5.6399999999999999E-2</v>
      </c>
      <c r="E1953" s="2">
        <v>7.3999999999999996E-2</v>
      </c>
      <c r="F1953" s="2">
        <v>1.5E-3</v>
      </c>
      <c r="G1953" s="2">
        <v>1.6000000000000001E-3</v>
      </c>
      <c r="H1953">
        <v>153</v>
      </c>
    </row>
    <row r="1954" spans="1:8" x14ac:dyDescent="0.35">
      <c r="A1954" s="3" t="s">
        <v>227</v>
      </c>
      <c r="B1954" s="3" t="s">
        <v>254</v>
      </c>
      <c r="C1954" s="4">
        <v>0.92769999999999997</v>
      </c>
      <c r="D1954" s="4">
        <v>7.2300000000000003E-2</v>
      </c>
      <c r="E1954" s="5"/>
      <c r="F1954" s="5"/>
      <c r="G1954" s="5"/>
      <c r="H1954" s="5" t="s">
        <v>515</v>
      </c>
    </row>
    <row r="1955" spans="1:8" x14ac:dyDescent="0.35">
      <c r="A1955" t="s">
        <v>228</v>
      </c>
      <c r="B1955" t="s">
        <v>228</v>
      </c>
      <c r="C1955" s="2">
        <v>0.57640000000000002</v>
      </c>
      <c r="D1955" s="2">
        <v>0.24590000000000001</v>
      </c>
      <c r="E1955" s="2">
        <v>0.1522</v>
      </c>
      <c r="F1955" s="2">
        <v>2.0199999999999999E-2</v>
      </c>
      <c r="G1955" s="2">
        <v>5.3E-3</v>
      </c>
      <c r="H1955">
        <v>2813</v>
      </c>
    </row>
    <row r="1957" spans="1:8" x14ac:dyDescent="0.35">
      <c r="A1957" s="1" t="s">
        <v>711</v>
      </c>
    </row>
    <row r="1958" spans="1:8" x14ac:dyDescent="0.35">
      <c r="A1958" t="s">
        <v>219</v>
      </c>
      <c r="B1958" t="s">
        <v>672</v>
      </c>
      <c r="C1958" t="s">
        <v>673</v>
      </c>
      <c r="D1958" t="s">
        <v>674</v>
      </c>
      <c r="E1958" t="s">
        <v>675</v>
      </c>
      <c r="F1958" t="s">
        <v>277</v>
      </c>
      <c r="G1958" t="s">
        <v>226</v>
      </c>
    </row>
    <row r="1959" spans="1:8" x14ac:dyDescent="0.35">
      <c r="A1959" t="s">
        <v>227</v>
      </c>
      <c r="B1959" s="2">
        <v>0.62329999999999997</v>
      </c>
      <c r="C1959" s="2">
        <v>0.30359999999999998</v>
      </c>
      <c r="D1959" s="2">
        <v>5.8700000000000002E-2</v>
      </c>
      <c r="E1959" s="2">
        <v>0.01</v>
      </c>
      <c r="F1959" s="2">
        <v>4.4000000000000003E-3</v>
      </c>
      <c r="G1959">
        <v>2813</v>
      </c>
    </row>
    <row r="1960" spans="1:8" x14ac:dyDescent="0.35">
      <c r="A1960" t="s">
        <v>228</v>
      </c>
      <c r="B1960" s="2">
        <v>0.62329999999999997</v>
      </c>
      <c r="C1960" s="2">
        <v>0.30359999999999998</v>
      </c>
      <c r="D1960" s="2">
        <v>5.8700000000000002E-2</v>
      </c>
      <c r="E1960" s="2">
        <v>0.01</v>
      </c>
      <c r="F1960" s="2">
        <v>4.4000000000000003E-3</v>
      </c>
      <c r="G1960">
        <v>2813</v>
      </c>
    </row>
    <row r="1962" spans="1:8" x14ac:dyDescent="0.35">
      <c r="A1962" s="1" t="s">
        <v>712</v>
      </c>
    </row>
    <row r="1963" spans="1:8" x14ac:dyDescent="0.35">
      <c r="A1963" t="s">
        <v>219</v>
      </c>
      <c r="B1963" t="s">
        <v>301</v>
      </c>
      <c r="C1963" t="s">
        <v>672</v>
      </c>
      <c r="D1963" t="s">
        <v>673</v>
      </c>
      <c r="E1963" t="s">
        <v>674</v>
      </c>
      <c r="F1963" t="s">
        <v>675</v>
      </c>
      <c r="G1963" t="s">
        <v>277</v>
      </c>
      <c r="H1963" t="s">
        <v>226</v>
      </c>
    </row>
    <row r="1964" spans="1:8" x14ac:dyDescent="0.35">
      <c r="A1964" t="s">
        <v>227</v>
      </c>
      <c r="B1964" t="s">
        <v>238</v>
      </c>
      <c r="C1964" s="2">
        <v>0.46550000000000002</v>
      </c>
      <c r="D1964" s="2">
        <v>0.34079999999999999</v>
      </c>
      <c r="E1964" s="2">
        <v>0.1595</v>
      </c>
      <c r="F1964" s="2">
        <v>2.7300000000000001E-2</v>
      </c>
      <c r="G1964" s="2">
        <v>7.0000000000000001E-3</v>
      </c>
      <c r="H1964">
        <v>1005</v>
      </c>
    </row>
    <row r="1965" spans="1:8" x14ac:dyDescent="0.35">
      <c r="A1965" t="s">
        <v>227</v>
      </c>
      <c r="B1965" t="s">
        <v>237</v>
      </c>
      <c r="C1965" s="2">
        <v>0.71519999999999995</v>
      </c>
      <c r="D1965" s="2">
        <v>0.28199999999999997</v>
      </c>
      <c r="G1965" s="2">
        <v>2.8E-3</v>
      </c>
      <c r="H1965">
        <v>1808</v>
      </c>
    </row>
    <row r="1966" spans="1:8" x14ac:dyDescent="0.35">
      <c r="A1966" t="s">
        <v>228</v>
      </c>
      <c r="B1966" t="s">
        <v>228</v>
      </c>
      <c r="C1966" s="2">
        <v>0.62329999999999997</v>
      </c>
      <c r="D1966" s="2">
        <v>0.30359999999999998</v>
      </c>
      <c r="E1966" s="2">
        <v>5.8700000000000002E-2</v>
      </c>
      <c r="F1966" s="2">
        <v>0.01</v>
      </c>
      <c r="G1966" s="2">
        <v>4.4000000000000003E-3</v>
      </c>
      <c r="H1966">
        <v>2813</v>
      </c>
    </row>
    <row r="1968" spans="1:8" x14ac:dyDescent="0.35">
      <c r="A1968" s="1" t="s">
        <v>713</v>
      </c>
    </row>
    <row r="1969" spans="1:8" x14ac:dyDescent="0.35">
      <c r="A1969" t="s">
        <v>219</v>
      </c>
      <c r="B1969" t="s">
        <v>301</v>
      </c>
      <c r="C1969" t="s">
        <v>672</v>
      </c>
      <c r="D1969" t="s">
        <v>673</v>
      </c>
      <c r="E1969" t="s">
        <v>674</v>
      </c>
      <c r="F1969" t="s">
        <v>675</v>
      </c>
      <c r="G1969" t="s">
        <v>277</v>
      </c>
      <c r="H1969" t="s">
        <v>226</v>
      </c>
    </row>
    <row r="1970" spans="1:8" x14ac:dyDescent="0.35">
      <c r="A1970" t="s">
        <v>227</v>
      </c>
      <c r="B1970" t="s">
        <v>235</v>
      </c>
      <c r="C1970" s="2">
        <v>0.6129</v>
      </c>
      <c r="D1970" s="2">
        <v>0.2893</v>
      </c>
      <c r="E1970" s="2">
        <v>8.1600000000000006E-2</v>
      </c>
      <c r="F1970" s="2">
        <v>1.5699999999999999E-2</v>
      </c>
      <c r="G1970" s="2">
        <v>4.0000000000000002E-4</v>
      </c>
      <c r="H1970">
        <v>992</v>
      </c>
    </row>
    <row r="1971" spans="1:8" x14ac:dyDescent="0.35">
      <c r="A1971" t="s">
        <v>227</v>
      </c>
      <c r="B1971" t="s">
        <v>234</v>
      </c>
      <c r="C1971" s="2">
        <v>0.62760000000000005</v>
      </c>
      <c r="D1971" s="2">
        <v>0.30959999999999999</v>
      </c>
      <c r="E1971" s="2">
        <v>4.9099999999999998E-2</v>
      </c>
      <c r="F1971" s="2">
        <v>7.7000000000000002E-3</v>
      </c>
      <c r="G1971" s="2">
        <v>6.0000000000000001E-3</v>
      </c>
      <c r="H1971">
        <v>1821</v>
      </c>
    </row>
    <row r="1972" spans="1:8" x14ac:dyDescent="0.35">
      <c r="A1972" t="s">
        <v>228</v>
      </c>
      <c r="B1972" t="s">
        <v>228</v>
      </c>
      <c r="C1972" s="2">
        <v>0.62329999999999997</v>
      </c>
      <c r="D1972" s="2">
        <v>0.30359999999999998</v>
      </c>
      <c r="E1972" s="2">
        <v>5.8700000000000002E-2</v>
      </c>
      <c r="F1972" s="2">
        <v>0.01</v>
      </c>
      <c r="G1972" s="2">
        <v>4.4000000000000003E-3</v>
      </c>
      <c r="H1972">
        <v>2813</v>
      </c>
    </row>
    <row r="1974" spans="1:8" x14ac:dyDescent="0.35">
      <c r="A1974" s="1" t="s">
        <v>714</v>
      </c>
    </row>
    <row r="1975" spans="1:8" x14ac:dyDescent="0.35">
      <c r="A1975" t="s">
        <v>219</v>
      </c>
      <c r="B1975" t="s">
        <v>301</v>
      </c>
      <c r="C1975" t="s">
        <v>672</v>
      </c>
      <c r="D1975" t="s">
        <v>673</v>
      </c>
      <c r="E1975" t="s">
        <v>674</v>
      </c>
      <c r="F1975" t="s">
        <v>675</v>
      </c>
      <c r="G1975" t="s">
        <v>277</v>
      </c>
      <c r="H1975" t="s">
        <v>226</v>
      </c>
    </row>
    <row r="1976" spans="1:8" x14ac:dyDescent="0.35">
      <c r="A1976" t="s">
        <v>227</v>
      </c>
      <c r="B1976" t="s">
        <v>240</v>
      </c>
      <c r="C1976" s="2">
        <v>0.62719999999999998</v>
      </c>
      <c r="D1976" s="2">
        <v>0.30359999999999998</v>
      </c>
      <c r="E1976" s="2">
        <v>5.9700000000000003E-2</v>
      </c>
      <c r="F1976" s="2">
        <v>6.7000000000000002E-3</v>
      </c>
      <c r="G1976" s="2">
        <v>2.8E-3</v>
      </c>
      <c r="H1976">
        <v>1756</v>
      </c>
    </row>
    <row r="1977" spans="1:8" x14ac:dyDescent="0.35">
      <c r="A1977" t="s">
        <v>227</v>
      </c>
      <c r="B1977" t="s">
        <v>241</v>
      </c>
      <c r="C1977" s="2">
        <v>0.61650000000000005</v>
      </c>
      <c r="D1977" s="2">
        <v>0.32279999999999998</v>
      </c>
      <c r="E1977" s="2">
        <v>0.05</v>
      </c>
      <c r="F1977" s="2">
        <v>4.4000000000000003E-3</v>
      </c>
      <c r="G1977" s="2">
        <v>6.3E-3</v>
      </c>
      <c r="H1977">
        <v>891</v>
      </c>
    </row>
    <row r="1978" spans="1:8" x14ac:dyDescent="0.35">
      <c r="A1978" t="s">
        <v>227</v>
      </c>
      <c r="B1978" t="s">
        <v>242</v>
      </c>
      <c r="C1978" s="2">
        <v>0.61519999999999997</v>
      </c>
      <c r="D1978" s="2">
        <v>0.21820000000000001</v>
      </c>
      <c r="E1978" s="2">
        <v>8.8200000000000001E-2</v>
      </c>
      <c r="F1978" s="2">
        <v>6.7500000000000004E-2</v>
      </c>
      <c r="G1978" s="2">
        <v>1.0800000000000001E-2</v>
      </c>
      <c r="H1978">
        <v>166</v>
      </c>
    </row>
    <row r="1979" spans="1:8" x14ac:dyDescent="0.35">
      <c r="A1979" t="s">
        <v>228</v>
      </c>
      <c r="B1979" t="s">
        <v>228</v>
      </c>
      <c r="C1979" s="2">
        <v>0.62329999999999997</v>
      </c>
      <c r="D1979" s="2">
        <v>0.30359999999999998</v>
      </c>
      <c r="E1979" s="2">
        <v>5.8700000000000002E-2</v>
      </c>
      <c r="F1979" s="2">
        <v>0.01</v>
      </c>
      <c r="G1979" s="2">
        <v>4.4000000000000003E-3</v>
      </c>
      <c r="H1979">
        <v>2813</v>
      </c>
    </row>
    <row r="1981" spans="1:8" x14ac:dyDescent="0.35">
      <c r="A1981" s="1" t="s">
        <v>715</v>
      </c>
    </row>
    <row r="1982" spans="1:8" x14ac:dyDescent="0.35">
      <c r="A1982" t="s">
        <v>219</v>
      </c>
      <c r="B1982" t="s">
        <v>301</v>
      </c>
      <c r="C1982" t="s">
        <v>672</v>
      </c>
      <c r="D1982" t="s">
        <v>673</v>
      </c>
      <c r="E1982" t="s">
        <v>674</v>
      </c>
      <c r="F1982" t="s">
        <v>675</v>
      </c>
      <c r="G1982" t="s">
        <v>277</v>
      </c>
      <c r="H1982" t="s">
        <v>226</v>
      </c>
    </row>
    <row r="1983" spans="1:8" x14ac:dyDescent="0.35">
      <c r="A1983" t="s">
        <v>227</v>
      </c>
      <c r="B1983" t="s">
        <v>334</v>
      </c>
      <c r="C1983" s="2">
        <v>0.54559999999999997</v>
      </c>
      <c r="D1983" s="2">
        <v>0.36080000000000001</v>
      </c>
      <c r="E1983" s="2">
        <v>6.2899999999999998E-2</v>
      </c>
      <c r="F1983" s="2">
        <v>1.5800000000000002E-2</v>
      </c>
      <c r="G1983" s="2">
        <v>1.49E-2</v>
      </c>
      <c r="H1983">
        <v>625</v>
      </c>
    </row>
    <row r="1984" spans="1:8" x14ac:dyDescent="0.35">
      <c r="A1984" t="s">
        <v>227</v>
      </c>
      <c r="B1984" t="s">
        <v>335</v>
      </c>
      <c r="C1984" s="2">
        <v>0.64300000000000002</v>
      </c>
      <c r="D1984" s="2">
        <v>0.30769999999999997</v>
      </c>
      <c r="E1984" s="2">
        <v>4.4299999999999999E-2</v>
      </c>
      <c r="F1984" s="2">
        <v>2.0999999999999999E-3</v>
      </c>
      <c r="G1984" s="2">
        <v>3.0000000000000001E-3</v>
      </c>
      <c r="H1984">
        <v>628</v>
      </c>
    </row>
    <row r="1985" spans="1:8" x14ac:dyDescent="0.35">
      <c r="A1985" t="s">
        <v>227</v>
      </c>
      <c r="B1985" t="s">
        <v>336</v>
      </c>
      <c r="C1985" s="2">
        <v>0.64949999999999997</v>
      </c>
      <c r="D1985" s="2">
        <v>0.27689999999999998</v>
      </c>
      <c r="E1985" s="2">
        <v>6.0299999999999999E-2</v>
      </c>
      <c r="F1985" s="2">
        <v>1.3299999999999999E-2</v>
      </c>
      <c r="H1985">
        <v>621</v>
      </c>
    </row>
    <row r="1986" spans="1:8" x14ac:dyDescent="0.35">
      <c r="A1986" t="s">
        <v>227</v>
      </c>
      <c r="B1986" t="s">
        <v>337</v>
      </c>
      <c r="C1986" s="2">
        <v>0.61119999999999997</v>
      </c>
      <c r="D1986" s="2">
        <v>0.29459999999999997</v>
      </c>
      <c r="E1986" s="2">
        <v>7.7499999999999999E-2</v>
      </c>
      <c r="F1986" s="2">
        <v>1.67E-2</v>
      </c>
      <c r="H1986">
        <v>602</v>
      </c>
    </row>
    <row r="1987" spans="1:8" x14ac:dyDescent="0.35">
      <c r="A1987" t="s">
        <v>228</v>
      </c>
      <c r="B1987" t="s">
        <v>228</v>
      </c>
      <c r="C1987" s="2">
        <v>0.62329999999999997</v>
      </c>
      <c r="D1987" s="2">
        <v>0.30359999999999998</v>
      </c>
      <c r="E1987" s="2">
        <v>5.8700000000000002E-2</v>
      </c>
      <c r="F1987" s="2">
        <v>0.01</v>
      </c>
      <c r="G1987" s="2">
        <v>4.4000000000000003E-3</v>
      </c>
      <c r="H1987">
        <v>2476</v>
      </c>
    </row>
    <row r="1989" spans="1:8" x14ac:dyDescent="0.35">
      <c r="A1989" s="1" t="s">
        <v>716</v>
      </c>
    </row>
    <row r="1990" spans="1:8" x14ac:dyDescent="0.35">
      <c r="A1990" t="s">
        <v>219</v>
      </c>
      <c r="B1990" t="s">
        <v>301</v>
      </c>
      <c r="C1990" t="s">
        <v>672</v>
      </c>
      <c r="D1990" t="s">
        <v>673</v>
      </c>
      <c r="E1990" t="s">
        <v>674</v>
      </c>
      <c r="F1990" t="s">
        <v>675</v>
      </c>
      <c r="G1990" t="s">
        <v>277</v>
      </c>
      <c r="H1990" t="s">
        <v>226</v>
      </c>
    </row>
    <row r="1991" spans="1:8" x14ac:dyDescent="0.35">
      <c r="A1991" t="s">
        <v>227</v>
      </c>
      <c r="B1991" t="s">
        <v>263</v>
      </c>
      <c r="C1991" s="2">
        <v>0.70450000000000002</v>
      </c>
      <c r="D1991" s="2">
        <v>0.25130000000000002</v>
      </c>
      <c r="E1991" s="2">
        <v>3.2300000000000002E-2</v>
      </c>
      <c r="F1991" s="2">
        <v>8.0999999999999996E-3</v>
      </c>
      <c r="G1991" s="2">
        <v>3.8E-3</v>
      </c>
      <c r="H1991">
        <v>589</v>
      </c>
    </row>
    <row r="1992" spans="1:8" x14ac:dyDescent="0.35">
      <c r="A1992" t="s">
        <v>227</v>
      </c>
      <c r="B1992" t="s">
        <v>262</v>
      </c>
      <c r="C1992" s="2">
        <v>0.58179999999999998</v>
      </c>
      <c r="D1992" s="2">
        <v>0.3306</v>
      </c>
      <c r="E1992" s="2">
        <v>7.6300000000000007E-2</v>
      </c>
      <c r="F1992" s="2">
        <v>6.4000000000000003E-3</v>
      </c>
      <c r="G1992" s="2">
        <v>4.7999999999999996E-3</v>
      </c>
      <c r="H1992">
        <v>1160</v>
      </c>
    </row>
    <row r="1993" spans="1:8" x14ac:dyDescent="0.35">
      <c r="A1993" t="s">
        <v>227</v>
      </c>
      <c r="B1993" t="s">
        <v>261</v>
      </c>
      <c r="C1993" s="2">
        <v>0.62119999999999997</v>
      </c>
      <c r="D1993" s="2">
        <v>0.30530000000000002</v>
      </c>
      <c r="E1993" s="2">
        <v>5.5100000000000003E-2</v>
      </c>
      <c r="F1993" s="2">
        <v>1.4200000000000001E-2</v>
      </c>
      <c r="G1993" s="2">
        <v>4.1999999999999997E-3</v>
      </c>
      <c r="H1993">
        <v>1062</v>
      </c>
    </row>
    <row r="1994" spans="1:8" x14ac:dyDescent="0.35">
      <c r="A1994" s="3" t="s">
        <v>227</v>
      </c>
      <c r="B1994" s="3" t="s">
        <v>232</v>
      </c>
      <c r="C1994" s="5"/>
      <c r="D1994" s="4">
        <v>0.5</v>
      </c>
      <c r="E1994" s="4">
        <v>0.5</v>
      </c>
      <c r="F1994" s="5"/>
      <c r="G1994" s="5"/>
      <c r="H1994" s="5" t="s">
        <v>434</v>
      </c>
    </row>
    <row r="1995" spans="1:8" x14ac:dyDescent="0.35">
      <c r="A1995" t="s">
        <v>228</v>
      </c>
      <c r="B1995" t="s">
        <v>228</v>
      </c>
      <c r="C1995" s="2">
        <v>0.62329999999999997</v>
      </c>
      <c r="D1995" s="2">
        <v>0.30359999999999998</v>
      </c>
      <c r="E1995" s="2">
        <v>5.8700000000000002E-2</v>
      </c>
      <c r="F1995" s="2">
        <v>0.01</v>
      </c>
      <c r="G1995" s="2">
        <v>4.4000000000000003E-3</v>
      </c>
      <c r="H1995">
        <v>2813</v>
      </c>
    </row>
    <row r="1997" spans="1:8" x14ac:dyDescent="0.35">
      <c r="A1997" s="1" t="s">
        <v>717</v>
      </c>
    </row>
    <row r="1998" spans="1:8" x14ac:dyDescent="0.35">
      <c r="A1998" t="s">
        <v>219</v>
      </c>
      <c r="B1998" t="s">
        <v>301</v>
      </c>
      <c r="C1998" t="s">
        <v>672</v>
      </c>
      <c r="D1998" t="s">
        <v>673</v>
      </c>
      <c r="E1998" t="s">
        <v>674</v>
      </c>
      <c r="F1998" t="s">
        <v>675</v>
      </c>
      <c r="G1998" t="s">
        <v>277</v>
      </c>
      <c r="H1998" t="s">
        <v>226</v>
      </c>
    </row>
    <row r="1999" spans="1:8" x14ac:dyDescent="0.35">
      <c r="A1999" t="s">
        <v>227</v>
      </c>
      <c r="B1999" t="s">
        <v>248</v>
      </c>
      <c r="C1999" s="2">
        <v>0.58899999999999997</v>
      </c>
      <c r="D1999" s="2">
        <v>0.3286</v>
      </c>
      <c r="E1999" s="2">
        <v>5.9400000000000001E-2</v>
      </c>
      <c r="F1999" s="2">
        <v>1.15E-2</v>
      </c>
      <c r="G1999" s="2">
        <v>1.14E-2</v>
      </c>
      <c r="H1999">
        <v>796</v>
      </c>
    </row>
    <row r="2000" spans="1:8" x14ac:dyDescent="0.35">
      <c r="A2000" t="s">
        <v>227</v>
      </c>
      <c r="B2000" t="s">
        <v>249</v>
      </c>
      <c r="C2000" s="2">
        <v>0.54469999999999996</v>
      </c>
      <c r="D2000" s="2">
        <v>0.32719999999999999</v>
      </c>
      <c r="E2000" s="2">
        <v>0.10879999999999999</v>
      </c>
      <c r="F2000" s="2">
        <v>1.4E-2</v>
      </c>
      <c r="G2000" s="2">
        <v>5.4000000000000003E-3</v>
      </c>
      <c r="H2000">
        <v>541</v>
      </c>
    </row>
    <row r="2001" spans="1:8" x14ac:dyDescent="0.35">
      <c r="A2001" t="s">
        <v>227</v>
      </c>
      <c r="B2001" t="s">
        <v>247</v>
      </c>
      <c r="C2001" s="2">
        <v>0.66959999999999997</v>
      </c>
      <c r="D2001" s="2">
        <v>0.28210000000000002</v>
      </c>
      <c r="E2001" s="2">
        <v>4.0099999999999997E-2</v>
      </c>
      <c r="F2001" s="2">
        <v>7.9000000000000008E-3</v>
      </c>
      <c r="G2001" s="2">
        <v>2.9999999999999997E-4</v>
      </c>
      <c r="H2001">
        <v>1476</v>
      </c>
    </row>
    <row r="2002" spans="1:8" x14ac:dyDescent="0.35">
      <c r="A2002" t="s">
        <v>228</v>
      </c>
      <c r="B2002" t="s">
        <v>228</v>
      </c>
      <c r="C2002" s="2">
        <v>0.62329999999999997</v>
      </c>
      <c r="D2002" s="2">
        <v>0.30359999999999998</v>
      </c>
      <c r="E2002" s="2">
        <v>5.8700000000000002E-2</v>
      </c>
      <c r="F2002" s="2">
        <v>0.01</v>
      </c>
      <c r="G2002" s="2">
        <v>4.4000000000000003E-3</v>
      </c>
      <c r="H2002">
        <v>2813</v>
      </c>
    </row>
    <row r="2004" spans="1:8" x14ac:dyDescent="0.35">
      <c r="A2004" s="1" t="s">
        <v>718</v>
      </c>
    </row>
    <row r="2005" spans="1:8" x14ac:dyDescent="0.35">
      <c r="A2005" t="s">
        <v>219</v>
      </c>
      <c r="B2005" t="s">
        <v>301</v>
      </c>
      <c r="C2005" t="s">
        <v>672</v>
      </c>
      <c r="D2005" t="s">
        <v>673</v>
      </c>
      <c r="E2005" t="s">
        <v>674</v>
      </c>
      <c r="F2005" t="s">
        <v>675</v>
      </c>
      <c r="G2005" t="s">
        <v>277</v>
      </c>
      <c r="H2005" t="s">
        <v>226</v>
      </c>
    </row>
    <row r="2006" spans="1:8" x14ac:dyDescent="0.35">
      <c r="A2006" t="s">
        <v>227</v>
      </c>
      <c r="B2006" t="s">
        <v>245</v>
      </c>
      <c r="C2006" s="2">
        <v>0.65949999999999998</v>
      </c>
      <c r="D2006" s="2">
        <v>0.27739999999999998</v>
      </c>
      <c r="E2006" s="2">
        <v>5.4100000000000002E-2</v>
      </c>
      <c r="F2006" s="2">
        <v>6.4000000000000003E-3</v>
      </c>
      <c r="G2006" s="2">
        <v>2.5000000000000001E-3</v>
      </c>
      <c r="H2006">
        <v>783</v>
      </c>
    </row>
    <row r="2007" spans="1:8" x14ac:dyDescent="0.35">
      <c r="A2007" t="s">
        <v>227</v>
      </c>
      <c r="B2007" t="s">
        <v>244</v>
      </c>
      <c r="C2007" s="2">
        <v>0.6089</v>
      </c>
      <c r="D2007" s="2">
        <v>0.314</v>
      </c>
      <c r="E2007" s="2">
        <v>6.0499999999999998E-2</v>
      </c>
      <c r="F2007" s="2">
        <v>1.15E-2</v>
      </c>
      <c r="G2007" s="2">
        <v>5.1000000000000004E-3</v>
      </c>
      <c r="H2007">
        <v>2030</v>
      </c>
    </row>
    <row r="2008" spans="1:8" x14ac:dyDescent="0.35">
      <c r="A2008" t="s">
        <v>228</v>
      </c>
      <c r="B2008" t="s">
        <v>228</v>
      </c>
      <c r="C2008" s="2">
        <v>0.62329999999999997</v>
      </c>
      <c r="D2008" s="2">
        <v>0.30359999999999998</v>
      </c>
      <c r="E2008" s="2">
        <v>5.8700000000000002E-2</v>
      </c>
      <c r="F2008" s="2">
        <v>0.01</v>
      </c>
      <c r="G2008" s="2">
        <v>4.4000000000000003E-3</v>
      </c>
      <c r="H2008">
        <v>2813</v>
      </c>
    </row>
    <row r="2010" spans="1:8" x14ac:dyDescent="0.35">
      <c r="A2010" s="1" t="s">
        <v>719</v>
      </c>
    </row>
    <row r="2011" spans="1:8" x14ac:dyDescent="0.35">
      <c r="A2011" t="s">
        <v>219</v>
      </c>
      <c r="B2011" t="s">
        <v>301</v>
      </c>
      <c r="C2011" t="s">
        <v>672</v>
      </c>
      <c r="D2011" t="s">
        <v>673</v>
      </c>
      <c r="E2011" t="s">
        <v>674</v>
      </c>
      <c r="F2011" t="s">
        <v>675</v>
      </c>
      <c r="G2011" t="s">
        <v>277</v>
      </c>
      <c r="H2011" t="s">
        <v>226</v>
      </c>
    </row>
    <row r="2012" spans="1:8" x14ac:dyDescent="0.35">
      <c r="A2012" t="s">
        <v>227</v>
      </c>
      <c r="B2012" t="s">
        <v>259</v>
      </c>
      <c r="C2012" s="2">
        <v>0.39629999999999999</v>
      </c>
      <c r="D2012" s="2">
        <v>0.31730000000000003</v>
      </c>
      <c r="E2012" s="2">
        <v>0.28010000000000002</v>
      </c>
      <c r="G2012" s="2">
        <v>6.3E-3</v>
      </c>
      <c r="H2012">
        <v>69</v>
      </c>
    </row>
    <row r="2013" spans="1:8" x14ac:dyDescent="0.35">
      <c r="A2013" t="s">
        <v>227</v>
      </c>
      <c r="B2013" t="s">
        <v>257</v>
      </c>
      <c r="C2013" s="2">
        <v>0.56510000000000005</v>
      </c>
      <c r="D2013" s="2">
        <v>0.33119999999999999</v>
      </c>
      <c r="E2013" s="2">
        <v>9.7600000000000006E-2</v>
      </c>
      <c r="F2013" s="2">
        <v>5.5999999999999999E-3</v>
      </c>
      <c r="G2013" s="2">
        <v>5.9999999999999995E-4</v>
      </c>
      <c r="H2013">
        <v>405</v>
      </c>
    </row>
    <row r="2014" spans="1:8" x14ac:dyDescent="0.35">
      <c r="A2014" t="s">
        <v>227</v>
      </c>
      <c r="B2014" t="s">
        <v>256</v>
      </c>
      <c r="C2014" s="2">
        <v>0.6694</v>
      </c>
      <c r="D2014" s="2">
        <v>0.27</v>
      </c>
      <c r="E2014" s="2">
        <v>4.3499999999999997E-2</v>
      </c>
      <c r="F2014" s="2">
        <v>1.0999999999999999E-2</v>
      </c>
      <c r="G2014" s="2">
        <v>6.1000000000000004E-3</v>
      </c>
      <c r="H2014">
        <v>1803</v>
      </c>
    </row>
    <row r="2015" spans="1:8" x14ac:dyDescent="0.35">
      <c r="A2015" s="3" t="s">
        <v>227</v>
      </c>
      <c r="B2015" s="3" t="s">
        <v>232</v>
      </c>
      <c r="C2015" s="4">
        <v>0.21410000000000001</v>
      </c>
      <c r="D2015" s="4">
        <v>0.78590000000000004</v>
      </c>
      <c r="E2015" s="5"/>
      <c r="F2015" s="5"/>
      <c r="G2015" s="5"/>
      <c r="H2015" s="5" t="s">
        <v>307</v>
      </c>
    </row>
    <row r="2016" spans="1:8" x14ac:dyDescent="0.35">
      <c r="A2016" t="s">
        <v>227</v>
      </c>
      <c r="B2016" t="s">
        <v>258</v>
      </c>
      <c r="C2016" s="2">
        <v>0.5131</v>
      </c>
      <c r="D2016" s="2">
        <v>0.4158</v>
      </c>
      <c r="E2016" s="2">
        <v>5.8400000000000001E-2</v>
      </c>
      <c r="F2016" s="2">
        <v>1.21E-2</v>
      </c>
      <c r="G2016" s="2">
        <v>5.9999999999999995E-4</v>
      </c>
      <c r="H2016">
        <v>525</v>
      </c>
    </row>
    <row r="2017" spans="1:8" x14ac:dyDescent="0.35">
      <c r="A2017" t="s">
        <v>228</v>
      </c>
      <c r="B2017" t="s">
        <v>228</v>
      </c>
      <c r="C2017" s="2">
        <v>0.62329999999999997</v>
      </c>
      <c r="D2017" s="2">
        <v>0.30359999999999998</v>
      </c>
      <c r="E2017" s="2">
        <v>5.8700000000000002E-2</v>
      </c>
      <c r="F2017" s="2">
        <v>0.01</v>
      </c>
      <c r="G2017" s="2">
        <v>4.4000000000000003E-3</v>
      </c>
      <c r="H2017">
        <v>2813</v>
      </c>
    </row>
    <row r="2019" spans="1:8" x14ac:dyDescent="0.35">
      <c r="A2019" s="1" t="s">
        <v>720</v>
      </c>
    </row>
    <row r="2020" spans="1:8" x14ac:dyDescent="0.35">
      <c r="A2020" t="s">
        <v>219</v>
      </c>
      <c r="B2020" t="s">
        <v>301</v>
      </c>
      <c r="C2020" t="s">
        <v>672</v>
      </c>
      <c r="D2020" t="s">
        <v>673</v>
      </c>
      <c r="E2020" t="s">
        <v>674</v>
      </c>
      <c r="F2020" t="s">
        <v>675</v>
      </c>
      <c r="G2020" t="s">
        <v>277</v>
      </c>
      <c r="H2020" t="s">
        <v>226</v>
      </c>
    </row>
    <row r="2021" spans="1:8" x14ac:dyDescent="0.35">
      <c r="A2021" t="s">
        <v>227</v>
      </c>
      <c r="B2021" t="s">
        <v>343</v>
      </c>
      <c r="C2021" s="2">
        <v>0.56510000000000005</v>
      </c>
      <c r="D2021" s="2">
        <v>0.33119999999999999</v>
      </c>
      <c r="E2021" s="2">
        <v>9.7600000000000006E-2</v>
      </c>
      <c r="F2021" s="2">
        <v>5.5999999999999999E-3</v>
      </c>
      <c r="G2021" s="2">
        <v>5.9999999999999995E-4</v>
      </c>
      <c r="H2021">
        <v>405</v>
      </c>
    </row>
    <row r="2022" spans="1:8" x14ac:dyDescent="0.35">
      <c r="A2022" t="s">
        <v>227</v>
      </c>
      <c r="B2022" t="s">
        <v>344</v>
      </c>
      <c r="C2022" s="2">
        <v>0.6351</v>
      </c>
      <c r="D2022" s="2">
        <v>0.29799999999999999</v>
      </c>
      <c r="E2022" s="2">
        <v>5.0799999999999998E-2</v>
      </c>
      <c r="F2022" s="2">
        <v>1.09E-2</v>
      </c>
      <c r="G2022" s="2">
        <v>5.1000000000000004E-3</v>
      </c>
      <c r="H2022">
        <v>2408</v>
      </c>
    </row>
    <row r="2023" spans="1:8" x14ac:dyDescent="0.35">
      <c r="A2023" t="s">
        <v>228</v>
      </c>
      <c r="B2023" t="s">
        <v>228</v>
      </c>
      <c r="C2023" s="2">
        <v>0.62329999999999997</v>
      </c>
      <c r="D2023" s="2">
        <v>0.30359999999999998</v>
      </c>
      <c r="E2023" s="2">
        <v>5.8700000000000002E-2</v>
      </c>
      <c r="F2023" s="2">
        <v>0.01</v>
      </c>
      <c r="G2023" s="2">
        <v>4.4000000000000003E-3</v>
      </c>
      <c r="H2023">
        <v>2813</v>
      </c>
    </row>
    <row r="2025" spans="1:8" x14ac:dyDescent="0.35">
      <c r="A2025" s="1" t="s">
        <v>721</v>
      </c>
    </row>
    <row r="2026" spans="1:8" x14ac:dyDescent="0.35">
      <c r="A2026" t="s">
        <v>219</v>
      </c>
      <c r="B2026" t="s">
        <v>301</v>
      </c>
      <c r="C2026" t="s">
        <v>672</v>
      </c>
      <c r="D2026" t="s">
        <v>673</v>
      </c>
      <c r="E2026" t="s">
        <v>674</v>
      </c>
      <c r="F2026" t="s">
        <v>675</v>
      </c>
      <c r="G2026" t="s">
        <v>277</v>
      </c>
      <c r="H2026" t="s">
        <v>226</v>
      </c>
    </row>
    <row r="2027" spans="1:8" x14ac:dyDescent="0.35">
      <c r="A2027" t="s">
        <v>227</v>
      </c>
      <c r="B2027" t="s">
        <v>346</v>
      </c>
      <c r="C2027" s="2">
        <v>0.62019999999999997</v>
      </c>
      <c r="D2027" s="2">
        <v>0.30530000000000002</v>
      </c>
      <c r="E2027" s="2">
        <v>5.9499999999999997E-2</v>
      </c>
      <c r="F2027" s="2">
        <v>1.0699999999999999E-2</v>
      </c>
      <c r="G2027" s="2">
        <v>4.3E-3</v>
      </c>
      <c r="H2027">
        <v>1463</v>
      </c>
    </row>
    <row r="2028" spans="1:8" x14ac:dyDescent="0.35">
      <c r="A2028" t="s">
        <v>227</v>
      </c>
      <c r="B2028" t="s">
        <v>347</v>
      </c>
      <c r="C2028" s="2">
        <v>0.58589999999999998</v>
      </c>
      <c r="D2028" s="2">
        <v>0.30620000000000003</v>
      </c>
      <c r="E2028" s="2">
        <v>9.5200000000000007E-2</v>
      </c>
      <c r="F2028" s="2">
        <v>6.7999999999999996E-3</v>
      </c>
      <c r="G2028" s="2">
        <v>5.8999999999999999E-3</v>
      </c>
      <c r="H2028">
        <v>585</v>
      </c>
    </row>
    <row r="2029" spans="1:8" x14ac:dyDescent="0.35">
      <c r="A2029" t="s">
        <v>227</v>
      </c>
      <c r="B2029" t="s">
        <v>348</v>
      </c>
      <c r="C2029" s="2">
        <v>0.66479999999999995</v>
      </c>
      <c r="D2029" s="2">
        <v>0.28720000000000001</v>
      </c>
      <c r="E2029" s="2">
        <v>3.8300000000000001E-2</v>
      </c>
      <c r="F2029" s="2">
        <v>5.5999999999999999E-3</v>
      </c>
      <c r="G2029" s="2">
        <v>4.1000000000000003E-3</v>
      </c>
      <c r="H2029">
        <v>765</v>
      </c>
    </row>
    <row r="2030" spans="1:8" x14ac:dyDescent="0.35">
      <c r="A2030" t="s">
        <v>228</v>
      </c>
      <c r="B2030" t="s">
        <v>228</v>
      </c>
      <c r="C2030" s="2">
        <v>0.62329999999999997</v>
      </c>
      <c r="D2030" s="2">
        <v>0.30359999999999998</v>
      </c>
      <c r="E2030" s="2">
        <v>5.8700000000000002E-2</v>
      </c>
      <c r="F2030" s="2">
        <v>0.01</v>
      </c>
      <c r="G2030" s="2">
        <v>4.4000000000000003E-3</v>
      </c>
      <c r="H2030">
        <v>2813</v>
      </c>
    </row>
    <row r="2032" spans="1:8" x14ac:dyDescent="0.35">
      <c r="A2032" s="1" t="s">
        <v>722</v>
      </c>
    </row>
    <row r="2033" spans="1:9" x14ac:dyDescent="0.35">
      <c r="A2033" t="s">
        <v>219</v>
      </c>
      <c r="B2033" t="s">
        <v>301</v>
      </c>
      <c r="C2033" t="s">
        <v>672</v>
      </c>
      <c r="D2033" t="s">
        <v>673</v>
      </c>
      <c r="E2033" t="s">
        <v>674</v>
      </c>
      <c r="F2033" t="s">
        <v>675</v>
      </c>
      <c r="G2033" t="s">
        <v>277</v>
      </c>
      <c r="H2033" t="s">
        <v>226</v>
      </c>
    </row>
    <row r="2034" spans="1:9" x14ac:dyDescent="0.35">
      <c r="A2034" t="s">
        <v>227</v>
      </c>
      <c r="B2034" t="s">
        <v>251</v>
      </c>
      <c r="C2034" s="2">
        <v>0.6089</v>
      </c>
      <c r="D2034" s="2">
        <v>0.314</v>
      </c>
      <c r="E2034" s="2">
        <v>6.0499999999999998E-2</v>
      </c>
      <c r="F2034" s="2">
        <v>1.15E-2</v>
      </c>
      <c r="G2034" s="2">
        <v>5.1000000000000004E-3</v>
      </c>
      <c r="H2034">
        <v>2030</v>
      </c>
    </row>
    <row r="2035" spans="1:9" x14ac:dyDescent="0.35">
      <c r="A2035" t="s">
        <v>227</v>
      </c>
      <c r="B2035" t="s">
        <v>252</v>
      </c>
      <c r="C2035" s="2">
        <v>0.65159999999999996</v>
      </c>
      <c r="D2035" s="2">
        <v>0.27689999999999998</v>
      </c>
      <c r="E2035" s="2">
        <v>6.1199999999999997E-2</v>
      </c>
      <c r="F2035" s="2">
        <v>7.1999999999999998E-3</v>
      </c>
      <c r="G2035" s="2">
        <v>3.0999999999999999E-3</v>
      </c>
      <c r="H2035">
        <v>621</v>
      </c>
    </row>
    <row r="2036" spans="1:9" x14ac:dyDescent="0.35">
      <c r="A2036" t="s">
        <v>227</v>
      </c>
      <c r="B2036" t="s">
        <v>253</v>
      </c>
      <c r="C2036" s="2">
        <v>0.68430000000000002</v>
      </c>
      <c r="D2036" s="2">
        <v>0.2873</v>
      </c>
      <c r="E2036" s="2">
        <v>2.52E-2</v>
      </c>
      <c r="F2036" s="2">
        <v>3.2000000000000002E-3</v>
      </c>
      <c r="H2036">
        <v>153</v>
      </c>
    </row>
    <row r="2037" spans="1:9" x14ac:dyDescent="0.35">
      <c r="A2037" s="3" t="s">
        <v>227</v>
      </c>
      <c r="B2037" s="3" t="s">
        <v>254</v>
      </c>
      <c r="C2037" s="4">
        <v>0.94199999999999995</v>
      </c>
      <c r="D2037" s="4">
        <v>5.8000000000000003E-2</v>
      </c>
      <c r="E2037" s="5"/>
      <c r="F2037" s="5"/>
      <c r="G2037" s="5"/>
      <c r="H2037" s="5" t="s">
        <v>515</v>
      </c>
    </row>
    <row r="2038" spans="1:9" x14ac:dyDescent="0.35">
      <c r="A2038" t="s">
        <v>228</v>
      </c>
      <c r="B2038" t="s">
        <v>228</v>
      </c>
      <c r="C2038" s="2">
        <v>0.62329999999999997</v>
      </c>
      <c r="D2038" s="2">
        <v>0.30359999999999998</v>
      </c>
      <c r="E2038" s="2">
        <v>5.8700000000000002E-2</v>
      </c>
      <c r="F2038" s="2">
        <v>0.01</v>
      </c>
      <c r="G2038" s="2">
        <v>4.4000000000000003E-3</v>
      </c>
      <c r="H2038">
        <v>2813</v>
      </c>
    </row>
    <row r="2040" spans="1:9" x14ac:dyDescent="0.35">
      <c r="A2040" s="1" t="s">
        <v>723</v>
      </c>
    </row>
    <row r="2041" spans="1:9" x14ac:dyDescent="0.35">
      <c r="A2041" t="s">
        <v>219</v>
      </c>
      <c r="B2041" t="s">
        <v>672</v>
      </c>
      <c r="C2041" t="s">
        <v>673</v>
      </c>
      <c r="D2041" t="s">
        <v>674</v>
      </c>
      <c r="E2041" t="s">
        <v>675</v>
      </c>
      <c r="F2041" t="s">
        <v>277</v>
      </c>
      <c r="G2041" t="s">
        <v>282</v>
      </c>
      <c r="H2041" t="s">
        <v>226</v>
      </c>
    </row>
    <row r="2042" spans="1:9" x14ac:dyDescent="0.35">
      <c r="A2042" t="s">
        <v>227</v>
      </c>
      <c r="B2042" s="2">
        <v>0.85119999999999996</v>
      </c>
      <c r="C2042" s="2">
        <v>8.7800000000000003E-2</v>
      </c>
      <c r="D2042" s="2">
        <v>4.2099999999999999E-2</v>
      </c>
      <c r="E2042" s="2">
        <v>1.55E-2</v>
      </c>
      <c r="F2042" s="2">
        <v>2.7000000000000001E-3</v>
      </c>
      <c r="G2042" s="2">
        <v>6.9999999999999999E-4</v>
      </c>
      <c r="H2042">
        <v>2813</v>
      </c>
    </row>
    <row r="2043" spans="1:9" x14ac:dyDescent="0.35">
      <c r="A2043" t="s">
        <v>228</v>
      </c>
      <c r="B2043" s="2">
        <v>0.85119999999999996</v>
      </c>
      <c r="C2043" s="2">
        <v>8.7800000000000003E-2</v>
      </c>
      <c r="D2043" s="2">
        <v>4.2099999999999999E-2</v>
      </c>
      <c r="E2043" s="2">
        <v>1.55E-2</v>
      </c>
      <c r="F2043" s="2">
        <v>2.7000000000000001E-3</v>
      </c>
      <c r="G2043" s="2">
        <v>6.9999999999999999E-4</v>
      </c>
      <c r="H2043">
        <v>2813</v>
      </c>
    </row>
    <row r="2045" spans="1:9" x14ac:dyDescent="0.35">
      <c r="A2045" s="1" t="s">
        <v>724</v>
      </c>
    </row>
    <row r="2046" spans="1:9" x14ac:dyDescent="0.35">
      <c r="A2046" t="s">
        <v>219</v>
      </c>
      <c r="B2046" t="s">
        <v>301</v>
      </c>
      <c r="C2046" t="s">
        <v>672</v>
      </c>
      <c r="D2046" t="s">
        <v>673</v>
      </c>
      <c r="E2046" t="s">
        <v>674</v>
      </c>
      <c r="F2046" t="s">
        <v>675</v>
      </c>
      <c r="G2046" t="s">
        <v>277</v>
      </c>
      <c r="H2046" t="s">
        <v>282</v>
      </c>
      <c r="I2046" t="s">
        <v>226</v>
      </c>
    </row>
    <row r="2047" spans="1:9" x14ac:dyDescent="0.35">
      <c r="A2047" t="s">
        <v>227</v>
      </c>
      <c r="B2047" t="s">
        <v>238</v>
      </c>
      <c r="C2047" s="2">
        <v>0.68420000000000003</v>
      </c>
      <c r="D2047" s="2">
        <v>0.15740000000000001</v>
      </c>
      <c r="E2047" s="2">
        <v>0.1142</v>
      </c>
      <c r="F2047" s="2">
        <v>4.2200000000000001E-2</v>
      </c>
      <c r="H2047" s="2">
        <v>1.9E-3</v>
      </c>
      <c r="I2047">
        <v>1005</v>
      </c>
    </row>
    <row r="2048" spans="1:9" x14ac:dyDescent="0.35">
      <c r="A2048" t="s">
        <v>227</v>
      </c>
      <c r="B2048" t="s">
        <v>237</v>
      </c>
      <c r="C2048" s="2">
        <v>0.9486</v>
      </c>
      <c r="D2048" s="2">
        <v>4.7199999999999999E-2</v>
      </c>
      <c r="G2048" s="2">
        <v>4.1999999999999997E-3</v>
      </c>
      <c r="I2048">
        <v>1808</v>
      </c>
    </row>
    <row r="2049" spans="1:9" x14ac:dyDescent="0.35">
      <c r="A2049" t="s">
        <v>228</v>
      </c>
      <c r="B2049" t="s">
        <v>228</v>
      </c>
      <c r="C2049" s="2">
        <v>0.85119999999999996</v>
      </c>
      <c r="D2049" s="2">
        <v>8.7800000000000003E-2</v>
      </c>
      <c r="E2049" s="2">
        <v>4.2099999999999999E-2</v>
      </c>
      <c r="F2049" s="2">
        <v>1.55E-2</v>
      </c>
      <c r="G2049" s="2">
        <v>2.7000000000000001E-3</v>
      </c>
      <c r="H2049" s="2">
        <v>6.9999999999999999E-4</v>
      </c>
      <c r="I2049">
        <v>2813</v>
      </c>
    </row>
    <row r="2051" spans="1:9" x14ac:dyDescent="0.35">
      <c r="A2051" s="1" t="s">
        <v>725</v>
      </c>
    </row>
    <row r="2052" spans="1:9" x14ac:dyDescent="0.35">
      <c r="A2052" t="s">
        <v>219</v>
      </c>
      <c r="B2052" t="s">
        <v>301</v>
      </c>
      <c r="C2052" t="s">
        <v>672</v>
      </c>
      <c r="D2052" t="s">
        <v>673</v>
      </c>
      <c r="E2052" t="s">
        <v>674</v>
      </c>
      <c r="F2052" t="s">
        <v>675</v>
      </c>
      <c r="G2052" t="s">
        <v>277</v>
      </c>
      <c r="H2052" t="s">
        <v>282</v>
      </c>
      <c r="I2052" t="s">
        <v>226</v>
      </c>
    </row>
    <row r="2053" spans="1:9" x14ac:dyDescent="0.35">
      <c r="A2053" t="s">
        <v>227</v>
      </c>
      <c r="B2053" t="s">
        <v>235</v>
      </c>
      <c r="C2053" s="2">
        <v>0.8639</v>
      </c>
      <c r="D2053" s="2">
        <v>6.6000000000000003E-2</v>
      </c>
      <c r="E2053" s="2">
        <v>3.9800000000000002E-2</v>
      </c>
      <c r="F2053" s="2">
        <v>2.7799999999999998E-2</v>
      </c>
      <c r="H2053" s="2">
        <v>2.3999999999999998E-3</v>
      </c>
      <c r="I2053">
        <v>992</v>
      </c>
    </row>
    <row r="2054" spans="1:9" x14ac:dyDescent="0.35">
      <c r="A2054" t="s">
        <v>227</v>
      </c>
      <c r="B2054" t="s">
        <v>234</v>
      </c>
      <c r="C2054" s="2">
        <v>0.84599999999999997</v>
      </c>
      <c r="D2054" s="2">
        <v>9.69E-2</v>
      </c>
      <c r="E2054" s="2">
        <v>4.2999999999999997E-2</v>
      </c>
      <c r="F2054" s="2">
        <v>1.04E-2</v>
      </c>
      <c r="G2054" s="2">
        <v>3.8E-3</v>
      </c>
      <c r="I2054">
        <v>1821</v>
      </c>
    </row>
    <row r="2055" spans="1:9" x14ac:dyDescent="0.35">
      <c r="A2055" t="s">
        <v>228</v>
      </c>
      <c r="B2055" t="s">
        <v>228</v>
      </c>
      <c r="C2055" s="2">
        <v>0.85119999999999996</v>
      </c>
      <c r="D2055" s="2">
        <v>8.7800000000000003E-2</v>
      </c>
      <c r="E2055" s="2">
        <v>4.2099999999999999E-2</v>
      </c>
      <c r="F2055" s="2">
        <v>1.55E-2</v>
      </c>
      <c r="G2055" s="2">
        <v>2.7000000000000001E-3</v>
      </c>
      <c r="H2055" s="2">
        <v>6.9999999999999999E-4</v>
      </c>
      <c r="I2055">
        <v>2813</v>
      </c>
    </row>
    <row r="2057" spans="1:9" x14ac:dyDescent="0.35">
      <c r="A2057" s="1" t="s">
        <v>726</v>
      </c>
    </row>
    <row r="2058" spans="1:9" x14ac:dyDescent="0.35">
      <c r="A2058" t="s">
        <v>219</v>
      </c>
      <c r="B2058" t="s">
        <v>301</v>
      </c>
      <c r="C2058" t="s">
        <v>672</v>
      </c>
      <c r="D2058" t="s">
        <v>673</v>
      </c>
      <c r="E2058" t="s">
        <v>674</v>
      </c>
      <c r="F2058" t="s">
        <v>675</v>
      </c>
      <c r="G2058" t="s">
        <v>277</v>
      </c>
      <c r="H2058" t="s">
        <v>282</v>
      </c>
      <c r="I2058" t="s">
        <v>226</v>
      </c>
    </row>
    <row r="2059" spans="1:9" x14ac:dyDescent="0.35">
      <c r="A2059" t="s">
        <v>227</v>
      </c>
      <c r="B2059" t="s">
        <v>240</v>
      </c>
      <c r="C2059" s="2">
        <v>0.85470000000000002</v>
      </c>
      <c r="D2059" s="2">
        <v>9.4100000000000003E-2</v>
      </c>
      <c r="E2059" s="2">
        <v>3.5400000000000001E-2</v>
      </c>
      <c r="F2059" s="2">
        <v>1.43E-2</v>
      </c>
      <c r="G2059" s="2">
        <v>1.5E-3</v>
      </c>
      <c r="I2059">
        <v>1756</v>
      </c>
    </row>
    <row r="2060" spans="1:9" x14ac:dyDescent="0.35">
      <c r="A2060" t="s">
        <v>227</v>
      </c>
      <c r="B2060" t="s">
        <v>241</v>
      </c>
      <c r="C2060" s="2">
        <v>0.85729999999999995</v>
      </c>
      <c r="D2060" s="2">
        <v>8.3000000000000004E-2</v>
      </c>
      <c r="E2060" s="2">
        <v>5.0599999999999999E-2</v>
      </c>
      <c r="F2060" s="2">
        <v>1E-3</v>
      </c>
      <c r="G2060" s="2">
        <v>5.7000000000000002E-3</v>
      </c>
      <c r="H2060" s="2">
        <v>2.3999999999999998E-3</v>
      </c>
      <c r="I2060">
        <v>891</v>
      </c>
    </row>
    <row r="2061" spans="1:9" x14ac:dyDescent="0.35">
      <c r="A2061" t="s">
        <v>227</v>
      </c>
      <c r="B2061" t="s">
        <v>242</v>
      </c>
      <c r="C2061" s="2">
        <v>0.7913</v>
      </c>
      <c r="D2061" s="2">
        <v>4.7800000000000002E-2</v>
      </c>
      <c r="E2061" s="2">
        <v>6.88E-2</v>
      </c>
      <c r="F2061" s="2">
        <v>9.2100000000000001E-2</v>
      </c>
      <c r="I2061">
        <v>166</v>
      </c>
    </row>
    <row r="2062" spans="1:9" x14ac:dyDescent="0.35">
      <c r="A2062" t="s">
        <v>228</v>
      </c>
      <c r="B2062" t="s">
        <v>228</v>
      </c>
      <c r="C2062" s="2">
        <v>0.85119999999999996</v>
      </c>
      <c r="D2062" s="2">
        <v>8.7800000000000003E-2</v>
      </c>
      <c r="E2062" s="2">
        <v>4.2099999999999999E-2</v>
      </c>
      <c r="F2062" s="2">
        <v>1.55E-2</v>
      </c>
      <c r="G2062" s="2">
        <v>2.7000000000000001E-3</v>
      </c>
      <c r="H2062" s="2">
        <v>6.9999999999999999E-4</v>
      </c>
      <c r="I2062">
        <v>2813</v>
      </c>
    </row>
    <row r="2064" spans="1:9" x14ac:dyDescent="0.35">
      <c r="A2064" s="1" t="s">
        <v>727</v>
      </c>
    </row>
    <row r="2065" spans="1:9" x14ac:dyDescent="0.35">
      <c r="A2065" t="s">
        <v>219</v>
      </c>
      <c r="B2065" t="s">
        <v>301</v>
      </c>
      <c r="C2065" t="s">
        <v>672</v>
      </c>
      <c r="D2065" t="s">
        <v>673</v>
      </c>
      <c r="E2065" t="s">
        <v>674</v>
      </c>
      <c r="F2065" t="s">
        <v>675</v>
      </c>
      <c r="G2065" t="s">
        <v>277</v>
      </c>
      <c r="H2065" t="s">
        <v>282</v>
      </c>
      <c r="I2065" t="s">
        <v>226</v>
      </c>
    </row>
    <row r="2066" spans="1:9" x14ac:dyDescent="0.35">
      <c r="A2066" t="s">
        <v>227</v>
      </c>
      <c r="B2066" t="s">
        <v>334</v>
      </c>
      <c r="C2066" s="2">
        <v>0.81230000000000002</v>
      </c>
      <c r="D2066" s="2">
        <v>7.5600000000000001E-2</v>
      </c>
      <c r="E2066" s="2">
        <v>7.2499999999999995E-2</v>
      </c>
      <c r="F2066" s="2">
        <v>2.81E-2</v>
      </c>
      <c r="G2066" s="2">
        <v>7.9000000000000008E-3</v>
      </c>
      <c r="H2066" s="2">
        <v>3.3999999999999998E-3</v>
      </c>
      <c r="I2066">
        <v>625</v>
      </c>
    </row>
    <row r="2067" spans="1:9" x14ac:dyDescent="0.35">
      <c r="A2067" t="s">
        <v>227</v>
      </c>
      <c r="B2067" t="s">
        <v>335</v>
      </c>
      <c r="C2067" s="2">
        <v>0.89759999999999995</v>
      </c>
      <c r="D2067" s="2">
        <v>7.2900000000000006E-2</v>
      </c>
      <c r="E2067" s="2">
        <v>2.7E-2</v>
      </c>
      <c r="F2067" s="2">
        <v>2.3999999999999998E-3</v>
      </c>
      <c r="I2067">
        <v>628</v>
      </c>
    </row>
    <row r="2068" spans="1:9" x14ac:dyDescent="0.35">
      <c r="A2068" t="s">
        <v>227</v>
      </c>
      <c r="B2068" t="s">
        <v>336</v>
      </c>
      <c r="C2068" s="2">
        <v>0.83099999999999996</v>
      </c>
      <c r="D2068" s="2">
        <v>8.5900000000000004E-2</v>
      </c>
      <c r="E2068" s="2">
        <v>5.28E-2</v>
      </c>
      <c r="F2068" s="2">
        <v>2.5600000000000001E-2</v>
      </c>
      <c r="G2068" s="2">
        <v>4.7000000000000002E-3</v>
      </c>
      <c r="I2068">
        <v>621</v>
      </c>
    </row>
    <row r="2069" spans="1:9" x14ac:dyDescent="0.35">
      <c r="A2069" t="s">
        <v>227</v>
      </c>
      <c r="B2069" t="s">
        <v>337</v>
      </c>
      <c r="C2069" s="2">
        <v>0.82179999999999997</v>
      </c>
      <c r="D2069" s="2">
        <v>0.1215</v>
      </c>
      <c r="E2069" s="2">
        <v>3.9100000000000003E-2</v>
      </c>
      <c r="F2069" s="2">
        <v>1.7500000000000002E-2</v>
      </c>
      <c r="I2069">
        <v>602</v>
      </c>
    </row>
    <row r="2070" spans="1:9" x14ac:dyDescent="0.35">
      <c r="A2070" t="s">
        <v>228</v>
      </c>
      <c r="B2070" t="s">
        <v>228</v>
      </c>
      <c r="C2070" s="2">
        <v>0.85119999999999996</v>
      </c>
      <c r="D2070" s="2">
        <v>8.7800000000000003E-2</v>
      </c>
      <c r="E2070" s="2">
        <v>4.2099999999999999E-2</v>
      </c>
      <c r="F2070" s="2">
        <v>1.55E-2</v>
      </c>
      <c r="G2070" s="2">
        <v>2.7000000000000001E-3</v>
      </c>
      <c r="H2070" s="2">
        <v>6.9999999999999999E-4</v>
      </c>
      <c r="I2070">
        <v>2476</v>
      </c>
    </row>
    <row r="2072" spans="1:9" x14ac:dyDescent="0.35">
      <c r="A2072" s="1" t="s">
        <v>728</v>
      </c>
    </row>
    <row r="2073" spans="1:9" x14ac:dyDescent="0.35">
      <c r="A2073" t="s">
        <v>219</v>
      </c>
      <c r="B2073" t="s">
        <v>301</v>
      </c>
      <c r="C2073" t="s">
        <v>672</v>
      </c>
      <c r="D2073" t="s">
        <v>673</v>
      </c>
      <c r="E2073" t="s">
        <v>674</v>
      </c>
      <c r="F2073" t="s">
        <v>675</v>
      </c>
      <c r="G2073" t="s">
        <v>277</v>
      </c>
      <c r="H2073" t="s">
        <v>282</v>
      </c>
      <c r="I2073" t="s">
        <v>226</v>
      </c>
    </row>
    <row r="2074" spans="1:9" x14ac:dyDescent="0.35">
      <c r="A2074" t="s">
        <v>227</v>
      </c>
      <c r="B2074" t="s">
        <v>263</v>
      </c>
      <c r="C2074" s="2">
        <v>0.90200000000000002</v>
      </c>
      <c r="D2074" s="2">
        <v>4.07E-2</v>
      </c>
      <c r="E2074" s="2">
        <v>4.2900000000000001E-2</v>
      </c>
      <c r="F2074" s="2">
        <v>1.43E-2</v>
      </c>
      <c r="I2074">
        <v>589</v>
      </c>
    </row>
    <row r="2075" spans="1:9" x14ac:dyDescent="0.35">
      <c r="A2075" t="s">
        <v>227</v>
      </c>
      <c r="B2075" t="s">
        <v>262</v>
      </c>
      <c r="C2075" s="2">
        <v>0.82030000000000003</v>
      </c>
      <c r="D2075" s="2">
        <v>0.1113</v>
      </c>
      <c r="E2075" s="2">
        <v>5.2200000000000003E-2</v>
      </c>
      <c r="F2075" s="2">
        <v>7.1000000000000004E-3</v>
      </c>
      <c r="G2075" s="2">
        <v>7.1000000000000004E-3</v>
      </c>
      <c r="H2075" s="2">
        <v>1.9E-3</v>
      </c>
      <c r="I2075">
        <v>1160</v>
      </c>
    </row>
    <row r="2076" spans="1:9" x14ac:dyDescent="0.35">
      <c r="A2076" t="s">
        <v>227</v>
      </c>
      <c r="B2076" t="s">
        <v>261</v>
      </c>
      <c r="C2076" s="2">
        <v>0.85419999999999996</v>
      </c>
      <c r="D2076" s="2">
        <v>8.9200000000000002E-2</v>
      </c>
      <c r="E2076" s="2">
        <v>3.3000000000000002E-2</v>
      </c>
      <c r="F2076" s="2">
        <v>2.35E-2</v>
      </c>
      <c r="G2076" s="2">
        <v>1E-4</v>
      </c>
      <c r="I2076">
        <v>1062</v>
      </c>
    </row>
    <row r="2077" spans="1:9" x14ac:dyDescent="0.35">
      <c r="A2077" s="3" t="s">
        <v>227</v>
      </c>
      <c r="B2077" s="3" t="s">
        <v>232</v>
      </c>
      <c r="C2077" s="4">
        <v>0.5</v>
      </c>
      <c r="D2077" s="4">
        <v>0.5</v>
      </c>
      <c r="E2077" s="5"/>
      <c r="F2077" s="5"/>
      <c r="G2077" s="5"/>
      <c r="H2077" s="5"/>
      <c r="I2077" s="5" t="s">
        <v>434</v>
      </c>
    </row>
    <row r="2078" spans="1:9" x14ac:dyDescent="0.35">
      <c r="A2078" t="s">
        <v>228</v>
      </c>
      <c r="B2078" t="s">
        <v>228</v>
      </c>
      <c r="C2078" s="2">
        <v>0.85119999999999996</v>
      </c>
      <c r="D2078" s="2">
        <v>8.7800000000000003E-2</v>
      </c>
      <c r="E2078" s="2">
        <v>4.2099999999999999E-2</v>
      </c>
      <c r="F2078" s="2">
        <v>1.55E-2</v>
      </c>
      <c r="G2078" s="2">
        <v>2.7000000000000001E-3</v>
      </c>
      <c r="H2078" s="2">
        <v>6.9999999999999999E-4</v>
      </c>
      <c r="I2078">
        <v>2813</v>
      </c>
    </row>
    <row r="2080" spans="1:9" x14ac:dyDescent="0.35">
      <c r="A2080" s="1" t="s">
        <v>729</v>
      </c>
    </row>
    <row r="2081" spans="1:9" x14ac:dyDescent="0.35">
      <c r="A2081" t="s">
        <v>219</v>
      </c>
      <c r="B2081" t="s">
        <v>301</v>
      </c>
      <c r="C2081" t="s">
        <v>672</v>
      </c>
      <c r="D2081" t="s">
        <v>673</v>
      </c>
      <c r="E2081" t="s">
        <v>674</v>
      </c>
      <c r="F2081" t="s">
        <v>675</v>
      </c>
      <c r="G2081" t="s">
        <v>277</v>
      </c>
      <c r="H2081" t="s">
        <v>282</v>
      </c>
      <c r="I2081" t="s">
        <v>226</v>
      </c>
    </row>
    <row r="2082" spans="1:9" x14ac:dyDescent="0.35">
      <c r="A2082" t="s">
        <v>227</v>
      </c>
      <c r="B2082" t="s">
        <v>248</v>
      </c>
      <c r="C2082" s="2">
        <v>0.77829999999999999</v>
      </c>
      <c r="D2082" s="2">
        <v>0.12620000000000001</v>
      </c>
      <c r="E2082" s="2">
        <v>6.5000000000000002E-2</v>
      </c>
      <c r="F2082" s="2">
        <v>1.83E-2</v>
      </c>
      <c r="G2082" s="2">
        <v>9.4999999999999998E-3</v>
      </c>
      <c r="H2082" s="2">
        <v>2.5999999999999999E-3</v>
      </c>
      <c r="I2082">
        <v>796</v>
      </c>
    </row>
    <row r="2083" spans="1:9" x14ac:dyDescent="0.35">
      <c r="A2083" t="s">
        <v>227</v>
      </c>
      <c r="B2083" t="s">
        <v>249</v>
      </c>
      <c r="C2083" s="2">
        <v>0.76080000000000003</v>
      </c>
      <c r="D2083" s="2">
        <v>0.12379999999999999</v>
      </c>
      <c r="E2083" s="2">
        <v>7.8700000000000006E-2</v>
      </c>
      <c r="F2083" s="2">
        <v>3.6600000000000001E-2</v>
      </c>
      <c r="I2083">
        <v>541</v>
      </c>
    </row>
    <row r="2084" spans="1:9" x14ac:dyDescent="0.35">
      <c r="A2084" t="s">
        <v>227</v>
      </c>
      <c r="B2084" t="s">
        <v>247</v>
      </c>
      <c r="C2084" s="2">
        <v>0.92190000000000005</v>
      </c>
      <c r="D2084" s="2">
        <v>5.4800000000000001E-2</v>
      </c>
      <c r="E2084" s="2">
        <v>1.6799999999999999E-2</v>
      </c>
      <c r="F2084" s="2">
        <v>6.4000000000000003E-3</v>
      </c>
      <c r="G2084" s="2">
        <v>1E-4</v>
      </c>
      <c r="I2084">
        <v>1476</v>
      </c>
    </row>
    <row r="2085" spans="1:9" x14ac:dyDescent="0.35">
      <c r="A2085" t="s">
        <v>228</v>
      </c>
      <c r="B2085" t="s">
        <v>228</v>
      </c>
      <c r="C2085" s="2">
        <v>0.85119999999999996</v>
      </c>
      <c r="D2085" s="2">
        <v>8.7800000000000003E-2</v>
      </c>
      <c r="E2085" s="2">
        <v>4.2099999999999999E-2</v>
      </c>
      <c r="F2085" s="2">
        <v>1.55E-2</v>
      </c>
      <c r="G2085" s="2">
        <v>2.7000000000000001E-3</v>
      </c>
      <c r="H2085" s="2">
        <v>6.9999999999999999E-4</v>
      </c>
      <c r="I2085">
        <v>2813</v>
      </c>
    </row>
    <row r="2087" spans="1:9" x14ac:dyDescent="0.35">
      <c r="A2087" s="1" t="s">
        <v>730</v>
      </c>
    </row>
    <row r="2088" spans="1:9" x14ac:dyDescent="0.35">
      <c r="A2088" t="s">
        <v>219</v>
      </c>
      <c r="B2088" t="s">
        <v>301</v>
      </c>
      <c r="C2088" t="s">
        <v>672</v>
      </c>
      <c r="D2088" t="s">
        <v>673</v>
      </c>
      <c r="E2088" t="s">
        <v>674</v>
      </c>
      <c r="F2088" t="s">
        <v>675</v>
      </c>
      <c r="G2088" t="s">
        <v>277</v>
      </c>
      <c r="H2088" t="s">
        <v>282</v>
      </c>
      <c r="I2088" t="s">
        <v>226</v>
      </c>
    </row>
    <row r="2089" spans="1:9" x14ac:dyDescent="0.35">
      <c r="A2089" t="s">
        <v>227</v>
      </c>
      <c r="B2089" t="s">
        <v>245</v>
      </c>
      <c r="C2089" s="2">
        <v>0.89739999999999998</v>
      </c>
      <c r="D2089" s="2">
        <v>6.5199999999999994E-2</v>
      </c>
      <c r="E2089" s="2">
        <v>2.7099999999999999E-2</v>
      </c>
      <c r="F2089" s="2">
        <v>1.03E-2</v>
      </c>
      <c r="I2089">
        <v>783</v>
      </c>
    </row>
    <row r="2090" spans="1:9" x14ac:dyDescent="0.35">
      <c r="A2090" t="s">
        <v>227</v>
      </c>
      <c r="B2090" t="s">
        <v>244</v>
      </c>
      <c r="C2090" s="2">
        <v>0.83299999999999996</v>
      </c>
      <c r="D2090" s="2">
        <v>9.6699999999999994E-2</v>
      </c>
      <c r="E2090" s="2">
        <v>4.8000000000000001E-2</v>
      </c>
      <c r="F2090" s="2">
        <v>1.7600000000000001E-2</v>
      </c>
      <c r="G2090" s="2">
        <v>3.7000000000000002E-3</v>
      </c>
      <c r="H2090" s="2">
        <v>1E-3</v>
      </c>
      <c r="I2090">
        <v>2030</v>
      </c>
    </row>
    <row r="2091" spans="1:9" x14ac:dyDescent="0.35">
      <c r="A2091" t="s">
        <v>228</v>
      </c>
      <c r="B2091" t="s">
        <v>228</v>
      </c>
      <c r="C2091" s="2">
        <v>0.85119999999999996</v>
      </c>
      <c r="D2091" s="2">
        <v>8.7800000000000003E-2</v>
      </c>
      <c r="E2091" s="2">
        <v>4.2099999999999999E-2</v>
      </c>
      <c r="F2091" s="2">
        <v>1.55E-2</v>
      </c>
      <c r="G2091" s="2">
        <v>2.7000000000000001E-3</v>
      </c>
      <c r="H2091" s="2">
        <v>6.9999999999999999E-4</v>
      </c>
      <c r="I2091">
        <v>2813</v>
      </c>
    </row>
    <row r="2093" spans="1:9" x14ac:dyDescent="0.35">
      <c r="A2093" s="1" t="s">
        <v>731</v>
      </c>
    </row>
    <row r="2094" spans="1:9" x14ac:dyDescent="0.35">
      <c r="A2094" t="s">
        <v>219</v>
      </c>
      <c r="B2094" t="s">
        <v>301</v>
      </c>
      <c r="C2094" t="s">
        <v>672</v>
      </c>
      <c r="D2094" t="s">
        <v>673</v>
      </c>
      <c r="E2094" t="s">
        <v>674</v>
      </c>
      <c r="F2094" t="s">
        <v>675</v>
      </c>
      <c r="G2094" t="s">
        <v>277</v>
      </c>
      <c r="H2094" t="s">
        <v>282</v>
      </c>
      <c r="I2094" t="s">
        <v>226</v>
      </c>
    </row>
    <row r="2095" spans="1:9" x14ac:dyDescent="0.35">
      <c r="A2095" t="s">
        <v>227</v>
      </c>
      <c r="B2095" t="s">
        <v>259</v>
      </c>
      <c r="C2095" s="2">
        <v>0.68510000000000004</v>
      </c>
      <c r="D2095" s="2">
        <v>0.2417</v>
      </c>
      <c r="E2095" s="2">
        <v>6.7599999999999993E-2</v>
      </c>
      <c r="F2095" s="2">
        <v>5.5999999999999999E-3</v>
      </c>
      <c r="I2095">
        <v>69</v>
      </c>
    </row>
    <row r="2096" spans="1:9" x14ac:dyDescent="0.35">
      <c r="A2096" t="s">
        <v>227</v>
      </c>
      <c r="B2096" t="s">
        <v>257</v>
      </c>
      <c r="C2096" s="2">
        <v>0.81259999999999999</v>
      </c>
      <c r="D2096" s="2">
        <v>0.1172</v>
      </c>
      <c r="E2096" s="2">
        <v>5.04E-2</v>
      </c>
      <c r="F2096" s="2">
        <v>1.4200000000000001E-2</v>
      </c>
      <c r="G2096" s="2">
        <v>5.5999999999999999E-3</v>
      </c>
      <c r="I2096">
        <v>405</v>
      </c>
    </row>
    <row r="2097" spans="1:9" x14ac:dyDescent="0.35">
      <c r="A2097" t="s">
        <v>227</v>
      </c>
      <c r="B2097" t="s">
        <v>256</v>
      </c>
      <c r="C2097" s="2">
        <v>0.86580000000000001</v>
      </c>
      <c r="D2097" s="2">
        <v>7.3999999999999996E-2</v>
      </c>
      <c r="E2097" s="2">
        <v>4.0899999999999999E-2</v>
      </c>
      <c r="F2097" s="2">
        <v>1.5699999999999999E-2</v>
      </c>
      <c r="G2097" s="2">
        <v>2.5999999999999999E-3</v>
      </c>
      <c r="H2097" s="2">
        <v>1.1000000000000001E-3</v>
      </c>
      <c r="I2097">
        <v>1803</v>
      </c>
    </row>
    <row r="2098" spans="1:9" x14ac:dyDescent="0.35">
      <c r="A2098" s="3" t="s">
        <v>227</v>
      </c>
      <c r="B2098" s="3" t="s">
        <v>232</v>
      </c>
      <c r="C2098" s="4">
        <v>0.62270000000000003</v>
      </c>
      <c r="D2098" s="4">
        <v>0.11509999999999999</v>
      </c>
      <c r="E2098" s="4">
        <v>0.26219999999999999</v>
      </c>
      <c r="F2098" s="5"/>
      <c r="G2098" s="5"/>
      <c r="H2098" s="5"/>
      <c r="I2098" s="5" t="s">
        <v>307</v>
      </c>
    </row>
    <row r="2099" spans="1:9" x14ac:dyDescent="0.35">
      <c r="A2099" t="s">
        <v>227</v>
      </c>
      <c r="B2099" t="s">
        <v>258</v>
      </c>
      <c r="C2099" s="2">
        <v>0.85189999999999999</v>
      </c>
      <c r="D2099" s="2">
        <v>9.8500000000000004E-2</v>
      </c>
      <c r="E2099" s="2">
        <v>3.1899999999999998E-2</v>
      </c>
      <c r="F2099" s="2">
        <v>1.78E-2</v>
      </c>
      <c r="I2099">
        <v>525</v>
      </c>
    </row>
    <row r="2100" spans="1:9" x14ac:dyDescent="0.35">
      <c r="A2100" t="s">
        <v>228</v>
      </c>
      <c r="B2100" t="s">
        <v>228</v>
      </c>
      <c r="C2100" s="2">
        <v>0.85119999999999996</v>
      </c>
      <c r="D2100" s="2">
        <v>8.7800000000000003E-2</v>
      </c>
      <c r="E2100" s="2">
        <v>4.2099999999999999E-2</v>
      </c>
      <c r="F2100" s="2">
        <v>1.55E-2</v>
      </c>
      <c r="G2100" s="2">
        <v>2.7000000000000001E-3</v>
      </c>
      <c r="H2100" s="2">
        <v>6.9999999999999999E-4</v>
      </c>
      <c r="I2100">
        <v>2813</v>
      </c>
    </row>
    <row r="2102" spans="1:9" x14ac:dyDescent="0.35">
      <c r="A2102" s="1" t="s">
        <v>732</v>
      </c>
    </row>
    <row r="2103" spans="1:9" x14ac:dyDescent="0.35">
      <c r="A2103" t="s">
        <v>219</v>
      </c>
      <c r="B2103" t="s">
        <v>301</v>
      </c>
      <c r="C2103" t="s">
        <v>672</v>
      </c>
      <c r="D2103" t="s">
        <v>673</v>
      </c>
      <c r="E2103" t="s">
        <v>674</v>
      </c>
      <c r="F2103" t="s">
        <v>675</v>
      </c>
      <c r="G2103" t="s">
        <v>277</v>
      </c>
      <c r="H2103" t="s">
        <v>282</v>
      </c>
      <c r="I2103" t="s">
        <v>226</v>
      </c>
    </row>
    <row r="2104" spans="1:9" x14ac:dyDescent="0.35">
      <c r="A2104" t="s">
        <v>227</v>
      </c>
      <c r="B2104" t="s">
        <v>343</v>
      </c>
      <c r="C2104" s="2">
        <v>0.81259999999999999</v>
      </c>
      <c r="D2104" s="2">
        <v>0.1172</v>
      </c>
      <c r="E2104" s="2">
        <v>5.04E-2</v>
      </c>
      <c r="F2104" s="2">
        <v>1.4200000000000001E-2</v>
      </c>
      <c r="G2104" s="2">
        <v>5.5999999999999999E-3</v>
      </c>
      <c r="I2104">
        <v>405</v>
      </c>
    </row>
    <row r="2105" spans="1:9" x14ac:dyDescent="0.35">
      <c r="A2105" t="s">
        <v>227</v>
      </c>
      <c r="B2105" t="s">
        <v>344</v>
      </c>
      <c r="C2105" s="2">
        <v>0.85909999999999997</v>
      </c>
      <c r="D2105" s="2">
        <v>8.1799999999999998E-2</v>
      </c>
      <c r="E2105" s="2">
        <v>4.0399999999999998E-2</v>
      </c>
      <c r="F2105" s="2">
        <v>1.5800000000000002E-2</v>
      </c>
      <c r="G2105" s="2">
        <v>2.0999999999999999E-3</v>
      </c>
      <c r="H2105" s="2">
        <v>8.9999999999999998E-4</v>
      </c>
      <c r="I2105">
        <v>2408</v>
      </c>
    </row>
    <row r="2106" spans="1:9" x14ac:dyDescent="0.35">
      <c r="A2106" t="s">
        <v>228</v>
      </c>
      <c r="B2106" t="s">
        <v>228</v>
      </c>
      <c r="C2106" s="2">
        <v>0.85119999999999996</v>
      </c>
      <c r="D2106" s="2">
        <v>8.7800000000000003E-2</v>
      </c>
      <c r="E2106" s="2">
        <v>4.2099999999999999E-2</v>
      </c>
      <c r="F2106" s="2">
        <v>1.55E-2</v>
      </c>
      <c r="G2106" s="2">
        <v>2.7000000000000001E-3</v>
      </c>
      <c r="H2106" s="2">
        <v>6.9999999999999999E-4</v>
      </c>
      <c r="I2106">
        <v>2813</v>
      </c>
    </row>
    <row r="2108" spans="1:9" x14ac:dyDescent="0.35">
      <c r="A2108" s="1" t="s">
        <v>733</v>
      </c>
    </row>
    <row r="2109" spans="1:9" x14ac:dyDescent="0.35">
      <c r="A2109" t="s">
        <v>219</v>
      </c>
      <c r="B2109" t="s">
        <v>301</v>
      </c>
      <c r="C2109" t="s">
        <v>672</v>
      </c>
      <c r="D2109" t="s">
        <v>673</v>
      </c>
      <c r="E2109" t="s">
        <v>674</v>
      </c>
      <c r="F2109" t="s">
        <v>675</v>
      </c>
      <c r="G2109" t="s">
        <v>277</v>
      </c>
      <c r="H2109" t="s">
        <v>282</v>
      </c>
      <c r="I2109" t="s">
        <v>226</v>
      </c>
    </row>
    <row r="2110" spans="1:9" x14ac:dyDescent="0.35">
      <c r="A2110" t="s">
        <v>227</v>
      </c>
      <c r="B2110" t="s">
        <v>346</v>
      </c>
      <c r="C2110" s="2">
        <v>0.84919999999999995</v>
      </c>
      <c r="D2110" s="2">
        <v>8.7800000000000003E-2</v>
      </c>
      <c r="E2110" s="2">
        <v>4.2900000000000001E-2</v>
      </c>
      <c r="F2110" s="2">
        <v>1.6199999999999999E-2</v>
      </c>
      <c r="G2110" s="2">
        <v>3.0999999999999999E-3</v>
      </c>
      <c r="H2110" s="2">
        <v>8.0000000000000004E-4</v>
      </c>
      <c r="I2110">
        <v>1463</v>
      </c>
    </row>
    <row r="2111" spans="1:9" x14ac:dyDescent="0.35">
      <c r="A2111" t="s">
        <v>227</v>
      </c>
      <c r="B2111" t="s">
        <v>347</v>
      </c>
      <c r="C2111" s="2">
        <v>0.80989999999999995</v>
      </c>
      <c r="D2111" s="2">
        <v>0.13089999999999999</v>
      </c>
      <c r="E2111" s="2">
        <v>4.53E-2</v>
      </c>
      <c r="F2111" s="2">
        <v>1.38E-2</v>
      </c>
      <c r="I2111">
        <v>585</v>
      </c>
    </row>
    <row r="2112" spans="1:9" x14ac:dyDescent="0.35">
      <c r="A2112" t="s">
        <v>227</v>
      </c>
      <c r="B2112" t="s">
        <v>348</v>
      </c>
      <c r="C2112" s="2">
        <v>0.88560000000000005</v>
      </c>
      <c r="D2112" s="2">
        <v>7.1099999999999997E-2</v>
      </c>
      <c r="E2112" s="2">
        <v>3.3399999999999999E-2</v>
      </c>
      <c r="F2112" s="2">
        <v>0.01</v>
      </c>
      <c r="I2112">
        <v>765</v>
      </c>
    </row>
    <row r="2113" spans="1:9" x14ac:dyDescent="0.35">
      <c r="A2113" t="s">
        <v>228</v>
      </c>
      <c r="B2113" t="s">
        <v>228</v>
      </c>
      <c r="C2113" s="2">
        <v>0.85119999999999996</v>
      </c>
      <c r="D2113" s="2">
        <v>8.7800000000000003E-2</v>
      </c>
      <c r="E2113" s="2">
        <v>4.2099999999999999E-2</v>
      </c>
      <c r="F2113" s="2">
        <v>1.55E-2</v>
      </c>
      <c r="G2113" s="2">
        <v>2.7000000000000001E-3</v>
      </c>
      <c r="H2113" s="2">
        <v>6.9999999999999999E-4</v>
      </c>
      <c r="I2113">
        <v>2813</v>
      </c>
    </row>
    <row r="2115" spans="1:9" x14ac:dyDescent="0.35">
      <c r="A2115" s="1" t="s">
        <v>734</v>
      </c>
    </row>
    <row r="2116" spans="1:9" x14ac:dyDescent="0.35">
      <c r="A2116" t="s">
        <v>219</v>
      </c>
      <c r="B2116" t="s">
        <v>301</v>
      </c>
      <c r="C2116" t="s">
        <v>672</v>
      </c>
      <c r="D2116" t="s">
        <v>673</v>
      </c>
      <c r="E2116" t="s">
        <v>674</v>
      </c>
      <c r="F2116" t="s">
        <v>675</v>
      </c>
      <c r="G2116" t="s">
        <v>277</v>
      </c>
      <c r="H2116" t="s">
        <v>282</v>
      </c>
      <c r="I2116" t="s">
        <v>226</v>
      </c>
    </row>
    <row r="2117" spans="1:9" x14ac:dyDescent="0.35">
      <c r="A2117" t="s">
        <v>227</v>
      </c>
      <c r="B2117" t="s">
        <v>251</v>
      </c>
      <c r="C2117" s="2">
        <v>0.83299999999999996</v>
      </c>
      <c r="D2117" s="2">
        <v>9.6699999999999994E-2</v>
      </c>
      <c r="E2117" s="2">
        <v>4.8000000000000001E-2</v>
      </c>
      <c r="F2117" s="2">
        <v>1.7600000000000001E-2</v>
      </c>
      <c r="G2117" s="2">
        <v>3.7000000000000002E-3</v>
      </c>
      <c r="H2117" s="2">
        <v>1E-3</v>
      </c>
      <c r="I2117">
        <v>2030</v>
      </c>
    </row>
    <row r="2118" spans="1:9" x14ac:dyDescent="0.35">
      <c r="A2118" t="s">
        <v>227</v>
      </c>
      <c r="B2118" t="s">
        <v>252</v>
      </c>
      <c r="C2118" s="2">
        <v>0.88200000000000001</v>
      </c>
      <c r="D2118" s="2">
        <v>7.22E-2</v>
      </c>
      <c r="E2118" s="2">
        <v>3.3099999999999997E-2</v>
      </c>
      <c r="F2118" s="2">
        <v>1.2800000000000001E-2</v>
      </c>
      <c r="I2118">
        <v>621</v>
      </c>
    </row>
    <row r="2119" spans="1:9" x14ac:dyDescent="0.35">
      <c r="A2119" t="s">
        <v>227</v>
      </c>
      <c r="B2119" t="s">
        <v>253</v>
      </c>
      <c r="C2119" s="2">
        <v>0.96319999999999995</v>
      </c>
      <c r="D2119" s="2">
        <v>3.5099999999999999E-2</v>
      </c>
      <c r="E2119" s="2">
        <v>1.6999999999999999E-3</v>
      </c>
      <c r="I2119">
        <v>153</v>
      </c>
    </row>
    <row r="2120" spans="1:9" x14ac:dyDescent="0.35">
      <c r="A2120" s="3" t="s">
        <v>227</v>
      </c>
      <c r="B2120" s="3" t="s">
        <v>254</v>
      </c>
      <c r="C2120" s="4">
        <v>0.94199999999999995</v>
      </c>
      <c r="D2120" s="4">
        <v>5.8000000000000003E-2</v>
      </c>
      <c r="E2120" s="5"/>
      <c r="F2120" s="5"/>
      <c r="G2120" s="5"/>
      <c r="H2120" s="5"/>
      <c r="I2120" s="5" t="s">
        <v>515</v>
      </c>
    </row>
    <row r="2121" spans="1:9" x14ac:dyDescent="0.35">
      <c r="A2121" t="s">
        <v>228</v>
      </c>
      <c r="B2121" t="s">
        <v>228</v>
      </c>
      <c r="C2121" s="2">
        <v>0.85119999999999996</v>
      </c>
      <c r="D2121" s="2">
        <v>8.7800000000000003E-2</v>
      </c>
      <c r="E2121" s="2">
        <v>4.2099999999999999E-2</v>
      </c>
      <c r="F2121" s="2">
        <v>1.55E-2</v>
      </c>
      <c r="G2121" s="2">
        <v>2.7000000000000001E-3</v>
      </c>
      <c r="H2121" s="2">
        <v>6.9999999999999999E-4</v>
      </c>
      <c r="I2121">
        <v>2813</v>
      </c>
    </row>
    <row r="2123" spans="1:9" x14ac:dyDescent="0.35">
      <c r="A2123" s="1" t="s">
        <v>735</v>
      </c>
    </row>
    <row r="2124" spans="1:9" x14ac:dyDescent="0.35">
      <c r="A2124" t="s">
        <v>219</v>
      </c>
      <c r="B2124" t="s">
        <v>672</v>
      </c>
      <c r="C2124" t="s">
        <v>673</v>
      </c>
      <c r="D2124" t="s">
        <v>674</v>
      </c>
      <c r="E2124" t="s">
        <v>675</v>
      </c>
      <c r="F2124" t="s">
        <v>277</v>
      </c>
      <c r="G2124" t="s">
        <v>226</v>
      </c>
    </row>
    <row r="2125" spans="1:9" x14ac:dyDescent="0.35">
      <c r="A2125" t="s">
        <v>227</v>
      </c>
      <c r="B2125" s="2">
        <v>0.87080000000000002</v>
      </c>
      <c r="C2125" s="2">
        <v>9.2299999999999993E-2</v>
      </c>
      <c r="D2125" s="2">
        <v>2.76E-2</v>
      </c>
      <c r="E2125" s="2">
        <v>8.0999999999999996E-3</v>
      </c>
      <c r="F2125" s="2">
        <v>1.1999999999999999E-3</v>
      </c>
      <c r="G2125">
        <v>2813</v>
      </c>
    </row>
    <row r="2126" spans="1:9" x14ac:dyDescent="0.35">
      <c r="A2126" t="s">
        <v>228</v>
      </c>
      <c r="B2126" s="2">
        <v>0.87080000000000002</v>
      </c>
      <c r="C2126" s="2">
        <v>9.2299999999999993E-2</v>
      </c>
      <c r="D2126" s="2">
        <v>2.76E-2</v>
      </c>
      <c r="E2126" s="2">
        <v>8.0999999999999996E-3</v>
      </c>
      <c r="F2126" s="2">
        <v>1.1999999999999999E-3</v>
      </c>
      <c r="G2126">
        <v>2813</v>
      </c>
    </row>
    <row r="2128" spans="1:9" x14ac:dyDescent="0.35">
      <c r="A2128" s="1" t="s">
        <v>736</v>
      </c>
    </row>
    <row r="2129" spans="1:8" x14ac:dyDescent="0.35">
      <c r="A2129" t="s">
        <v>219</v>
      </c>
      <c r="B2129" t="s">
        <v>301</v>
      </c>
      <c r="C2129" t="s">
        <v>672</v>
      </c>
      <c r="D2129" t="s">
        <v>673</v>
      </c>
      <c r="E2129" t="s">
        <v>674</v>
      </c>
      <c r="F2129" t="s">
        <v>675</v>
      </c>
      <c r="G2129" t="s">
        <v>277</v>
      </c>
      <c r="H2129" t="s">
        <v>226</v>
      </c>
    </row>
    <row r="2130" spans="1:8" x14ac:dyDescent="0.35">
      <c r="A2130" t="s">
        <v>227</v>
      </c>
      <c r="B2130" t="s">
        <v>238</v>
      </c>
      <c r="C2130" s="2">
        <v>0.77010000000000001</v>
      </c>
      <c r="D2130" s="2">
        <v>0.13170000000000001</v>
      </c>
      <c r="E2130" s="2">
        <v>7.4899999999999994E-2</v>
      </c>
      <c r="F2130" s="2">
        <v>2.2100000000000002E-2</v>
      </c>
      <c r="G2130" s="2">
        <v>1.2999999999999999E-3</v>
      </c>
      <c r="H2130">
        <v>1005</v>
      </c>
    </row>
    <row r="2131" spans="1:8" x14ac:dyDescent="0.35">
      <c r="A2131" t="s">
        <v>227</v>
      </c>
      <c r="B2131" t="s">
        <v>237</v>
      </c>
      <c r="C2131" s="2">
        <v>0.92949999999999999</v>
      </c>
      <c r="D2131" s="2">
        <v>6.93E-2</v>
      </c>
      <c r="G2131" s="2">
        <v>1.1999999999999999E-3</v>
      </c>
      <c r="H2131">
        <v>1808</v>
      </c>
    </row>
    <row r="2132" spans="1:8" x14ac:dyDescent="0.35">
      <c r="A2132" t="s">
        <v>228</v>
      </c>
      <c r="B2132" t="s">
        <v>228</v>
      </c>
      <c r="C2132" s="2">
        <v>0.87080000000000002</v>
      </c>
      <c r="D2132" s="2">
        <v>9.2299999999999993E-2</v>
      </c>
      <c r="E2132" s="2">
        <v>2.76E-2</v>
      </c>
      <c r="F2132" s="2">
        <v>8.0999999999999996E-3</v>
      </c>
      <c r="G2132" s="2">
        <v>1.1999999999999999E-3</v>
      </c>
      <c r="H2132">
        <v>2813</v>
      </c>
    </row>
    <row r="2134" spans="1:8" x14ac:dyDescent="0.35">
      <c r="A2134" s="1" t="s">
        <v>737</v>
      </c>
    </row>
    <row r="2135" spans="1:8" x14ac:dyDescent="0.35">
      <c r="A2135" t="s">
        <v>219</v>
      </c>
      <c r="B2135" t="s">
        <v>301</v>
      </c>
      <c r="C2135" t="s">
        <v>672</v>
      </c>
      <c r="D2135" t="s">
        <v>673</v>
      </c>
      <c r="E2135" t="s">
        <v>674</v>
      </c>
      <c r="F2135" t="s">
        <v>675</v>
      </c>
      <c r="G2135" t="s">
        <v>277</v>
      </c>
      <c r="H2135" t="s">
        <v>226</v>
      </c>
    </row>
    <row r="2136" spans="1:8" x14ac:dyDescent="0.35">
      <c r="A2136" t="s">
        <v>227</v>
      </c>
      <c r="B2136" t="s">
        <v>235</v>
      </c>
      <c r="C2136" s="2">
        <v>0.83860000000000001</v>
      </c>
      <c r="D2136" s="2">
        <v>0.1104</v>
      </c>
      <c r="E2136" s="2">
        <v>3.5900000000000001E-2</v>
      </c>
      <c r="F2136" s="2">
        <v>1.4999999999999999E-2</v>
      </c>
      <c r="G2136" s="2">
        <v>2.0000000000000001E-4</v>
      </c>
      <c r="H2136">
        <v>992</v>
      </c>
    </row>
    <row r="2137" spans="1:8" x14ac:dyDescent="0.35">
      <c r="A2137" t="s">
        <v>227</v>
      </c>
      <c r="B2137" t="s">
        <v>234</v>
      </c>
      <c r="C2137" s="2">
        <v>0.88429999999999997</v>
      </c>
      <c r="D2137" s="2">
        <v>8.4699999999999998E-2</v>
      </c>
      <c r="E2137" s="2">
        <v>2.41E-2</v>
      </c>
      <c r="F2137" s="2">
        <v>5.3E-3</v>
      </c>
      <c r="G2137" s="2">
        <v>1.6000000000000001E-3</v>
      </c>
      <c r="H2137">
        <v>1821</v>
      </c>
    </row>
    <row r="2138" spans="1:8" x14ac:dyDescent="0.35">
      <c r="A2138" t="s">
        <v>228</v>
      </c>
      <c r="B2138" t="s">
        <v>228</v>
      </c>
      <c r="C2138" s="2">
        <v>0.87080000000000002</v>
      </c>
      <c r="D2138" s="2">
        <v>9.2299999999999993E-2</v>
      </c>
      <c r="E2138" s="2">
        <v>2.76E-2</v>
      </c>
      <c r="F2138" s="2">
        <v>8.0999999999999996E-3</v>
      </c>
      <c r="G2138" s="2">
        <v>1.1999999999999999E-3</v>
      </c>
      <c r="H2138">
        <v>2813</v>
      </c>
    </row>
    <row r="2140" spans="1:8" x14ac:dyDescent="0.35">
      <c r="A2140" s="1" t="s">
        <v>738</v>
      </c>
    </row>
    <row r="2141" spans="1:8" x14ac:dyDescent="0.35">
      <c r="A2141" t="s">
        <v>219</v>
      </c>
      <c r="B2141" t="s">
        <v>301</v>
      </c>
      <c r="C2141" t="s">
        <v>672</v>
      </c>
      <c r="D2141" t="s">
        <v>673</v>
      </c>
      <c r="E2141" t="s">
        <v>674</v>
      </c>
      <c r="F2141" t="s">
        <v>675</v>
      </c>
      <c r="G2141" t="s">
        <v>277</v>
      </c>
      <c r="H2141" t="s">
        <v>226</v>
      </c>
    </row>
    <row r="2142" spans="1:8" x14ac:dyDescent="0.35">
      <c r="A2142" t="s">
        <v>227</v>
      </c>
      <c r="B2142" t="s">
        <v>240</v>
      </c>
      <c r="C2142" s="2">
        <v>0.86809999999999998</v>
      </c>
      <c r="D2142" s="2">
        <v>9.8199999999999996E-2</v>
      </c>
      <c r="E2142" s="2">
        <v>2.7799999999999998E-2</v>
      </c>
      <c r="F2142" s="2">
        <v>4.1999999999999997E-3</v>
      </c>
      <c r="G2142" s="2">
        <v>1.6999999999999999E-3</v>
      </c>
      <c r="H2142">
        <v>1756</v>
      </c>
    </row>
    <row r="2143" spans="1:8" x14ac:dyDescent="0.35">
      <c r="A2143" t="s">
        <v>227</v>
      </c>
      <c r="B2143" t="s">
        <v>241</v>
      </c>
      <c r="C2143" s="2">
        <v>0.90039999999999998</v>
      </c>
      <c r="D2143" s="2">
        <v>7.7399999999999997E-2</v>
      </c>
      <c r="E2143" s="2">
        <v>1.9900000000000001E-2</v>
      </c>
      <c r="F2143" s="2">
        <v>1.9E-3</v>
      </c>
      <c r="G2143" s="2">
        <v>4.0000000000000002E-4</v>
      </c>
      <c r="H2143">
        <v>891</v>
      </c>
    </row>
    <row r="2144" spans="1:8" x14ac:dyDescent="0.35">
      <c r="A2144" t="s">
        <v>227</v>
      </c>
      <c r="B2144" t="s">
        <v>242</v>
      </c>
      <c r="C2144" s="2">
        <v>0.76539999999999997</v>
      </c>
      <c r="D2144" s="2">
        <v>0.1011</v>
      </c>
      <c r="E2144" s="2">
        <v>5.96E-2</v>
      </c>
      <c r="F2144" s="2">
        <v>7.3899999999999993E-2</v>
      </c>
      <c r="H2144">
        <v>166</v>
      </c>
    </row>
    <row r="2145" spans="1:8" x14ac:dyDescent="0.35">
      <c r="A2145" t="s">
        <v>228</v>
      </c>
      <c r="B2145" t="s">
        <v>228</v>
      </c>
      <c r="C2145" s="2">
        <v>0.87080000000000002</v>
      </c>
      <c r="D2145" s="2">
        <v>9.2299999999999993E-2</v>
      </c>
      <c r="E2145" s="2">
        <v>2.76E-2</v>
      </c>
      <c r="F2145" s="2">
        <v>8.0999999999999996E-3</v>
      </c>
      <c r="G2145" s="2">
        <v>1.1999999999999999E-3</v>
      </c>
      <c r="H2145">
        <v>2813</v>
      </c>
    </row>
    <row r="2147" spans="1:8" x14ac:dyDescent="0.35">
      <c r="A2147" s="1" t="s">
        <v>739</v>
      </c>
    </row>
    <row r="2148" spans="1:8" x14ac:dyDescent="0.35">
      <c r="A2148" t="s">
        <v>219</v>
      </c>
      <c r="B2148" t="s">
        <v>301</v>
      </c>
      <c r="C2148" t="s">
        <v>672</v>
      </c>
      <c r="D2148" t="s">
        <v>673</v>
      </c>
      <c r="E2148" t="s">
        <v>674</v>
      </c>
      <c r="F2148" t="s">
        <v>675</v>
      </c>
      <c r="G2148" t="s">
        <v>277</v>
      </c>
      <c r="H2148" t="s">
        <v>226</v>
      </c>
    </row>
    <row r="2149" spans="1:8" x14ac:dyDescent="0.35">
      <c r="A2149" t="s">
        <v>227</v>
      </c>
      <c r="B2149" t="s">
        <v>334</v>
      </c>
      <c r="C2149" s="2">
        <v>0.879</v>
      </c>
      <c r="D2149" s="2">
        <v>8.5500000000000007E-2</v>
      </c>
      <c r="E2149" s="2">
        <v>2.1299999999999999E-2</v>
      </c>
      <c r="F2149" s="2">
        <v>1.38E-2</v>
      </c>
      <c r="G2149" s="2">
        <v>5.0000000000000001E-4</v>
      </c>
      <c r="H2149">
        <v>625</v>
      </c>
    </row>
    <row r="2150" spans="1:8" x14ac:dyDescent="0.35">
      <c r="A2150" t="s">
        <v>227</v>
      </c>
      <c r="B2150" t="s">
        <v>335</v>
      </c>
      <c r="C2150" s="2">
        <v>0.86639999999999995</v>
      </c>
      <c r="D2150" s="2">
        <v>0.1048</v>
      </c>
      <c r="E2150" s="2">
        <v>2.7300000000000001E-2</v>
      </c>
      <c r="F2150" s="2">
        <v>1.2999999999999999E-3</v>
      </c>
      <c r="G2150" s="2">
        <v>2.0000000000000001E-4</v>
      </c>
      <c r="H2150">
        <v>628</v>
      </c>
    </row>
    <row r="2151" spans="1:8" x14ac:dyDescent="0.35">
      <c r="A2151" t="s">
        <v>227</v>
      </c>
      <c r="B2151" t="s">
        <v>336</v>
      </c>
      <c r="C2151" s="2">
        <v>0.89090000000000003</v>
      </c>
      <c r="D2151" s="2">
        <v>7.0499999999999993E-2</v>
      </c>
      <c r="E2151" s="2">
        <v>2.1899999999999999E-2</v>
      </c>
      <c r="F2151" s="2">
        <v>1.2999999999999999E-2</v>
      </c>
      <c r="G2151" s="2">
        <v>3.7000000000000002E-3</v>
      </c>
      <c r="H2151">
        <v>621</v>
      </c>
    </row>
    <row r="2152" spans="1:8" x14ac:dyDescent="0.35">
      <c r="A2152" t="s">
        <v>227</v>
      </c>
      <c r="B2152" t="s">
        <v>337</v>
      </c>
      <c r="C2152" s="2">
        <v>0.83209999999999995</v>
      </c>
      <c r="D2152" s="2">
        <v>0.10979999999999999</v>
      </c>
      <c r="E2152" s="2">
        <v>4.7100000000000003E-2</v>
      </c>
      <c r="F2152" s="2">
        <v>1.09E-2</v>
      </c>
      <c r="G2152" s="2">
        <v>1E-4</v>
      </c>
      <c r="H2152">
        <v>602</v>
      </c>
    </row>
    <row r="2153" spans="1:8" x14ac:dyDescent="0.35">
      <c r="A2153" t="s">
        <v>228</v>
      </c>
      <c r="B2153" t="s">
        <v>228</v>
      </c>
      <c r="C2153" s="2">
        <v>0.87080000000000002</v>
      </c>
      <c r="D2153" s="2">
        <v>9.2299999999999993E-2</v>
      </c>
      <c r="E2153" s="2">
        <v>2.76E-2</v>
      </c>
      <c r="F2153" s="2">
        <v>8.0999999999999996E-3</v>
      </c>
      <c r="G2153" s="2">
        <v>1.1999999999999999E-3</v>
      </c>
      <c r="H2153">
        <v>2476</v>
      </c>
    </row>
    <row r="2155" spans="1:8" x14ac:dyDescent="0.35">
      <c r="A2155" s="1" t="s">
        <v>740</v>
      </c>
    </row>
    <row r="2156" spans="1:8" x14ac:dyDescent="0.35">
      <c r="A2156" t="s">
        <v>219</v>
      </c>
      <c r="B2156" t="s">
        <v>301</v>
      </c>
      <c r="C2156" t="s">
        <v>672</v>
      </c>
      <c r="D2156" t="s">
        <v>673</v>
      </c>
      <c r="E2156" t="s">
        <v>674</v>
      </c>
      <c r="F2156" t="s">
        <v>675</v>
      </c>
      <c r="G2156" t="s">
        <v>277</v>
      </c>
      <c r="H2156" t="s">
        <v>226</v>
      </c>
    </row>
    <row r="2157" spans="1:8" x14ac:dyDescent="0.35">
      <c r="A2157" t="s">
        <v>227</v>
      </c>
      <c r="B2157" t="s">
        <v>263</v>
      </c>
      <c r="C2157" s="2">
        <v>0.86570000000000003</v>
      </c>
      <c r="D2157" s="2">
        <v>9.9299999999999999E-2</v>
      </c>
      <c r="E2157" s="2">
        <v>2.3400000000000001E-2</v>
      </c>
      <c r="F2157" s="2">
        <v>1.09E-2</v>
      </c>
      <c r="G2157" s="2">
        <v>5.9999999999999995E-4</v>
      </c>
      <c r="H2157">
        <v>589</v>
      </c>
    </row>
    <row r="2158" spans="1:8" x14ac:dyDescent="0.35">
      <c r="A2158" t="s">
        <v>227</v>
      </c>
      <c r="B2158" t="s">
        <v>262</v>
      </c>
      <c r="C2158" s="2">
        <v>0.89</v>
      </c>
      <c r="D2158" s="2">
        <v>7.8600000000000003E-2</v>
      </c>
      <c r="E2158" s="2">
        <v>2.98E-2</v>
      </c>
      <c r="F2158" s="2">
        <v>8.9999999999999998E-4</v>
      </c>
      <c r="G2158" s="2">
        <v>5.9999999999999995E-4</v>
      </c>
      <c r="H2158">
        <v>1160</v>
      </c>
    </row>
    <row r="2159" spans="1:8" x14ac:dyDescent="0.35">
      <c r="A2159" t="s">
        <v>227</v>
      </c>
      <c r="B2159" t="s">
        <v>261</v>
      </c>
      <c r="C2159" s="2">
        <v>0.85629999999999995</v>
      </c>
      <c r="D2159" s="2">
        <v>0.1009</v>
      </c>
      <c r="E2159" s="2">
        <v>2.7699999999999999E-2</v>
      </c>
      <c r="F2159" s="2">
        <v>1.3100000000000001E-2</v>
      </c>
      <c r="G2159" s="2">
        <v>2E-3</v>
      </c>
      <c r="H2159">
        <v>1062</v>
      </c>
    </row>
    <row r="2160" spans="1:8" x14ac:dyDescent="0.35">
      <c r="A2160" s="3" t="s">
        <v>227</v>
      </c>
      <c r="B2160" s="3" t="s">
        <v>232</v>
      </c>
      <c r="C2160" s="4">
        <v>1</v>
      </c>
      <c r="D2160" s="5"/>
      <c r="E2160" s="5"/>
      <c r="F2160" s="5"/>
      <c r="G2160" s="5"/>
      <c r="H2160" s="5" t="s">
        <v>434</v>
      </c>
    </row>
    <row r="2161" spans="1:8" x14ac:dyDescent="0.35">
      <c r="A2161" t="s">
        <v>228</v>
      </c>
      <c r="B2161" t="s">
        <v>228</v>
      </c>
      <c r="C2161" s="2">
        <v>0.87080000000000002</v>
      </c>
      <c r="D2161" s="2">
        <v>9.2299999999999993E-2</v>
      </c>
      <c r="E2161" s="2">
        <v>2.76E-2</v>
      </c>
      <c r="F2161" s="2">
        <v>8.0999999999999996E-3</v>
      </c>
      <c r="G2161" s="2">
        <v>1.1999999999999999E-3</v>
      </c>
      <c r="H2161">
        <v>2813</v>
      </c>
    </row>
    <row r="2163" spans="1:8" x14ac:dyDescent="0.35">
      <c r="A2163" s="1" t="s">
        <v>741</v>
      </c>
    </row>
    <row r="2164" spans="1:8" x14ac:dyDescent="0.35">
      <c r="A2164" t="s">
        <v>219</v>
      </c>
      <c r="B2164" t="s">
        <v>301</v>
      </c>
      <c r="C2164" t="s">
        <v>672</v>
      </c>
      <c r="D2164" t="s">
        <v>673</v>
      </c>
      <c r="E2164" t="s">
        <v>674</v>
      </c>
      <c r="F2164" t="s">
        <v>675</v>
      </c>
      <c r="G2164" t="s">
        <v>277</v>
      </c>
      <c r="H2164" t="s">
        <v>226</v>
      </c>
    </row>
    <row r="2165" spans="1:8" x14ac:dyDescent="0.35">
      <c r="A2165" t="s">
        <v>227</v>
      </c>
      <c r="B2165" t="s">
        <v>248</v>
      </c>
      <c r="C2165" s="2">
        <v>0.88759999999999994</v>
      </c>
      <c r="D2165" s="2">
        <v>8.2500000000000004E-2</v>
      </c>
      <c r="E2165" s="2">
        <v>2.2700000000000001E-2</v>
      </c>
      <c r="F2165" s="2">
        <v>4.1000000000000003E-3</v>
      </c>
      <c r="G2165" s="2">
        <v>3.0000000000000001E-3</v>
      </c>
      <c r="H2165">
        <v>796</v>
      </c>
    </row>
    <row r="2166" spans="1:8" x14ac:dyDescent="0.35">
      <c r="A2166" t="s">
        <v>227</v>
      </c>
      <c r="B2166" t="s">
        <v>249</v>
      </c>
      <c r="C2166" s="2">
        <v>0.82</v>
      </c>
      <c r="D2166" s="2">
        <v>0.13239999999999999</v>
      </c>
      <c r="E2166" s="2">
        <v>3.3599999999999998E-2</v>
      </c>
      <c r="F2166" s="2">
        <v>1.32E-2</v>
      </c>
      <c r="G2166" s="2">
        <v>8.0000000000000004E-4</v>
      </c>
      <c r="H2166">
        <v>541</v>
      </c>
    </row>
    <row r="2167" spans="1:8" x14ac:dyDescent="0.35">
      <c r="A2167" t="s">
        <v>227</v>
      </c>
      <c r="B2167" t="s">
        <v>247</v>
      </c>
      <c r="C2167" s="2">
        <v>0.88070000000000004</v>
      </c>
      <c r="D2167" s="2">
        <v>8.2699999999999996E-2</v>
      </c>
      <c r="E2167" s="2">
        <v>2.7900000000000001E-2</v>
      </c>
      <c r="F2167" s="2">
        <v>8.3000000000000001E-3</v>
      </c>
      <c r="G2167" s="2">
        <v>4.0000000000000002E-4</v>
      </c>
      <c r="H2167">
        <v>1476</v>
      </c>
    </row>
    <row r="2168" spans="1:8" x14ac:dyDescent="0.35">
      <c r="A2168" t="s">
        <v>228</v>
      </c>
      <c r="B2168" t="s">
        <v>228</v>
      </c>
      <c r="C2168" s="2">
        <v>0.87080000000000002</v>
      </c>
      <c r="D2168" s="2">
        <v>9.2299999999999993E-2</v>
      </c>
      <c r="E2168" s="2">
        <v>2.76E-2</v>
      </c>
      <c r="F2168" s="2">
        <v>8.0999999999999996E-3</v>
      </c>
      <c r="G2168" s="2">
        <v>1.1999999999999999E-3</v>
      </c>
      <c r="H2168">
        <v>2813</v>
      </c>
    </row>
    <row r="2170" spans="1:8" x14ac:dyDescent="0.35">
      <c r="A2170" s="1" t="s">
        <v>742</v>
      </c>
    </row>
    <row r="2171" spans="1:8" x14ac:dyDescent="0.35">
      <c r="A2171" t="s">
        <v>219</v>
      </c>
      <c r="B2171" t="s">
        <v>301</v>
      </c>
      <c r="C2171" t="s">
        <v>672</v>
      </c>
      <c r="D2171" t="s">
        <v>673</v>
      </c>
      <c r="E2171" t="s">
        <v>674</v>
      </c>
      <c r="F2171" t="s">
        <v>675</v>
      </c>
      <c r="G2171" t="s">
        <v>277</v>
      </c>
      <c r="H2171" t="s">
        <v>226</v>
      </c>
    </row>
    <row r="2172" spans="1:8" x14ac:dyDescent="0.35">
      <c r="A2172" t="s">
        <v>227</v>
      </c>
      <c r="B2172" t="s">
        <v>245</v>
      </c>
      <c r="C2172" s="2">
        <v>0.87729999999999997</v>
      </c>
      <c r="D2172" s="2">
        <v>8.2600000000000007E-2</v>
      </c>
      <c r="E2172" s="2">
        <v>3.1399999999999997E-2</v>
      </c>
      <c r="F2172" s="2">
        <v>8.0000000000000002E-3</v>
      </c>
      <c r="G2172" s="2">
        <v>6.9999999999999999E-4</v>
      </c>
      <c r="H2172">
        <v>783</v>
      </c>
    </row>
    <row r="2173" spans="1:8" x14ac:dyDescent="0.35">
      <c r="A2173" t="s">
        <v>227</v>
      </c>
      <c r="B2173" t="s">
        <v>244</v>
      </c>
      <c r="C2173" s="2">
        <v>0.86829999999999996</v>
      </c>
      <c r="D2173" s="2">
        <v>9.6100000000000005E-2</v>
      </c>
      <c r="E2173" s="2">
        <v>2.6100000000000002E-2</v>
      </c>
      <c r="F2173" s="2">
        <v>8.2000000000000007E-3</v>
      </c>
      <c r="G2173" s="2">
        <v>1.4E-3</v>
      </c>
      <c r="H2173">
        <v>2030</v>
      </c>
    </row>
    <row r="2174" spans="1:8" x14ac:dyDescent="0.35">
      <c r="A2174" t="s">
        <v>228</v>
      </c>
      <c r="B2174" t="s">
        <v>228</v>
      </c>
      <c r="C2174" s="2">
        <v>0.87080000000000002</v>
      </c>
      <c r="D2174" s="2">
        <v>9.2299999999999993E-2</v>
      </c>
      <c r="E2174" s="2">
        <v>2.76E-2</v>
      </c>
      <c r="F2174" s="2">
        <v>8.0999999999999996E-3</v>
      </c>
      <c r="G2174" s="2">
        <v>1.1999999999999999E-3</v>
      </c>
      <c r="H2174">
        <v>2813</v>
      </c>
    </row>
    <row r="2176" spans="1:8" x14ac:dyDescent="0.35">
      <c r="A2176" s="1" t="s">
        <v>743</v>
      </c>
    </row>
    <row r="2177" spans="1:8" x14ac:dyDescent="0.35">
      <c r="A2177" t="s">
        <v>219</v>
      </c>
      <c r="B2177" t="s">
        <v>301</v>
      </c>
      <c r="C2177" t="s">
        <v>672</v>
      </c>
      <c r="D2177" t="s">
        <v>673</v>
      </c>
      <c r="E2177" t="s">
        <v>674</v>
      </c>
      <c r="F2177" t="s">
        <v>675</v>
      </c>
      <c r="G2177" t="s">
        <v>277</v>
      </c>
      <c r="H2177" t="s">
        <v>226</v>
      </c>
    </row>
    <row r="2178" spans="1:8" x14ac:dyDescent="0.35">
      <c r="A2178" t="s">
        <v>227</v>
      </c>
      <c r="B2178" t="s">
        <v>259</v>
      </c>
      <c r="C2178" s="2">
        <v>0.76870000000000005</v>
      </c>
      <c r="D2178" s="2">
        <v>0.2122</v>
      </c>
      <c r="E2178" s="2">
        <v>1.9099999999999999E-2</v>
      </c>
      <c r="H2178">
        <v>69</v>
      </c>
    </row>
    <row r="2179" spans="1:8" x14ac:dyDescent="0.35">
      <c r="A2179" t="s">
        <v>227</v>
      </c>
      <c r="B2179" t="s">
        <v>257</v>
      </c>
      <c r="C2179" s="2">
        <v>0.85540000000000005</v>
      </c>
      <c r="D2179" s="2">
        <v>0.1051</v>
      </c>
      <c r="E2179" s="2">
        <v>3.2599999999999997E-2</v>
      </c>
      <c r="F2179" s="2">
        <v>6.1000000000000004E-3</v>
      </c>
      <c r="G2179" s="2">
        <v>8.0000000000000004E-4</v>
      </c>
      <c r="H2179">
        <v>405</v>
      </c>
    </row>
    <row r="2180" spans="1:8" x14ac:dyDescent="0.35">
      <c r="A2180" t="s">
        <v>227</v>
      </c>
      <c r="B2180" t="s">
        <v>256</v>
      </c>
      <c r="C2180" s="2">
        <v>0.88870000000000005</v>
      </c>
      <c r="D2180" s="2">
        <v>7.7399999999999997E-2</v>
      </c>
      <c r="E2180" s="2">
        <v>2.4799999999999999E-2</v>
      </c>
      <c r="F2180" s="2">
        <v>7.7000000000000002E-3</v>
      </c>
      <c r="G2180" s="2">
        <v>1.2999999999999999E-3</v>
      </c>
      <c r="H2180">
        <v>1803</v>
      </c>
    </row>
    <row r="2181" spans="1:8" x14ac:dyDescent="0.35">
      <c r="A2181" s="3" t="s">
        <v>227</v>
      </c>
      <c r="B2181" s="3" t="s">
        <v>232</v>
      </c>
      <c r="C2181" s="4">
        <v>0.69359999999999999</v>
      </c>
      <c r="D2181" s="4">
        <v>0.30640000000000001</v>
      </c>
      <c r="E2181" s="5"/>
      <c r="F2181" s="5"/>
      <c r="G2181" s="5"/>
      <c r="H2181" s="5" t="s">
        <v>307</v>
      </c>
    </row>
    <row r="2182" spans="1:8" x14ac:dyDescent="0.35">
      <c r="A2182" t="s">
        <v>227</v>
      </c>
      <c r="B2182" t="s">
        <v>258</v>
      </c>
      <c r="C2182" s="2">
        <v>0.8216</v>
      </c>
      <c r="D2182" s="2">
        <v>0.128</v>
      </c>
      <c r="E2182" s="2">
        <v>3.5499999999999997E-2</v>
      </c>
      <c r="F2182" s="2">
        <v>1.3299999999999999E-2</v>
      </c>
      <c r="G2182" s="2">
        <v>1.6000000000000001E-3</v>
      </c>
      <c r="H2182">
        <v>525</v>
      </c>
    </row>
    <row r="2183" spans="1:8" x14ac:dyDescent="0.35">
      <c r="A2183" t="s">
        <v>228</v>
      </c>
      <c r="B2183" t="s">
        <v>228</v>
      </c>
      <c r="C2183" s="2">
        <v>0.87080000000000002</v>
      </c>
      <c r="D2183" s="2">
        <v>9.2299999999999993E-2</v>
      </c>
      <c r="E2183" s="2">
        <v>2.76E-2</v>
      </c>
      <c r="F2183" s="2">
        <v>8.0999999999999996E-3</v>
      </c>
      <c r="G2183" s="2">
        <v>1.1999999999999999E-3</v>
      </c>
      <c r="H2183">
        <v>2813</v>
      </c>
    </row>
    <row r="2185" spans="1:8" x14ac:dyDescent="0.35">
      <c r="A2185" s="1" t="s">
        <v>744</v>
      </c>
    </row>
    <row r="2186" spans="1:8" x14ac:dyDescent="0.35">
      <c r="A2186" t="s">
        <v>219</v>
      </c>
      <c r="B2186" t="s">
        <v>301</v>
      </c>
      <c r="C2186" t="s">
        <v>672</v>
      </c>
      <c r="D2186" t="s">
        <v>673</v>
      </c>
      <c r="E2186" t="s">
        <v>674</v>
      </c>
      <c r="F2186" t="s">
        <v>675</v>
      </c>
      <c r="G2186" t="s">
        <v>277</v>
      </c>
      <c r="H2186" t="s">
        <v>226</v>
      </c>
    </row>
    <row r="2187" spans="1:8" x14ac:dyDescent="0.35">
      <c r="A2187" t="s">
        <v>227</v>
      </c>
      <c r="B2187" t="s">
        <v>343</v>
      </c>
      <c r="C2187" s="2">
        <v>0.85540000000000005</v>
      </c>
      <c r="D2187" s="2">
        <v>0.1051</v>
      </c>
      <c r="E2187" s="2">
        <v>3.2599999999999997E-2</v>
      </c>
      <c r="F2187" s="2">
        <v>6.1000000000000004E-3</v>
      </c>
      <c r="G2187" s="2">
        <v>8.0000000000000004E-4</v>
      </c>
      <c r="H2187">
        <v>405</v>
      </c>
    </row>
    <row r="2188" spans="1:8" x14ac:dyDescent="0.35">
      <c r="A2188" t="s">
        <v>227</v>
      </c>
      <c r="B2188" t="s">
        <v>344</v>
      </c>
      <c r="C2188" s="2">
        <v>0.87390000000000001</v>
      </c>
      <c r="D2188" s="2">
        <v>8.9700000000000002E-2</v>
      </c>
      <c r="E2188" s="2">
        <v>2.6499999999999999E-2</v>
      </c>
      <c r="F2188" s="2">
        <v>8.5000000000000006E-3</v>
      </c>
      <c r="G2188" s="2">
        <v>1.2999999999999999E-3</v>
      </c>
      <c r="H2188">
        <v>2408</v>
      </c>
    </row>
    <row r="2189" spans="1:8" x14ac:dyDescent="0.35">
      <c r="A2189" t="s">
        <v>228</v>
      </c>
      <c r="B2189" t="s">
        <v>228</v>
      </c>
      <c r="C2189" s="2">
        <v>0.87080000000000002</v>
      </c>
      <c r="D2189" s="2">
        <v>9.2299999999999993E-2</v>
      </c>
      <c r="E2189" s="2">
        <v>2.76E-2</v>
      </c>
      <c r="F2189" s="2">
        <v>8.0999999999999996E-3</v>
      </c>
      <c r="G2189" s="2">
        <v>1.1999999999999999E-3</v>
      </c>
      <c r="H2189">
        <v>2813</v>
      </c>
    </row>
    <row r="2191" spans="1:8" x14ac:dyDescent="0.35">
      <c r="A2191" s="1" t="s">
        <v>745</v>
      </c>
    </row>
    <row r="2192" spans="1:8" x14ac:dyDescent="0.35">
      <c r="A2192" t="s">
        <v>219</v>
      </c>
      <c r="B2192" t="s">
        <v>301</v>
      </c>
      <c r="C2192" t="s">
        <v>672</v>
      </c>
      <c r="D2192" t="s">
        <v>673</v>
      </c>
      <c r="E2192" t="s">
        <v>674</v>
      </c>
      <c r="F2192" t="s">
        <v>675</v>
      </c>
      <c r="G2192" t="s">
        <v>277</v>
      </c>
      <c r="H2192" t="s">
        <v>226</v>
      </c>
    </row>
    <row r="2193" spans="1:8" x14ac:dyDescent="0.35">
      <c r="A2193" t="s">
        <v>227</v>
      </c>
      <c r="B2193" t="s">
        <v>346</v>
      </c>
      <c r="C2193" s="2">
        <v>0.87170000000000003</v>
      </c>
      <c r="D2193" s="2">
        <v>9.0700000000000003E-2</v>
      </c>
      <c r="E2193" s="2">
        <v>2.8000000000000001E-2</v>
      </c>
      <c r="F2193" s="2">
        <v>8.6E-3</v>
      </c>
      <c r="G2193" s="2">
        <v>1E-3</v>
      </c>
      <c r="H2193">
        <v>1463</v>
      </c>
    </row>
    <row r="2194" spans="1:8" x14ac:dyDescent="0.35">
      <c r="A2194" t="s">
        <v>227</v>
      </c>
      <c r="B2194" t="s">
        <v>347</v>
      </c>
      <c r="C2194" s="2">
        <v>0.8659</v>
      </c>
      <c r="D2194" s="2">
        <v>7.9600000000000004E-2</v>
      </c>
      <c r="E2194" s="2">
        <v>4.4400000000000002E-2</v>
      </c>
      <c r="F2194" s="2">
        <v>2.5999999999999999E-3</v>
      </c>
      <c r="G2194" s="2">
        <v>7.4999999999999997E-3</v>
      </c>
      <c r="H2194">
        <v>585</v>
      </c>
    </row>
    <row r="2195" spans="1:8" x14ac:dyDescent="0.35">
      <c r="A2195" t="s">
        <v>227</v>
      </c>
      <c r="B2195" t="s">
        <v>348</v>
      </c>
      <c r="C2195" s="2">
        <v>0.86480000000000001</v>
      </c>
      <c r="D2195" s="2">
        <v>0.1114</v>
      </c>
      <c r="E2195" s="2">
        <v>1.7299999999999999E-2</v>
      </c>
      <c r="F2195" s="2">
        <v>6.1000000000000004E-3</v>
      </c>
      <c r="G2195" s="2">
        <v>5.0000000000000001E-4</v>
      </c>
      <c r="H2195">
        <v>765</v>
      </c>
    </row>
    <row r="2196" spans="1:8" x14ac:dyDescent="0.35">
      <c r="A2196" t="s">
        <v>228</v>
      </c>
      <c r="B2196" t="s">
        <v>228</v>
      </c>
      <c r="C2196" s="2">
        <v>0.87080000000000002</v>
      </c>
      <c r="D2196" s="2">
        <v>9.2299999999999993E-2</v>
      </c>
      <c r="E2196" s="2">
        <v>2.76E-2</v>
      </c>
      <c r="F2196" s="2">
        <v>8.0999999999999996E-3</v>
      </c>
      <c r="G2196" s="2">
        <v>1.1999999999999999E-3</v>
      </c>
      <c r="H2196">
        <v>2813</v>
      </c>
    </row>
    <row r="2198" spans="1:8" x14ac:dyDescent="0.35">
      <c r="A2198" s="1" t="s">
        <v>746</v>
      </c>
    </row>
    <row r="2199" spans="1:8" x14ac:dyDescent="0.35">
      <c r="A2199" t="s">
        <v>219</v>
      </c>
      <c r="B2199" t="s">
        <v>301</v>
      </c>
      <c r="C2199" t="s">
        <v>672</v>
      </c>
      <c r="D2199" t="s">
        <v>673</v>
      </c>
      <c r="E2199" t="s">
        <v>674</v>
      </c>
      <c r="F2199" t="s">
        <v>675</v>
      </c>
      <c r="G2199" t="s">
        <v>277</v>
      </c>
      <c r="H2199" t="s">
        <v>226</v>
      </c>
    </row>
    <row r="2200" spans="1:8" x14ac:dyDescent="0.35">
      <c r="A2200" t="s">
        <v>227</v>
      </c>
      <c r="B2200" t="s">
        <v>251</v>
      </c>
      <c r="C2200" s="2">
        <v>0.86829999999999996</v>
      </c>
      <c r="D2200" s="2">
        <v>9.6100000000000005E-2</v>
      </c>
      <c r="E2200" s="2">
        <v>2.6100000000000002E-2</v>
      </c>
      <c r="F2200" s="2">
        <v>8.2000000000000007E-3</v>
      </c>
      <c r="G2200" s="2">
        <v>1.4E-3</v>
      </c>
      <c r="H2200">
        <v>2030</v>
      </c>
    </row>
    <row r="2201" spans="1:8" x14ac:dyDescent="0.35">
      <c r="A2201" t="s">
        <v>227</v>
      </c>
      <c r="B2201" t="s">
        <v>252</v>
      </c>
      <c r="C2201" s="2">
        <v>0.86219999999999997</v>
      </c>
      <c r="D2201" s="2">
        <v>8.9899999999999994E-2</v>
      </c>
      <c r="E2201" s="2">
        <v>3.7999999999999999E-2</v>
      </c>
      <c r="F2201" s="2">
        <v>9.9000000000000008E-3</v>
      </c>
      <c r="H2201">
        <v>621</v>
      </c>
    </row>
    <row r="2202" spans="1:8" x14ac:dyDescent="0.35">
      <c r="A2202" t="s">
        <v>227</v>
      </c>
      <c r="B2202" t="s">
        <v>253</v>
      </c>
      <c r="C2202" s="2">
        <v>0.9395</v>
      </c>
      <c r="D2202" s="2">
        <v>5.3400000000000003E-2</v>
      </c>
      <c r="E2202" s="2">
        <v>3.5000000000000001E-3</v>
      </c>
      <c r="G2202" s="2">
        <v>3.5999999999999999E-3</v>
      </c>
      <c r="H2202">
        <v>153</v>
      </c>
    </row>
    <row r="2203" spans="1:8" x14ac:dyDescent="0.35">
      <c r="A2203" s="3" t="s">
        <v>227</v>
      </c>
      <c r="B2203" s="3" t="s">
        <v>254</v>
      </c>
      <c r="C2203" s="4">
        <v>0.98570000000000002</v>
      </c>
      <c r="D2203" s="4">
        <v>1.43E-2</v>
      </c>
      <c r="E2203" s="5"/>
      <c r="F2203" s="5"/>
      <c r="G2203" s="5"/>
      <c r="H2203" s="5" t="s">
        <v>515</v>
      </c>
    </row>
    <row r="2204" spans="1:8" x14ac:dyDescent="0.35">
      <c r="A2204" t="s">
        <v>228</v>
      </c>
      <c r="B2204" t="s">
        <v>228</v>
      </c>
      <c r="C2204" s="2">
        <v>0.87080000000000002</v>
      </c>
      <c r="D2204" s="2">
        <v>9.2299999999999993E-2</v>
      </c>
      <c r="E2204" s="2">
        <v>2.76E-2</v>
      </c>
      <c r="F2204" s="2">
        <v>8.0999999999999996E-3</v>
      </c>
      <c r="G2204" s="2">
        <v>1.1999999999999999E-3</v>
      </c>
      <c r="H2204">
        <v>2813</v>
      </c>
    </row>
    <row r="2206" spans="1:8" x14ac:dyDescent="0.35">
      <c r="A2206" s="1" t="s">
        <v>747</v>
      </c>
    </row>
    <row r="2207" spans="1:8" x14ac:dyDescent="0.35">
      <c r="A2207" t="s">
        <v>219</v>
      </c>
      <c r="B2207" t="s">
        <v>299</v>
      </c>
      <c r="C2207" t="s">
        <v>298</v>
      </c>
      <c r="D2207" t="s">
        <v>277</v>
      </c>
      <c r="E2207" t="s">
        <v>226</v>
      </c>
    </row>
    <row r="2208" spans="1:8" x14ac:dyDescent="0.35">
      <c r="A2208" t="s">
        <v>227</v>
      </c>
      <c r="B2208" s="2">
        <v>0.76939999999999997</v>
      </c>
      <c r="C2208" s="2">
        <v>0.2233</v>
      </c>
      <c r="D2208" s="2">
        <v>7.3000000000000001E-3</v>
      </c>
      <c r="E2208">
        <v>702</v>
      </c>
    </row>
    <row r="2209" spans="1:6" x14ac:dyDescent="0.35">
      <c r="A2209" t="s">
        <v>228</v>
      </c>
      <c r="B2209" s="2">
        <v>0.76939999999999997</v>
      </c>
      <c r="C2209" s="2">
        <v>0.2233</v>
      </c>
      <c r="D2209" s="2">
        <v>7.3000000000000001E-3</v>
      </c>
      <c r="E2209">
        <v>702</v>
      </c>
    </row>
    <row r="2211" spans="1:6" x14ac:dyDescent="0.35">
      <c r="A2211" s="1" t="s">
        <v>748</v>
      </c>
    </row>
    <row r="2212" spans="1:6" x14ac:dyDescent="0.35">
      <c r="A2212" t="s">
        <v>219</v>
      </c>
      <c r="B2212" t="s">
        <v>301</v>
      </c>
      <c r="C2212" t="s">
        <v>299</v>
      </c>
      <c r="D2212" t="s">
        <v>298</v>
      </c>
      <c r="E2212" t="s">
        <v>277</v>
      </c>
      <c r="F2212" t="s">
        <v>226</v>
      </c>
    </row>
    <row r="2213" spans="1:6" x14ac:dyDescent="0.35">
      <c r="A2213" t="s">
        <v>227</v>
      </c>
      <c r="B2213" t="s">
        <v>238</v>
      </c>
      <c r="C2213" s="2">
        <v>0.78990000000000005</v>
      </c>
      <c r="D2213" s="2">
        <v>0.20069999999999999</v>
      </c>
      <c r="E2213" s="2">
        <v>9.4000000000000004E-3</v>
      </c>
      <c r="F2213">
        <v>205</v>
      </c>
    </row>
    <row r="2214" spans="1:6" x14ac:dyDescent="0.35">
      <c r="A2214" t="s">
        <v>227</v>
      </c>
      <c r="B2214" t="s">
        <v>237</v>
      </c>
      <c r="C2214" s="2">
        <v>0.76080000000000003</v>
      </c>
      <c r="D2214" s="2">
        <v>0.23269999999999999</v>
      </c>
      <c r="E2214" s="2">
        <v>6.4999999999999997E-3</v>
      </c>
      <c r="F2214">
        <v>497</v>
      </c>
    </row>
    <row r="2215" spans="1:6" x14ac:dyDescent="0.35">
      <c r="A2215" t="s">
        <v>228</v>
      </c>
      <c r="B2215" t="s">
        <v>228</v>
      </c>
      <c r="C2215" s="2">
        <v>0.76939999999999997</v>
      </c>
      <c r="D2215" s="2">
        <v>0.2233</v>
      </c>
      <c r="E2215" s="2">
        <v>7.3000000000000001E-3</v>
      </c>
      <c r="F2215">
        <v>702</v>
      </c>
    </row>
    <row r="2217" spans="1:6" x14ac:dyDescent="0.35">
      <c r="A2217" s="1" t="s">
        <v>749</v>
      </c>
    </row>
    <row r="2218" spans="1:6" x14ac:dyDescent="0.35">
      <c r="A2218" t="s">
        <v>219</v>
      </c>
      <c r="B2218" t="s">
        <v>301</v>
      </c>
      <c r="C2218" t="s">
        <v>299</v>
      </c>
      <c r="D2218" t="s">
        <v>298</v>
      </c>
      <c r="E2218" t="s">
        <v>277</v>
      </c>
      <c r="F2218" t="s">
        <v>226</v>
      </c>
    </row>
    <row r="2219" spans="1:6" x14ac:dyDescent="0.35">
      <c r="A2219" t="s">
        <v>227</v>
      </c>
      <c r="B2219" t="s">
        <v>235</v>
      </c>
      <c r="C2219" s="2">
        <v>0.76970000000000005</v>
      </c>
      <c r="D2219" s="2">
        <v>0.21299999999999999</v>
      </c>
      <c r="E2219" s="2">
        <v>1.72E-2</v>
      </c>
      <c r="F2219">
        <v>269</v>
      </c>
    </row>
    <row r="2220" spans="1:6" x14ac:dyDescent="0.35">
      <c r="A2220" t="s">
        <v>227</v>
      </c>
      <c r="B2220" t="s">
        <v>234</v>
      </c>
      <c r="C2220" s="2">
        <v>0.76919999999999999</v>
      </c>
      <c r="D2220" s="2">
        <v>0.2286</v>
      </c>
      <c r="E2220" s="2">
        <v>2.3E-3</v>
      </c>
      <c r="F2220">
        <v>433</v>
      </c>
    </row>
    <row r="2221" spans="1:6" x14ac:dyDescent="0.35">
      <c r="A2221" t="s">
        <v>228</v>
      </c>
      <c r="B2221" t="s">
        <v>228</v>
      </c>
      <c r="C2221" s="2">
        <v>0.76939999999999997</v>
      </c>
      <c r="D2221" s="2">
        <v>0.2233</v>
      </c>
      <c r="E2221" s="2">
        <v>7.3000000000000001E-3</v>
      </c>
      <c r="F2221">
        <v>702</v>
      </c>
    </row>
    <row r="2223" spans="1:6" x14ac:dyDescent="0.35">
      <c r="A2223" s="1" t="s">
        <v>750</v>
      </c>
    </row>
    <row r="2224" spans="1:6" x14ac:dyDescent="0.35">
      <c r="A2224" t="s">
        <v>219</v>
      </c>
      <c r="B2224" t="s">
        <v>301</v>
      </c>
      <c r="C2224" t="s">
        <v>299</v>
      </c>
      <c r="D2224" t="s">
        <v>298</v>
      </c>
      <c r="E2224" t="s">
        <v>277</v>
      </c>
      <c r="F2224" t="s">
        <v>226</v>
      </c>
    </row>
    <row r="2225" spans="1:6" x14ac:dyDescent="0.35">
      <c r="A2225" t="s">
        <v>227</v>
      </c>
      <c r="B2225" t="s">
        <v>240</v>
      </c>
      <c r="C2225" s="2">
        <v>0.75660000000000005</v>
      </c>
      <c r="D2225" s="2">
        <v>0.23400000000000001</v>
      </c>
      <c r="E2225" s="2">
        <v>9.2999999999999992E-3</v>
      </c>
      <c r="F2225">
        <v>563</v>
      </c>
    </row>
    <row r="2226" spans="1:6" x14ac:dyDescent="0.35">
      <c r="A2226" t="s">
        <v>227</v>
      </c>
      <c r="B2226" t="s">
        <v>242</v>
      </c>
      <c r="C2226" s="2">
        <v>0.81579999999999997</v>
      </c>
      <c r="D2226" s="2">
        <v>0.1842</v>
      </c>
      <c r="F2226">
        <v>139</v>
      </c>
    </row>
    <row r="2227" spans="1:6" x14ac:dyDescent="0.35">
      <c r="A2227" t="s">
        <v>228</v>
      </c>
      <c r="B2227" t="s">
        <v>228</v>
      </c>
      <c r="C2227" s="2">
        <v>0.76939999999999997</v>
      </c>
      <c r="D2227" s="2">
        <v>0.2233</v>
      </c>
      <c r="E2227" s="2">
        <v>7.3000000000000001E-3</v>
      </c>
      <c r="F2227">
        <v>702</v>
      </c>
    </row>
    <row r="2229" spans="1:6" x14ac:dyDescent="0.35">
      <c r="A2229" s="1" t="s">
        <v>751</v>
      </c>
    </row>
    <row r="2230" spans="1:6" x14ac:dyDescent="0.35">
      <c r="A2230" t="s">
        <v>219</v>
      </c>
      <c r="B2230" t="s">
        <v>301</v>
      </c>
      <c r="C2230" t="s">
        <v>299</v>
      </c>
      <c r="D2230" t="s">
        <v>298</v>
      </c>
      <c r="E2230" t="s">
        <v>277</v>
      </c>
      <c r="F2230" t="s">
        <v>226</v>
      </c>
    </row>
    <row r="2231" spans="1:6" x14ac:dyDescent="0.35">
      <c r="A2231" t="s">
        <v>227</v>
      </c>
      <c r="B2231" t="s">
        <v>334</v>
      </c>
      <c r="C2231" s="2">
        <v>0.76490000000000002</v>
      </c>
      <c r="D2231" s="2">
        <v>0.2351</v>
      </c>
      <c r="F2231">
        <v>183</v>
      </c>
    </row>
    <row r="2232" spans="1:6" x14ac:dyDescent="0.35">
      <c r="A2232" t="s">
        <v>227</v>
      </c>
      <c r="B2232" t="s">
        <v>335</v>
      </c>
      <c r="C2232" s="2">
        <v>0.78400000000000003</v>
      </c>
      <c r="D2232" s="2">
        <v>0.20480000000000001</v>
      </c>
      <c r="E2232" s="2">
        <v>1.12E-2</v>
      </c>
      <c r="F2232">
        <v>127</v>
      </c>
    </row>
    <row r="2233" spans="1:6" x14ac:dyDescent="0.35">
      <c r="A2233" t="s">
        <v>227</v>
      </c>
      <c r="B2233" t="s">
        <v>336</v>
      </c>
      <c r="C2233" s="2">
        <v>0.7127</v>
      </c>
      <c r="D2233" s="2">
        <v>0.27460000000000001</v>
      </c>
      <c r="E2233" s="2">
        <v>1.26E-2</v>
      </c>
      <c r="F2233">
        <v>161</v>
      </c>
    </row>
    <row r="2234" spans="1:6" x14ac:dyDescent="0.35">
      <c r="A2234" t="s">
        <v>227</v>
      </c>
      <c r="B2234" t="s">
        <v>337</v>
      </c>
      <c r="C2234" s="2">
        <v>0.85140000000000005</v>
      </c>
      <c r="D2234" s="2">
        <v>0.14119999999999999</v>
      </c>
      <c r="E2234" s="2">
        <v>7.4000000000000003E-3</v>
      </c>
      <c r="F2234">
        <v>137</v>
      </c>
    </row>
    <row r="2235" spans="1:6" x14ac:dyDescent="0.35">
      <c r="A2235" t="s">
        <v>228</v>
      </c>
      <c r="B2235" t="s">
        <v>228</v>
      </c>
      <c r="C2235" s="2">
        <v>0.76939999999999997</v>
      </c>
      <c r="D2235" s="2">
        <v>0.2233</v>
      </c>
      <c r="E2235" s="2">
        <v>7.3000000000000001E-3</v>
      </c>
      <c r="F2235">
        <v>608</v>
      </c>
    </row>
    <row r="2237" spans="1:6" x14ac:dyDescent="0.35">
      <c r="A2237" s="1" t="s">
        <v>752</v>
      </c>
    </row>
    <row r="2238" spans="1:6" x14ac:dyDescent="0.35">
      <c r="A2238" t="s">
        <v>219</v>
      </c>
      <c r="B2238" t="s">
        <v>301</v>
      </c>
      <c r="C2238" t="s">
        <v>299</v>
      </c>
      <c r="D2238" t="s">
        <v>298</v>
      </c>
      <c r="E2238" t="s">
        <v>277</v>
      </c>
      <c r="F2238" t="s">
        <v>226</v>
      </c>
    </row>
    <row r="2239" spans="1:6" x14ac:dyDescent="0.35">
      <c r="A2239" t="s">
        <v>227</v>
      </c>
      <c r="B2239" t="s">
        <v>263</v>
      </c>
      <c r="C2239" s="2">
        <v>0.79920000000000002</v>
      </c>
      <c r="D2239" s="2">
        <v>0.19289999999999999</v>
      </c>
      <c r="E2239" s="2">
        <v>7.9000000000000008E-3</v>
      </c>
      <c r="F2239">
        <v>108</v>
      </c>
    </row>
    <row r="2240" spans="1:6" x14ac:dyDescent="0.35">
      <c r="A2240" t="s">
        <v>227</v>
      </c>
      <c r="B2240" t="s">
        <v>262</v>
      </c>
      <c r="C2240" s="2">
        <v>0.66890000000000005</v>
      </c>
      <c r="D2240" s="2">
        <v>0.32900000000000001</v>
      </c>
      <c r="E2240" s="2">
        <v>2.0999999999999999E-3</v>
      </c>
      <c r="F2240">
        <v>237</v>
      </c>
    </row>
    <row r="2241" spans="1:6" x14ac:dyDescent="0.35">
      <c r="A2241" t="s">
        <v>227</v>
      </c>
      <c r="B2241" t="s">
        <v>261</v>
      </c>
      <c r="C2241" s="2">
        <v>0.81410000000000005</v>
      </c>
      <c r="D2241" s="2">
        <v>0.17599999999999999</v>
      </c>
      <c r="E2241" s="2">
        <v>9.9000000000000008E-3</v>
      </c>
      <c r="F2241">
        <v>357</v>
      </c>
    </row>
    <row r="2242" spans="1:6" x14ac:dyDescent="0.35">
      <c r="A2242" t="s">
        <v>228</v>
      </c>
      <c r="B2242" t="s">
        <v>228</v>
      </c>
      <c r="C2242" s="2">
        <v>0.76939999999999997</v>
      </c>
      <c r="D2242" s="2">
        <v>0.2233</v>
      </c>
      <c r="E2242" s="2">
        <v>7.3000000000000001E-3</v>
      </c>
      <c r="F2242">
        <v>702</v>
      </c>
    </row>
    <row r="2244" spans="1:6" x14ac:dyDescent="0.35">
      <c r="A2244" s="1" t="s">
        <v>753</v>
      </c>
    </row>
    <row r="2245" spans="1:6" x14ac:dyDescent="0.35">
      <c r="A2245" t="s">
        <v>219</v>
      </c>
      <c r="B2245" t="s">
        <v>301</v>
      </c>
      <c r="C2245" t="s">
        <v>299</v>
      </c>
      <c r="D2245" t="s">
        <v>298</v>
      </c>
      <c r="E2245" t="s">
        <v>277</v>
      </c>
      <c r="F2245" t="s">
        <v>226</v>
      </c>
    </row>
    <row r="2246" spans="1:6" x14ac:dyDescent="0.35">
      <c r="A2246" s="3" t="s">
        <v>227</v>
      </c>
      <c r="B2246" s="3" t="s">
        <v>248</v>
      </c>
      <c r="C2246" s="4">
        <v>0.13900000000000001</v>
      </c>
      <c r="D2246" s="4">
        <v>0.86099999999999999</v>
      </c>
      <c r="E2246" s="5"/>
      <c r="F2246" s="5" t="s">
        <v>327</v>
      </c>
    </row>
    <row r="2247" spans="1:6" x14ac:dyDescent="0.35">
      <c r="A2247" t="s">
        <v>227</v>
      </c>
      <c r="B2247" t="s">
        <v>249</v>
      </c>
      <c r="C2247" s="2">
        <v>0.77659999999999996</v>
      </c>
      <c r="D2247" s="2">
        <v>0.2203</v>
      </c>
      <c r="E2247" s="2">
        <v>3.2000000000000002E-3</v>
      </c>
      <c r="F2247">
        <v>143</v>
      </c>
    </row>
    <row r="2248" spans="1:6" x14ac:dyDescent="0.35">
      <c r="A2248" t="s">
        <v>227</v>
      </c>
      <c r="B2248" t="s">
        <v>247</v>
      </c>
      <c r="C2248" s="2">
        <v>0.78300000000000003</v>
      </c>
      <c r="D2248" s="2">
        <v>0.20849999999999999</v>
      </c>
      <c r="E2248" s="2">
        <v>8.6E-3</v>
      </c>
      <c r="F2248">
        <v>554</v>
      </c>
    </row>
    <row r="2249" spans="1:6" x14ac:dyDescent="0.35">
      <c r="A2249" t="s">
        <v>228</v>
      </c>
      <c r="B2249" t="s">
        <v>228</v>
      </c>
      <c r="C2249" s="2">
        <v>0.76939999999999997</v>
      </c>
      <c r="D2249" s="2">
        <v>0.2233</v>
      </c>
      <c r="E2249" s="2">
        <v>7.3000000000000001E-3</v>
      </c>
      <c r="F2249">
        <v>702</v>
      </c>
    </row>
    <row r="2251" spans="1:6" x14ac:dyDescent="0.35">
      <c r="A2251" s="1" t="s">
        <v>754</v>
      </c>
    </row>
    <row r="2252" spans="1:6" x14ac:dyDescent="0.35">
      <c r="A2252" t="s">
        <v>219</v>
      </c>
      <c r="B2252" t="s">
        <v>301</v>
      </c>
      <c r="C2252" t="s">
        <v>299</v>
      </c>
      <c r="D2252" t="s">
        <v>298</v>
      </c>
      <c r="E2252" t="s">
        <v>277</v>
      </c>
      <c r="F2252" t="s">
        <v>226</v>
      </c>
    </row>
    <row r="2253" spans="1:6" x14ac:dyDescent="0.35">
      <c r="A2253" s="3" t="s">
        <v>227</v>
      </c>
      <c r="B2253" s="3" t="s">
        <v>259</v>
      </c>
      <c r="C2253" s="4">
        <v>0.59689999999999999</v>
      </c>
      <c r="D2253" s="4">
        <v>0.40310000000000001</v>
      </c>
      <c r="E2253" s="5"/>
      <c r="F2253" s="5" t="s">
        <v>522</v>
      </c>
    </row>
    <row r="2254" spans="1:6" x14ac:dyDescent="0.35">
      <c r="A2254" t="s">
        <v>227</v>
      </c>
      <c r="B2254" t="s">
        <v>257</v>
      </c>
      <c r="C2254" s="2">
        <v>0.62639999999999996</v>
      </c>
      <c r="D2254" s="2">
        <v>0.35589999999999999</v>
      </c>
      <c r="E2254" s="2">
        <v>1.77E-2</v>
      </c>
      <c r="F2254">
        <v>116</v>
      </c>
    </row>
    <row r="2255" spans="1:6" x14ac:dyDescent="0.35">
      <c r="A2255" t="s">
        <v>227</v>
      </c>
      <c r="B2255" t="s">
        <v>256</v>
      </c>
      <c r="C2255" s="2">
        <v>0.81240000000000001</v>
      </c>
      <c r="D2255" s="2">
        <v>0.18229999999999999</v>
      </c>
      <c r="E2255" s="2">
        <v>5.1999999999999998E-3</v>
      </c>
      <c r="F2255">
        <v>374</v>
      </c>
    </row>
    <row r="2256" spans="1:6" x14ac:dyDescent="0.35">
      <c r="A2256" s="3" t="s">
        <v>227</v>
      </c>
      <c r="B2256" s="3" t="s">
        <v>232</v>
      </c>
      <c r="C2256" s="4">
        <v>0.54979999999999996</v>
      </c>
      <c r="D2256" s="4">
        <v>0.45019999999999999</v>
      </c>
      <c r="E2256" s="5"/>
      <c r="F2256" s="5" t="s">
        <v>438</v>
      </c>
    </row>
    <row r="2257" spans="1:6" x14ac:dyDescent="0.35">
      <c r="A2257" t="s">
        <v>227</v>
      </c>
      <c r="B2257" t="s">
        <v>258</v>
      </c>
      <c r="C2257" s="2">
        <v>0.77139999999999997</v>
      </c>
      <c r="D2257" s="2">
        <v>0.22220000000000001</v>
      </c>
      <c r="E2257" s="2">
        <v>6.4000000000000003E-3</v>
      </c>
      <c r="F2257">
        <v>193</v>
      </c>
    </row>
    <row r="2258" spans="1:6" x14ac:dyDescent="0.35">
      <c r="A2258" t="s">
        <v>228</v>
      </c>
      <c r="B2258" t="s">
        <v>228</v>
      </c>
      <c r="C2258" s="2">
        <v>0.76939999999999997</v>
      </c>
      <c r="D2258" s="2">
        <v>0.2233</v>
      </c>
      <c r="E2258" s="2">
        <v>7.3000000000000001E-3</v>
      </c>
      <c r="F2258">
        <v>702</v>
      </c>
    </row>
    <row r="2260" spans="1:6" x14ac:dyDescent="0.35">
      <c r="A2260" s="1" t="s">
        <v>755</v>
      </c>
    </row>
    <row r="2261" spans="1:6" x14ac:dyDescent="0.35">
      <c r="A2261" t="s">
        <v>219</v>
      </c>
      <c r="B2261" t="s">
        <v>301</v>
      </c>
      <c r="C2261" t="s">
        <v>299</v>
      </c>
      <c r="D2261" t="s">
        <v>298</v>
      </c>
      <c r="E2261" t="s">
        <v>277</v>
      </c>
      <c r="F2261" t="s">
        <v>226</v>
      </c>
    </row>
    <row r="2262" spans="1:6" x14ac:dyDescent="0.35">
      <c r="A2262" t="s">
        <v>227</v>
      </c>
      <c r="B2262" t="s">
        <v>343</v>
      </c>
      <c r="C2262" s="2">
        <v>0.62639999999999996</v>
      </c>
      <c r="D2262" s="2">
        <v>0.35589999999999999</v>
      </c>
      <c r="E2262" s="2">
        <v>1.77E-2</v>
      </c>
      <c r="F2262">
        <v>116</v>
      </c>
    </row>
    <row r="2263" spans="1:6" x14ac:dyDescent="0.35">
      <c r="A2263" t="s">
        <v>227</v>
      </c>
      <c r="B2263" t="s">
        <v>344</v>
      </c>
      <c r="C2263" s="2">
        <v>0.79569999999999996</v>
      </c>
      <c r="D2263" s="2">
        <v>0.19889999999999999</v>
      </c>
      <c r="E2263" s="2">
        <v>5.4000000000000003E-3</v>
      </c>
      <c r="F2263">
        <v>586</v>
      </c>
    </row>
    <row r="2264" spans="1:6" x14ac:dyDescent="0.35">
      <c r="A2264" t="s">
        <v>228</v>
      </c>
      <c r="B2264" t="s">
        <v>228</v>
      </c>
      <c r="C2264" s="2">
        <v>0.76939999999999997</v>
      </c>
      <c r="D2264" s="2">
        <v>0.2233</v>
      </c>
      <c r="E2264" s="2">
        <v>7.3000000000000001E-3</v>
      </c>
      <c r="F2264">
        <v>702</v>
      </c>
    </row>
    <row r="2266" spans="1:6" x14ac:dyDescent="0.35">
      <c r="A2266" s="1" t="s">
        <v>756</v>
      </c>
    </row>
    <row r="2267" spans="1:6" x14ac:dyDescent="0.35">
      <c r="A2267" t="s">
        <v>219</v>
      </c>
      <c r="B2267" t="s">
        <v>301</v>
      </c>
      <c r="C2267" t="s">
        <v>299</v>
      </c>
      <c r="D2267" t="s">
        <v>298</v>
      </c>
      <c r="E2267" t="s">
        <v>277</v>
      </c>
      <c r="F2267" t="s">
        <v>226</v>
      </c>
    </row>
    <row r="2268" spans="1:6" x14ac:dyDescent="0.35">
      <c r="A2268" t="s">
        <v>227</v>
      </c>
      <c r="B2268" t="s">
        <v>346</v>
      </c>
      <c r="C2268" s="2">
        <v>0.78800000000000003</v>
      </c>
      <c r="D2268" s="2">
        <v>0.2054</v>
      </c>
      <c r="E2268" s="2">
        <v>6.6E-3</v>
      </c>
      <c r="F2268">
        <v>402</v>
      </c>
    </row>
    <row r="2269" spans="1:6" x14ac:dyDescent="0.35">
      <c r="A2269" t="s">
        <v>227</v>
      </c>
      <c r="B2269" t="s">
        <v>347</v>
      </c>
      <c r="C2269" s="2">
        <v>0.7339</v>
      </c>
      <c r="D2269" s="2">
        <v>0.2661</v>
      </c>
      <c r="F2269">
        <v>122</v>
      </c>
    </row>
    <row r="2270" spans="1:6" x14ac:dyDescent="0.35">
      <c r="A2270" t="s">
        <v>227</v>
      </c>
      <c r="B2270" t="s">
        <v>348</v>
      </c>
      <c r="C2270" s="2">
        <v>0.58289999999999997</v>
      </c>
      <c r="D2270" s="2">
        <v>0.39900000000000002</v>
      </c>
      <c r="E2270" s="2">
        <v>1.8100000000000002E-2</v>
      </c>
      <c r="F2270">
        <v>178</v>
      </c>
    </row>
    <row r="2271" spans="1:6" x14ac:dyDescent="0.35">
      <c r="A2271" t="s">
        <v>228</v>
      </c>
      <c r="B2271" t="s">
        <v>228</v>
      </c>
      <c r="C2271" s="2">
        <v>0.76939999999999997</v>
      </c>
      <c r="D2271" s="2">
        <v>0.2233</v>
      </c>
      <c r="E2271" s="2">
        <v>7.3000000000000001E-3</v>
      </c>
      <c r="F2271">
        <v>702</v>
      </c>
    </row>
    <row r="2273" spans="1:7" x14ac:dyDescent="0.35">
      <c r="A2273" s="1" t="s">
        <v>757</v>
      </c>
    </row>
    <row r="2274" spans="1:7" x14ac:dyDescent="0.35">
      <c r="A2274" t="s">
        <v>219</v>
      </c>
      <c r="B2274" t="s">
        <v>758</v>
      </c>
      <c r="C2274" t="s">
        <v>759</v>
      </c>
      <c r="D2274" t="s">
        <v>760</v>
      </c>
      <c r="E2274" t="s">
        <v>761</v>
      </c>
      <c r="F2274" t="s">
        <v>226</v>
      </c>
    </row>
    <row r="2275" spans="1:7" x14ac:dyDescent="0.35">
      <c r="A2275" t="s">
        <v>227</v>
      </c>
      <c r="B2275" s="2">
        <v>0.40749999999999997</v>
      </c>
      <c r="C2275" s="2">
        <v>0.2621</v>
      </c>
      <c r="D2275" s="2">
        <v>0.1701</v>
      </c>
      <c r="E2275" s="2">
        <v>0.1603</v>
      </c>
      <c r="F2275">
        <v>702</v>
      </c>
    </row>
    <row r="2276" spans="1:7" x14ac:dyDescent="0.35">
      <c r="A2276" t="s">
        <v>228</v>
      </c>
      <c r="B2276" s="2">
        <v>0.40749999999999997</v>
      </c>
      <c r="C2276" s="2">
        <v>0.2621</v>
      </c>
      <c r="D2276" s="2">
        <v>0.1701</v>
      </c>
      <c r="E2276" s="2">
        <v>0.1603</v>
      </c>
      <c r="F2276">
        <v>702</v>
      </c>
    </row>
    <row r="2278" spans="1:7" x14ac:dyDescent="0.35">
      <c r="A2278" s="1" t="s">
        <v>762</v>
      </c>
    </row>
    <row r="2279" spans="1:7" x14ac:dyDescent="0.35">
      <c r="A2279" t="s">
        <v>219</v>
      </c>
      <c r="B2279" t="s">
        <v>301</v>
      </c>
      <c r="C2279" t="s">
        <v>758</v>
      </c>
      <c r="D2279" t="s">
        <v>759</v>
      </c>
      <c r="E2279" t="s">
        <v>760</v>
      </c>
      <c r="F2279" t="s">
        <v>761</v>
      </c>
      <c r="G2279" t="s">
        <v>226</v>
      </c>
    </row>
    <row r="2280" spans="1:7" x14ac:dyDescent="0.35">
      <c r="A2280" t="s">
        <v>227</v>
      </c>
      <c r="B2280" t="s">
        <v>238</v>
      </c>
      <c r="C2280" s="2">
        <v>0.3473</v>
      </c>
      <c r="D2280" s="2">
        <v>0.24340000000000001</v>
      </c>
      <c r="E2280" s="2">
        <v>0.26129999999999998</v>
      </c>
      <c r="F2280" s="2">
        <v>0.14799999999999999</v>
      </c>
      <c r="G2280">
        <v>205</v>
      </c>
    </row>
    <row r="2281" spans="1:7" x14ac:dyDescent="0.35">
      <c r="A2281" t="s">
        <v>227</v>
      </c>
      <c r="B2281" t="s">
        <v>237</v>
      </c>
      <c r="C2281" s="2">
        <v>0.4325</v>
      </c>
      <c r="D2281" s="2">
        <v>0.26979999999999998</v>
      </c>
      <c r="E2281" s="2">
        <v>0.13220000000000001</v>
      </c>
      <c r="F2281" s="2">
        <v>0.16539999999999999</v>
      </c>
      <c r="G2281">
        <v>497</v>
      </c>
    </row>
    <row r="2282" spans="1:7" x14ac:dyDescent="0.35">
      <c r="A2282" t="s">
        <v>228</v>
      </c>
      <c r="B2282" t="s">
        <v>228</v>
      </c>
      <c r="C2282" s="2">
        <v>0.40749999999999997</v>
      </c>
      <c r="D2282" s="2">
        <v>0.2621</v>
      </c>
      <c r="E2282" s="2">
        <v>0.1701</v>
      </c>
      <c r="F2282" s="2">
        <v>0.1603</v>
      </c>
      <c r="G2282">
        <v>702</v>
      </c>
    </row>
    <row r="2284" spans="1:7" x14ac:dyDescent="0.35">
      <c r="A2284" s="1" t="s">
        <v>763</v>
      </c>
    </row>
    <row r="2285" spans="1:7" x14ac:dyDescent="0.35">
      <c r="A2285" t="s">
        <v>219</v>
      </c>
      <c r="B2285" t="s">
        <v>301</v>
      </c>
      <c r="C2285" t="s">
        <v>758</v>
      </c>
      <c r="D2285" t="s">
        <v>759</v>
      </c>
      <c r="E2285" t="s">
        <v>760</v>
      </c>
      <c r="F2285" t="s">
        <v>761</v>
      </c>
      <c r="G2285" t="s">
        <v>226</v>
      </c>
    </row>
    <row r="2286" spans="1:7" x14ac:dyDescent="0.35">
      <c r="A2286" t="s">
        <v>227</v>
      </c>
      <c r="B2286" t="s">
        <v>235</v>
      </c>
      <c r="C2286" s="2">
        <v>0.38080000000000003</v>
      </c>
      <c r="D2286" s="2">
        <v>0.25169999999999998</v>
      </c>
      <c r="E2286" s="2">
        <v>0.20449999999999999</v>
      </c>
      <c r="F2286" s="2">
        <v>0.16300000000000001</v>
      </c>
      <c r="G2286">
        <v>269</v>
      </c>
    </row>
    <row r="2287" spans="1:7" x14ac:dyDescent="0.35">
      <c r="A2287" t="s">
        <v>227</v>
      </c>
      <c r="B2287" t="s">
        <v>234</v>
      </c>
      <c r="C2287" s="2">
        <v>0.42109999999999997</v>
      </c>
      <c r="D2287" s="2">
        <v>0.26740000000000003</v>
      </c>
      <c r="E2287" s="2">
        <v>0.1525</v>
      </c>
      <c r="F2287" s="2">
        <v>0.159</v>
      </c>
      <c r="G2287">
        <v>433</v>
      </c>
    </row>
    <row r="2288" spans="1:7" x14ac:dyDescent="0.35">
      <c r="A2288" t="s">
        <v>228</v>
      </c>
      <c r="B2288" t="s">
        <v>228</v>
      </c>
      <c r="C2288" s="2">
        <v>0.40749999999999997</v>
      </c>
      <c r="D2288" s="2">
        <v>0.2621</v>
      </c>
      <c r="E2288" s="2">
        <v>0.1701</v>
      </c>
      <c r="F2288" s="2">
        <v>0.1603</v>
      </c>
      <c r="G2288">
        <v>702</v>
      </c>
    </row>
    <row r="2290" spans="1:7" x14ac:dyDescent="0.35">
      <c r="A2290" s="1" t="s">
        <v>764</v>
      </c>
    </row>
    <row r="2291" spans="1:7" x14ac:dyDescent="0.35">
      <c r="A2291" t="s">
        <v>219</v>
      </c>
      <c r="B2291" t="s">
        <v>301</v>
      </c>
      <c r="C2291" t="s">
        <v>758</v>
      </c>
      <c r="D2291" t="s">
        <v>759</v>
      </c>
      <c r="E2291" t="s">
        <v>760</v>
      </c>
      <c r="F2291" t="s">
        <v>761</v>
      </c>
      <c r="G2291" t="s">
        <v>226</v>
      </c>
    </row>
    <row r="2292" spans="1:7" x14ac:dyDescent="0.35">
      <c r="A2292" t="s">
        <v>227</v>
      </c>
      <c r="B2292" t="s">
        <v>240</v>
      </c>
      <c r="C2292" s="2">
        <v>0.40239999999999998</v>
      </c>
      <c r="D2292" s="2">
        <v>0.26600000000000001</v>
      </c>
      <c r="E2292" s="2">
        <v>0.1618</v>
      </c>
      <c r="F2292" s="2">
        <v>0.16980000000000001</v>
      </c>
      <c r="G2292">
        <v>563</v>
      </c>
    </row>
    <row r="2293" spans="1:7" x14ac:dyDescent="0.35">
      <c r="A2293" t="s">
        <v>227</v>
      </c>
      <c r="B2293" t="s">
        <v>242</v>
      </c>
      <c r="C2293" s="2">
        <v>0.42609999999999998</v>
      </c>
      <c r="D2293" s="2">
        <v>0.24779999999999999</v>
      </c>
      <c r="E2293" s="2">
        <v>0.20019999999999999</v>
      </c>
      <c r="F2293" s="2">
        <v>0.1258</v>
      </c>
      <c r="G2293">
        <v>139</v>
      </c>
    </row>
    <row r="2294" spans="1:7" x14ac:dyDescent="0.35">
      <c r="A2294" t="s">
        <v>228</v>
      </c>
      <c r="B2294" t="s">
        <v>228</v>
      </c>
      <c r="C2294" s="2">
        <v>0.40749999999999997</v>
      </c>
      <c r="D2294" s="2">
        <v>0.2621</v>
      </c>
      <c r="E2294" s="2">
        <v>0.1701</v>
      </c>
      <c r="F2294" s="2">
        <v>0.1603</v>
      </c>
      <c r="G2294">
        <v>702</v>
      </c>
    </row>
    <row r="2296" spans="1:7" x14ac:dyDescent="0.35">
      <c r="A2296" s="1" t="s">
        <v>765</v>
      </c>
    </row>
    <row r="2297" spans="1:7" x14ac:dyDescent="0.35">
      <c r="A2297" t="s">
        <v>219</v>
      </c>
      <c r="B2297" t="s">
        <v>301</v>
      </c>
      <c r="C2297" t="s">
        <v>758</v>
      </c>
      <c r="D2297" t="s">
        <v>759</v>
      </c>
      <c r="E2297" t="s">
        <v>760</v>
      </c>
      <c r="F2297" t="s">
        <v>761</v>
      </c>
      <c r="G2297" t="s">
        <v>226</v>
      </c>
    </row>
    <row r="2298" spans="1:7" x14ac:dyDescent="0.35">
      <c r="A2298" t="s">
        <v>227</v>
      </c>
      <c r="B2298" t="s">
        <v>334</v>
      </c>
      <c r="C2298" s="2">
        <v>0.46870000000000001</v>
      </c>
      <c r="D2298" s="2">
        <v>0.2112</v>
      </c>
      <c r="E2298" s="2">
        <v>0.23480000000000001</v>
      </c>
      <c r="F2298" s="2">
        <v>8.5300000000000001E-2</v>
      </c>
      <c r="G2298">
        <v>183</v>
      </c>
    </row>
    <row r="2299" spans="1:7" x14ac:dyDescent="0.35">
      <c r="A2299" t="s">
        <v>227</v>
      </c>
      <c r="B2299" t="s">
        <v>335</v>
      </c>
      <c r="C2299" s="2">
        <v>0.37180000000000002</v>
      </c>
      <c r="D2299" s="2">
        <v>0.27579999999999999</v>
      </c>
      <c r="E2299" s="2">
        <v>0.1691</v>
      </c>
      <c r="F2299" s="2">
        <v>0.18340000000000001</v>
      </c>
      <c r="G2299">
        <v>127</v>
      </c>
    </row>
    <row r="2300" spans="1:7" x14ac:dyDescent="0.35">
      <c r="A2300" t="s">
        <v>227</v>
      </c>
      <c r="B2300" t="s">
        <v>336</v>
      </c>
      <c r="C2300" s="2">
        <v>0.435</v>
      </c>
      <c r="D2300" s="2">
        <v>0.24399999999999999</v>
      </c>
      <c r="E2300" s="2">
        <v>0.13270000000000001</v>
      </c>
      <c r="F2300" s="2">
        <v>0.18840000000000001</v>
      </c>
      <c r="G2300">
        <v>161</v>
      </c>
    </row>
    <row r="2301" spans="1:7" x14ac:dyDescent="0.35">
      <c r="A2301" t="s">
        <v>227</v>
      </c>
      <c r="B2301" t="s">
        <v>337</v>
      </c>
      <c r="C2301" s="2">
        <v>0.38490000000000002</v>
      </c>
      <c r="D2301" s="2">
        <v>0.28770000000000001</v>
      </c>
      <c r="E2301" s="2">
        <v>0.13730000000000001</v>
      </c>
      <c r="F2301" s="2">
        <v>0.19009999999999999</v>
      </c>
      <c r="G2301">
        <v>137</v>
      </c>
    </row>
    <row r="2302" spans="1:7" x14ac:dyDescent="0.35">
      <c r="A2302" t="s">
        <v>228</v>
      </c>
      <c r="B2302" t="s">
        <v>228</v>
      </c>
      <c r="C2302" s="2">
        <v>0.40749999999999997</v>
      </c>
      <c r="D2302" s="2">
        <v>0.2621</v>
      </c>
      <c r="E2302" s="2">
        <v>0.1701</v>
      </c>
      <c r="F2302" s="2">
        <v>0.1603</v>
      </c>
      <c r="G2302">
        <v>608</v>
      </c>
    </row>
    <row r="2304" spans="1:7" x14ac:dyDescent="0.35">
      <c r="A2304" s="1" t="s">
        <v>766</v>
      </c>
    </row>
    <row r="2305" spans="1:7" x14ac:dyDescent="0.35">
      <c r="A2305" t="s">
        <v>219</v>
      </c>
      <c r="B2305" t="s">
        <v>301</v>
      </c>
      <c r="C2305" t="s">
        <v>758</v>
      </c>
      <c r="D2305" t="s">
        <v>759</v>
      </c>
      <c r="E2305" t="s">
        <v>760</v>
      </c>
      <c r="F2305" t="s">
        <v>761</v>
      </c>
      <c r="G2305" t="s">
        <v>226</v>
      </c>
    </row>
    <row r="2306" spans="1:7" x14ac:dyDescent="0.35">
      <c r="A2306" t="s">
        <v>227</v>
      </c>
      <c r="B2306" t="s">
        <v>263</v>
      </c>
      <c r="C2306" s="2">
        <v>0.38700000000000001</v>
      </c>
      <c r="D2306" s="2">
        <v>0.27679999999999999</v>
      </c>
      <c r="E2306" s="2">
        <v>0.1101</v>
      </c>
      <c r="F2306" s="2">
        <v>0.2261</v>
      </c>
      <c r="G2306">
        <v>108</v>
      </c>
    </row>
    <row r="2307" spans="1:7" x14ac:dyDescent="0.35">
      <c r="A2307" t="s">
        <v>227</v>
      </c>
      <c r="B2307" t="s">
        <v>262</v>
      </c>
      <c r="C2307" s="2">
        <v>0.42799999999999999</v>
      </c>
      <c r="D2307" s="2">
        <v>0.21340000000000001</v>
      </c>
      <c r="E2307" s="2">
        <v>0.1583</v>
      </c>
      <c r="F2307" s="2">
        <v>0.20030000000000001</v>
      </c>
      <c r="G2307">
        <v>237</v>
      </c>
    </row>
    <row r="2308" spans="1:7" x14ac:dyDescent="0.35">
      <c r="A2308" t="s">
        <v>227</v>
      </c>
      <c r="B2308" t="s">
        <v>261</v>
      </c>
      <c r="C2308" s="2">
        <v>0.40239999999999998</v>
      </c>
      <c r="D2308" s="2">
        <v>0.28370000000000001</v>
      </c>
      <c r="E2308" s="2">
        <v>0.1928</v>
      </c>
      <c r="F2308" s="2">
        <v>0.1211</v>
      </c>
      <c r="G2308">
        <v>357</v>
      </c>
    </row>
    <row r="2309" spans="1:7" x14ac:dyDescent="0.35">
      <c r="A2309" t="s">
        <v>228</v>
      </c>
      <c r="B2309" t="s">
        <v>228</v>
      </c>
      <c r="C2309" s="2">
        <v>0.40749999999999997</v>
      </c>
      <c r="D2309" s="2">
        <v>0.2621</v>
      </c>
      <c r="E2309" s="2">
        <v>0.1701</v>
      </c>
      <c r="F2309" s="2">
        <v>0.1603</v>
      </c>
      <c r="G2309">
        <v>702</v>
      </c>
    </row>
    <row r="2311" spans="1:7" x14ac:dyDescent="0.35">
      <c r="A2311" s="1" t="s">
        <v>767</v>
      </c>
    </row>
    <row r="2312" spans="1:7" x14ac:dyDescent="0.35">
      <c r="A2312" t="s">
        <v>219</v>
      </c>
      <c r="B2312" t="s">
        <v>301</v>
      </c>
      <c r="C2312" t="s">
        <v>758</v>
      </c>
      <c r="D2312" t="s">
        <v>759</v>
      </c>
      <c r="E2312" t="s">
        <v>760</v>
      </c>
      <c r="F2312" t="s">
        <v>761</v>
      </c>
      <c r="G2312" t="s">
        <v>226</v>
      </c>
    </row>
    <row r="2313" spans="1:7" x14ac:dyDescent="0.35">
      <c r="A2313" s="3" t="s">
        <v>227</v>
      </c>
      <c r="B2313" s="3" t="s">
        <v>248</v>
      </c>
      <c r="C2313" s="4">
        <v>0.33610000000000001</v>
      </c>
      <c r="D2313" s="5"/>
      <c r="E2313" s="5"/>
      <c r="F2313" s="4">
        <v>0.66390000000000005</v>
      </c>
      <c r="G2313" s="5" t="s">
        <v>327</v>
      </c>
    </row>
    <row r="2314" spans="1:7" x14ac:dyDescent="0.35">
      <c r="A2314" t="s">
        <v>227</v>
      </c>
      <c r="B2314" t="s">
        <v>249</v>
      </c>
      <c r="C2314" s="2">
        <v>0.37109999999999999</v>
      </c>
      <c r="D2314" s="2">
        <v>0.24390000000000001</v>
      </c>
      <c r="E2314" s="2">
        <v>0.15959999999999999</v>
      </c>
      <c r="F2314" s="2">
        <v>0.22550000000000001</v>
      </c>
      <c r="G2314">
        <v>143</v>
      </c>
    </row>
    <row r="2315" spans="1:7" x14ac:dyDescent="0.35">
      <c r="A2315" t="s">
        <v>227</v>
      </c>
      <c r="B2315" t="s">
        <v>247</v>
      </c>
      <c r="C2315" s="2">
        <v>0.41839999999999999</v>
      </c>
      <c r="D2315" s="2">
        <v>0.27310000000000001</v>
      </c>
      <c r="E2315" s="2">
        <v>0.1769</v>
      </c>
      <c r="F2315" s="2">
        <v>0.13159999999999999</v>
      </c>
      <c r="G2315">
        <v>554</v>
      </c>
    </row>
    <row r="2316" spans="1:7" x14ac:dyDescent="0.35">
      <c r="A2316" t="s">
        <v>228</v>
      </c>
      <c r="B2316" t="s">
        <v>228</v>
      </c>
      <c r="C2316" s="2">
        <v>0.40749999999999997</v>
      </c>
      <c r="D2316" s="2">
        <v>0.2621</v>
      </c>
      <c r="E2316" s="2">
        <v>0.1701</v>
      </c>
      <c r="F2316" s="2">
        <v>0.1603</v>
      </c>
      <c r="G2316">
        <v>702</v>
      </c>
    </row>
    <row r="2318" spans="1:7" x14ac:dyDescent="0.35">
      <c r="A2318" s="1" t="s">
        <v>768</v>
      </c>
    </row>
    <row r="2319" spans="1:7" x14ac:dyDescent="0.35">
      <c r="A2319" t="s">
        <v>219</v>
      </c>
      <c r="B2319" t="s">
        <v>301</v>
      </c>
      <c r="C2319" t="s">
        <v>758</v>
      </c>
      <c r="D2319" t="s">
        <v>759</v>
      </c>
      <c r="E2319" t="s">
        <v>760</v>
      </c>
      <c r="F2319" t="s">
        <v>761</v>
      </c>
      <c r="G2319" t="s">
        <v>226</v>
      </c>
    </row>
    <row r="2320" spans="1:7" x14ac:dyDescent="0.35">
      <c r="A2320" s="3" t="s">
        <v>227</v>
      </c>
      <c r="B2320" s="3" t="s">
        <v>259</v>
      </c>
      <c r="C2320" s="4">
        <v>0.19969999999999999</v>
      </c>
      <c r="D2320" s="4">
        <v>0.41770000000000002</v>
      </c>
      <c r="E2320" s="4">
        <v>0.16020000000000001</v>
      </c>
      <c r="F2320" s="4">
        <v>0.22239999999999999</v>
      </c>
      <c r="G2320" s="5" t="s">
        <v>522</v>
      </c>
    </row>
    <row r="2321" spans="1:7" x14ac:dyDescent="0.35">
      <c r="A2321" t="s">
        <v>227</v>
      </c>
      <c r="B2321" t="s">
        <v>257</v>
      </c>
      <c r="C2321" s="2">
        <v>0.34499999999999997</v>
      </c>
      <c r="D2321" s="2">
        <v>0.21740000000000001</v>
      </c>
      <c r="E2321" s="2">
        <v>0.21870000000000001</v>
      </c>
      <c r="F2321" s="2">
        <v>0.219</v>
      </c>
      <c r="G2321">
        <v>116</v>
      </c>
    </row>
    <row r="2322" spans="1:7" x14ac:dyDescent="0.35">
      <c r="A2322" t="s">
        <v>227</v>
      </c>
      <c r="B2322" t="s">
        <v>256</v>
      </c>
      <c r="C2322" s="2">
        <v>0.43049999999999999</v>
      </c>
      <c r="D2322" s="2">
        <v>0.25650000000000001</v>
      </c>
      <c r="E2322" s="2">
        <v>0.1532</v>
      </c>
      <c r="F2322" s="2">
        <v>0.1598</v>
      </c>
      <c r="G2322">
        <v>374</v>
      </c>
    </row>
    <row r="2323" spans="1:7" x14ac:dyDescent="0.35">
      <c r="A2323" s="3" t="s">
        <v>227</v>
      </c>
      <c r="B2323" s="3" t="s">
        <v>232</v>
      </c>
      <c r="C2323" s="4">
        <v>0.54979999999999996</v>
      </c>
      <c r="D2323" s="5"/>
      <c r="E2323" s="5"/>
      <c r="F2323" s="4">
        <v>0.45019999999999999</v>
      </c>
      <c r="G2323" s="5" t="s">
        <v>438</v>
      </c>
    </row>
    <row r="2324" spans="1:7" x14ac:dyDescent="0.35">
      <c r="A2324" t="s">
        <v>227</v>
      </c>
      <c r="B2324" t="s">
        <v>258</v>
      </c>
      <c r="C2324" s="2">
        <v>0.40789999999999998</v>
      </c>
      <c r="D2324" s="2">
        <v>0.29389999999999999</v>
      </c>
      <c r="E2324" s="2">
        <v>0.182</v>
      </c>
      <c r="F2324" s="2">
        <v>0.11609999999999999</v>
      </c>
      <c r="G2324">
        <v>193</v>
      </c>
    </row>
    <row r="2325" spans="1:7" x14ac:dyDescent="0.35">
      <c r="A2325" t="s">
        <v>228</v>
      </c>
      <c r="B2325" t="s">
        <v>228</v>
      </c>
      <c r="C2325" s="2">
        <v>0.40749999999999997</v>
      </c>
      <c r="D2325" s="2">
        <v>0.2621</v>
      </c>
      <c r="E2325" s="2">
        <v>0.1701</v>
      </c>
      <c r="F2325" s="2">
        <v>0.1603</v>
      </c>
      <c r="G2325">
        <v>702</v>
      </c>
    </row>
    <row r="2327" spans="1:7" x14ac:dyDescent="0.35">
      <c r="A2327" s="1" t="s">
        <v>769</v>
      </c>
    </row>
    <row r="2328" spans="1:7" x14ac:dyDescent="0.35">
      <c r="A2328" t="s">
        <v>219</v>
      </c>
      <c r="B2328" t="s">
        <v>301</v>
      </c>
      <c r="C2328" t="s">
        <v>758</v>
      </c>
      <c r="D2328" t="s">
        <v>759</v>
      </c>
      <c r="E2328" t="s">
        <v>760</v>
      </c>
      <c r="F2328" t="s">
        <v>761</v>
      </c>
      <c r="G2328" t="s">
        <v>226</v>
      </c>
    </row>
    <row r="2329" spans="1:7" x14ac:dyDescent="0.35">
      <c r="A2329" t="s">
        <v>227</v>
      </c>
      <c r="B2329" t="s">
        <v>343</v>
      </c>
      <c r="C2329" s="2">
        <v>0.34499999999999997</v>
      </c>
      <c r="D2329" s="2">
        <v>0.21740000000000001</v>
      </c>
      <c r="E2329" s="2">
        <v>0.21870000000000001</v>
      </c>
      <c r="F2329" s="2">
        <v>0.219</v>
      </c>
      <c r="G2329">
        <v>116</v>
      </c>
    </row>
    <row r="2330" spans="1:7" x14ac:dyDescent="0.35">
      <c r="A2330" t="s">
        <v>227</v>
      </c>
      <c r="B2330" t="s">
        <v>344</v>
      </c>
      <c r="C2330" s="2">
        <v>0.41899999999999998</v>
      </c>
      <c r="D2330" s="2">
        <v>0.27029999999999998</v>
      </c>
      <c r="E2330" s="2">
        <v>0.16109999999999999</v>
      </c>
      <c r="F2330" s="2">
        <v>0.14949999999999999</v>
      </c>
      <c r="G2330">
        <v>586</v>
      </c>
    </row>
    <row r="2331" spans="1:7" x14ac:dyDescent="0.35">
      <c r="A2331" t="s">
        <v>228</v>
      </c>
      <c r="B2331" t="s">
        <v>228</v>
      </c>
      <c r="C2331" s="2">
        <v>0.40749999999999997</v>
      </c>
      <c r="D2331" s="2">
        <v>0.2621</v>
      </c>
      <c r="E2331" s="2">
        <v>0.1701</v>
      </c>
      <c r="F2331" s="2">
        <v>0.1603</v>
      </c>
      <c r="G2331">
        <v>702</v>
      </c>
    </row>
    <row r="2333" spans="1:7" x14ac:dyDescent="0.35">
      <c r="A2333" s="1" t="s">
        <v>770</v>
      </c>
    </row>
    <row r="2334" spans="1:7" x14ac:dyDescent="0.35">
      <c r="A2334" t="s">
        <v>219</v>
      </c>
      <c r="B2334" t="s">
        <v>301</v>
      </c>
      <c r="C2334" t="s">
        <v>758</v>
      </c>
      <c r="D2334" t="s">
        <v>759</v>
      </c>
      <c r="E2334" t="s">
        <v>760</v>
      </c>
      <c r="F2334" t="s">
        <v>761</v>
      </c>
      <c r="G2334" t="s">
        <v>226</v>
      </c>
    </row>
    <row r="2335" spans="1:7" x14ac:dyDescent="0.35">
      <c r="A2335" t="s">
        <v>227</v>
      </c>
      <c r="B2335" t="s">
        <v>346</v>
      </c>
      <c r="C2335" s="2">
        <v>0.4042</v>
      </c>
      <c r="D2335" s="2">
        <v>0.26379999999999998</v>
      </c>
      <c r="E2335" s="2">
        <v>0.16900000000000001</v>
      </c>
      <c r="F2335" s="2">
        <v>0.16309999999999999</v>
      </c>
      <c r="G2335">
        <v>402</v>
      </c>
    </row>
    <row r="2336" spans="1:7" x14ac:dyDescent="0.35">
      <c r="A2336" t="s">
        <v>227</v>
      </c>
      <c r="B2336" t="s">
        <v>347</v>
      </c>
      <c r="C2336" s="2">
        <v>0.37690000000000001</v>
      </c>
      <c r="D2336" s="2">
        <v>0.27479999999999999</v>
      </c>
      <c r="E2336" s="2">
        <v>0.17680000000000001</v>
      </c>
      <c r="F2336" s="2">
        <v>0.17150000000000001</v>
      </c>
      <c r="G2336">
        <v>122</v>
      </c>
    </row>
    <row r="2337" spans="1:8" x14ac:dyDescent="0.35">
      <c r="A2337" t="s">
        <v>227</v>
      </c>
      <c r="B2337" t="s">
        <v>348</v>
      </c>
      <c r="C2337" s="2">
        <v>0.45519999999999999</v>
      </c>
      <c r="D2337" s="2">
        <v>0.23930000000000001</v>
      </c>
      <c r="E2337" s="2">
        <v>0.1787</v>
      </c>
      <c r="F2337" s="2">
        <v>0.1268</v>
      </c>
      <c r="G2337">
        <v>178</v>
      </c>
    </row>
    <row r="2338" spans="1:8" x14ac:dyDescent="0.35">
      <c r="A2338" t="s">
        <v>228</v>
      </c>
      <c r="B2338" t="s">
        <v>228</v>
      </c>
      <c r="C2338" s="2">
        <v>0.40749999999999997</v>
      </c>
      <c r="D2338" s="2">
        <v>0.2621</v>
      </c>
      <c r="E2338" s="2">
        <v>0.1701</v>
      </c>
      <c r="F2338" s="2">
        <v>0.1603</v>
      </c>
      <c r="G2338">
        <v>702</v>
      </c>
    </row>
    <row r="2340" spans="1:8" x14ac:dyDescent="0.35">
      <c r="A2340" s="1" t="s">
        <v>771</v>
      </c>
    </row>
    <row r="2341" spans="1:8" x14ac:dyDescent="0.35">
      <c r="A2341" t="s">
        <v>219</v>
      </c>
      <c r="B2341" t="s">
        <v>256</v>
      </c>
      <c r="C2341" t="s">
        <v>257</v>
      </c>
      <c r="D2341" t="s">
        <v>258</v>
      </c>
      <c r="E2341" t="s">
        <v>259</v>
      </c>
      <c r="F2341" t="s">
        <v>232</v>
      </c>
      <c r="G2341" t="s">
        <v>226</v>
      </c>
    </row>
    <row r="2342" spans="1:8" x14ac:dyDescent="0.35">
      <c r="A2342" t="s">
        <v>227</v>
      </c>
      <c r="B2342" s="2">
        <v>0.66490000000000005</v>
      </c>
      <c r="C2342" s="2">
        <v>0.16900000000000001</v>
      </c>
      <c r="D2342" s="2">
        <v>0.14729999999999999</v>
      </c>
      <c r="E2342" s="2">
        <v>1.6799999999999999E-2</v>
      </c>
      <c r="F2342" s="2">
        <v>2E-3</v>
      </c>
      <c r="G2342">
        <v>2813</v>
      </c>
    </row>
    <row r="2343" spans="1:8" x14ac:dyDescent="0.35">
      <c r="A2343" t="s">
        <v>228</v>
      </c>
      <c r="B2343" s="2">
        <v>0.66490000000000005</v>
      </c>
      <c r="C2343" s="2">
        <v>0.16900000000000001</v>
      </c>
      <c r="D2343" s="2">
        <v>0.14729999999999999</v>
      </c>
      <c r="E2343" s="2">
        <v>1.6799999999999999E-2</v>
      </c>
      <c r="F2343" s="2">
        <v>2E-3</v>
      </c>
      <c r="G2343">
        <v>2813</v>
      </c>
    </row>
    <row r="2345" spans="1:8" x14ac:dyDescent="0.35">
      <c r="A2345" s="1" t="s">
        <v>772</v>
      </c>
    </row>
    <row r="2346" spans="1:8" x14ac:dyDescent="0.35">
      <c r="A2346" t="s">
        <v>219</v>
      </c>
      <c r="B2346" t="s">
        <v>301</v>
      </c>
      <c r="C2346" t="s">
        <v>256</v>
      </c>
      <c r="D2346" t="s">
        <v>257</v>
      </c>
      <c r="E2346" t="s">
        <v>258</v>
      </c>
      <c r="F2346" t="s">
        <v>259</v>
      </c>
      <c r="G2346" t="s">
        <v>232</v>
      </c>
      <c r="H2346" t="s">
        <v>226</v>
      </c>
    </row>
    <row r="2347" spans="1:8" x14ac:dyDescent="0.35">
      <c r="A2347" t="s">
        <v>227</v>
      </c>
      <c r="B2347" t="s">
        <v>238</v>
      </c>
      <c r="C2347" s="2">
        <v>0.63</v>
      </c>
      <c r="D2347" s="2">
        <v>0.21690000000000001</v>
      </c>
      <c r="E2347" s="2">
        <v>0.1236</v>
      </c>
      <c r="F2347" s="2">
        <v>2.5499999999999998E-2</v>
      </c>
      <c r="G2347" s="2">
        <v>3.8999999999999998E-3</v>
      </c>
      <c r="H2347">
        <v>1005</v>
      </c>
    </row>
    <row r="2348" spans="1:8" x14ac:dyDescent="0.35">
      <c r="A2348" t="s">
        <v>227</v>
      </c>
      <c r="B2348" t="s">
        <v>237</v>
      </c>
      <c r="C2348" s="2">
        <v>0.68520000000000003</v>
      </c>
      <c r="D2348" s="2">
        <v>0.14099999999999999</v>
      </c>
      <c r="E2348" s="2">
        <v>0.16109999999999999</v>
      </c>
      <c r="F2348" s="2">
        <v>1.18E-2</v>
      </c>
      <c r="G2348" s="2">
        <v>8.0000000000000004E-4</v>
      </c>
      <c r="H2348">
        <v>1808</v>
      </c>
    </row>
    <row r="2349" spans="1:8" x14ac:dyDescent="0.35">
      <c r="A2349" t="s">
        <v>228</v>
      </c>
      <c r="B2349" t="s">
        <v>228</v>
      </c>
      <c r="C2349" s="2">
        <v>0.66490000000000005</v>
      </c>
      <c r="D2349" s="2">
        <v>0.16900000000000001</v>
      </c>
      <c r="E2349" s="2">
        <v>0.14729999999999999</v>
      </c>
      <c r="F2349" s="2">
        <v>1.6799999999999999E-2</v>
      </c>
      <c r="G2349" s="2">
        <v>2E-3</v>
      </c>
      <c r="H2349">
        <v>2813</v>
      </c>
    </row>
    <row r="2351" spans="1:8" x14ac:dyDescent="0.35">
      <c r="A2351" s="1" t="s">
        <v>773</v>
      </c>
    </row>
    <row r="2352" spans="1:8" x14ac:dyDescent="0.35">
      <c r="A2352" t="s">
        <v>219</v>
      </c>
      <c r="B2352" t="s">
        <v>301</v>
      </c>
      <c r="C2352" t="s">
        <v>256</v>
      </c>
      <c r="D2352" t="s">
        <v>257</v>
      </c>
      <c r="E2352" t="s">
        <v>258</v>
      </c>
      <c r="F2352" t="s">
        <v>259</v>
      </c>
      <c r="G2352" t="s">
        <v>232</v>
      </c>
      <c r="H2352" t="s">
        <v>226</v>
      </c>
    </row>
    <row r="2353" spans="1:8" x14ac:dyDescent="0.35">
      <c r="A2353" t="s">
        <v>227</v>
      </c>
      <c r="B2353" t="s">
        <v>235</v>
      </c>
      <c r="C2353" s="2">
        <v>0.74170000000000003</v>
      </c>
      <c r="D2353" s="2">
        <v>0.16170000000000001</v>
      </c>
      <c r="E2353" s="2">
        <v>8.8599999999999998E-2</v>
      </c>
      <c r="F2353" s="2">
        <v>7.1999999999999998E-3</v>
      </c>
      <c r="G2353" s="2">
        <v>6.9999999999999999E-4</v>
      </c>
      <c r="H2353">
        <v>992</v>
      </c>
    </row>
    <row r="2354" spans="1:8" x14ac:dyDescent="0.35">
      <c r="A2354" t="s">
        <v>227</v>
      </c>
      <c r="B2354" t="s">
        <v>234</v>
      </c>
      <c r="C2354" s="2">
        <v>0.63270000000000004</v>
      </c>
      <c r="D2354" s="2">
        <v>0.17199999999999999</v>
      </c>
      <c r="E2354" s="2">
        <v>0.1719</v>
      </c>
      <c r="F2354" s="2">
        <v>2.0899999999999998E-2</v>
      </c>
      <c r="G2354" s="2">
        <v>2.5000000000000001E-3</v>
      </c>
      <c r="H2354">
        <v>1821</v>
      </c>
    </row>
    <row r="2355" spans="1:8" x14ac:dyDescent="0.35">
      <c r="A2355" t="s">
        <v>228</v>
      </c>
      <c r="B2355" t="s">
        <v>228</v>
      </c>
      <c r="C2355" s="2">
        <v>0.66490000000000005</v>
      </c>
      <c r="D2355" s="2">
        <v>0.16900000000000001</v>
      </c>
      <c r="E2355" s="2">
        <v>0.14729999999999999</v>
      </c>
      <c r="F2355" s="2">
        <v>1.6799999999999999E-2</v>
      </c>
      <c r="G2355" s="2">
        <v>2E-3</v>
      </c>
      <c r="H2355">
        <v>2813</v>
      </c>
    </row>
    <row r="2357" spans="1:8" x14ac:dyDescent="0.35">
      <c r="A2357" s="1" t="s">
        <v>774</v>
      </c>
    </row>
    <row r="2358" spans="1:8" x14ac:dyDescent="0.35">
      <c r="A2358" t="s">
        <v>219</v>
      </c>
      <c r="B2358" t="s">
        <v>301</v>
      </c>
      <c r="C2358" t="s">
        <v>256</v>
      </c>
      <c r="D2358" t="s">
        <v>257</v>
      </c>
      <c r="E2358" t="s">
        <v>258</v>
      </c>
      <c r="F2358" t="s">
        <v>259</v>
      </c>
      <c r="G2358" t="s">
        <v>232</v>
      </c>
      <c r="H2358" t="s">
        <v>226</v>
      </c>
    </row>
    <row r="2359" spans="1:8" x14ac:dyDescent="0.35">
      <c r="A2359" t="s">
        <v>227</v>
      </c>
      <c r="B2359" t="s">
        <v>240</v>
      </c>
      <c r="C2359" s="2">
        <v>0.63529999999999998</v>
      </c>
      <c r="D2359" s="2">
        <v>0.1789</v>
      </c>
      <c r="E2359" s="2">
        <v>0.16800000000000001</v>
      </c>
      <c r="F2359" s="2">
        <v>1.7100000000000001E-2</v>
      </c>
      <c r="G2359" s="2">
        <v>6.9999999999999999E-4</v>
      </c>
      <c r="H2359">
        <v>1756</v>
      </c>
    </row>
    <row r="2360" spans="1:8" x14ac:dyDescent="0.35">
      <c r="A2360" t="s">
        <v>227</v>
      </c>
      <c r="B2360" t="s">
        <v>241</v>
      </c>
      <c r="C2360" s="2">
        <v>0.74429999999999996</v>
      </c>
      <c r="D2360" s="2">
        <v>0.15029999999999999</v>
      </c>
      <c r="E2360" s="2">
        <v>8.5500000000000007E-2</v>
      </c>
      <c r="F2360" s="2">
        <v>1.4800000000000001E-2</v>
      </c>
      <c r="G2360" s="2">
        <v>5.1999999999999998E-3</v>
      </c>
      <c r="H2360">
        <v>891</v>
      </c>
    </row>
    <row r="2361" spans="1:8" x14ac:dyDescent="0.35">
      <c r="A2361" t="s">
        <v>227</v>
      </c>
      <c r="B2361" t="s">
        <v>242</v>
      </c>
      <c r="C2361" s="2">
        <v>0.59750000000000003</v>
      </c>
      <c r="D2361" s="2">
        <v>0.15679999999999999</v>
      </c>
      <c r="E2361" s="2">
        <v>0.2225</v>
      </c>
      <c r="F2361" s="2">
        <v>2.3199999999999998E-2</v>
      </c>
      <c r="H2361">
        <v>166</v>
      </c>
    </row>
    <row r="2362" spans="1:8" x14ac:dyDescent="0.35">
      <c r="A2362" t="s">
        <v>228</v>
      </c>
      <c r="B2362" t="s">
        <v>228</v>
      </c>
      <c r="C2362" s="2">
        <v>0.66490000000000005</v>
      </c>
      <c r="D2362" s="2">
        <v>0.16900000000000001</v>
      </c>
      <c r="E2362" s="2">
        <v>0.14729999999999999</v>
      </c>
      <c r="F2362" s="2">
        <v>1.6799999999999999E-2</v>
      </c>
      <c r="G2362" s="2">
        <v>2E-3</v>
      </c>
      <c r="H2362">
        <v>2813</v>
      </c>
    </row>
    <row r="2364" spans="1:8" x14ac:dyDescent="0.35">
      <c r="A2364" s="1" t="s">
        <v>775</v>
      </c>
    </row>
    <row r="2365" spans="1:8" x14ac:dyDescent="0.35">
      <c r="A2365" t="s">
        <v>219</v>
      </c>
      <c r="B2365" t="s">
        <v>301</v>
      </c>
      <c r="C2365" t="s">
        <v>256</v>
      </c>
      <c r="D2365" t="s">
        <v>257</v>
      </c>
      <c r="E2365" t="s">
        <v>258</v>
      </c>
      <c r="F2365" t="s">
        <v>259</v>
      </c>
      <c r="G2365" t="s">
        <v>232</v>
      </c>
      <c r="H2365" t="s">
        <v>226</v>
      </c>
    </row>
    <row r="2366" spans="1:8" x14ac:dyDescent="0.35">
      <c r="A2366" t="s">
        <v>227</v>
      </c>
      <c r="B2366" t="s">
        <v>334</v>
      </c>
      <c r="C2366" s="2">
        <v>0.73770000000000002</v>
      </c>
      <c r="D2366" s="2">
        <v>0.16039999999999999</v>
      </c>
      <c r="E2366" s="2">
        <v>8.2000000000000003E-2</v>
      </c>
      <c r="F2366" s="2">
        <v>1.6400000000000001E-2</v>
      </c>
      <c r="G2366" s="2">
        <v>3.5999999999999999E-3</v>
      </c>
      <c r="H2366">
        <v>625</v>
      </c>
    </row>
    <row r="2367" spans="1:8" x14ac:dyDescent="0.35">
      <c r="A2367" t="s">
        <v>227</v>
      </c>
      <c r="B2367" t="s">
        <v>335</v>
      </c>
      <c r="C2367" s="2">
        <v>0.63360000000000005</v>
      </c>
      <c r="D2367" s="2">
        <v>0.1333</v>
      </c>
      <c r="E2367" s="2">
        <v>0.21579999999999999</v>
      </c>
      <c r="F2367" s="2">
        <v>1.6500000000000001E-2</v>
      </c>
      <c r="G2367" s="2">
        <v>8.0000000000000004E-4</v>
      </c>
      <c r="H2367">
        <v>628</v>
      </c>
    </row>
    <row r="2368" spans="1:8" x14ac:dyDescent="0.35">
      <c r="A2368" t="s">
        <v>227</v>
      </c>
      <c r="B2368" t="s">
        <v>336</v>
      </c>
      <c r="C2368" s="2">
        <v>0.6633</v>
      </c>
      <c r="D2368" s="2">
        <v>0.18909999999999999</v>
      </c>
      <c r="E2368" s="2">
        <v>0.1191</v>
      </c>
      <c r="F2368" s="2">
        <v>2.4799999999999999E-2</v>
      </c>
      <c r="G2368" s="2">
        <v>3.7000000000000002E-3</v>
      </c>
      <c r="H2368">
        <v>621</v>
      </c>
    </row>
    <row r="2369" spans="1:8" x14ac:dyDescent="0.35">
      <c r="A2369" t="s">
        <v>227</v>
      </c>
      <c r="B2369" t="s">
        <v>337</v>
      </c>
      <c r="C2369" s="2">
        <v>0.67130000000000001</v>
      </c>
      <c r="D2369" s="2">
        <v>0.18190000000000001</v>
      </c>
      <c r="E2369" s="2">
        <v>0.1353</v>
      </c>
      <c r="F2369" s="2">
        <v>1.0999999999999999E-2</v>
      </c>
      <c r="G2369" s="2">
        <v>4.0000000000000002E-4</v>
      </c>
      <c r="H2369">
        <v>602</v>
      </c>
    </row>
    <row r="2370" spans="1:8" x14ac:dyDescent="0.35">
      <c r="A2370" t="s">
        <v>228</v>
      </c>
      <c r="B2370" t="s">
        <v>228</v>
      </c>
      <c r="C2370" s="2">
        <v>0.66490000000000005</v>
      </c>
      <c r="D2370" s="2">
        <v>0.16900000000000001</v>
      </c>
      <c r="E2370" s="2">
        <v>0.14729999999999999</v>
      </c>
      <c r="F2370" s="2">
        <v>1.6799999999999999E-2</v>
      </c>
      <c r="G2370" s="2">
        <v>2E-3</v>
      </c>
      <c r="H2370">
        <v>2476</v>
      </c>
    </row>
    <row r="2372" spans="1:8" x14ac:dyDescent="0.35">
      <c r="A2372" s="1" t="s">
        <v>776</v>
      </c>
    </row>
    <row r="2373" spans="1:8" x14ac:dyDescent="0.35">
      <c r="A2373" t="s">
        <v>219</v>
      </c>
      <c r="B2373" t="s">
        <v>301</v>
      </c>
      <c r="C2373" t="s">
        <v>256</v>
      </c>
      <c r="D2373" t="s">
        <v>257</v>
      </c>
      <c r="E2373" t="s">
        <v>258</v>
      </c>
      <c r="F2373" t="s">
        <v>259</v>
      </c>
      <c r="G2373" t="s">
        <v>232</v>
      </c>
      <c r="H2373" t="s">
        <v>226</v>
      </c>
    </row>
    <row r="2374" spans="1:8" x14ac:dyDescent="0.35">
      <c r="A2374" t="s">
        <v>227</v>
      </c>
      <c r="B2374" t="s">
        <v>263</v>
      </c>
      <c r="C2374" s="2">
        <v>0.69720000000000004</v>
      </c>
      <c r="D2374" s="2">
        <v>0.14280000000000001</v>
      </c>
      <c r="E2374" s="2">
        <v>0.1474</v>
      </c>
      <c r="F2374" s="2">
        <v>1.24E-2</v>
      </c>
      <c r="G2374" s="2">
        <v>2.0000000000000001E-4</v>
      </c>
      <c r="H2374">
        <v>589</v>
      </c>
    </row>
    <row r="2375" spans="1:8" x14ac:dyDescent="0.35">
      <c r="A2375" t="s">
        <v>227</v>
      </c>
      <c r="B2375" t="s">
        <v>262</v>
      </c>
      <c r="C2375" s="2">
        <v>0.66930000000000001</v>
      </c>
      <c r="D2375" s="2">
        <v>0.18110000000000001</v>
      </c>
      <c r="E2375" s="2">
        <v>0.12540000000000001</v>
      </c>
      <c r="F2375" s="2">
        <v>1.9199999999999998E-2</v>
      </c>
      <c r="G2375" s="2">
        <v>4.8999999999999998E-3</v>
      </c>
      <c r="H2375">
        <v>1160</v>
      </c>
    </row>
    <row r="2376" spans="1:8" x14ac:dyDescent="0.35">
      <c r="A2376" t="s">
        <v>227</v>
      </c>
      <c r="B2376" t="s">
        <v>261</v>
      </c>
      <c r="C2376" s="2">
        <v>0.64419999999999999</v>
      </c>
      <c r="D2376" s="2">
        <v>0.17180000000000001</v>
      </c>
      <c r="E2376" s="2">
        <v>0.16669999999999999</v>
      </c>
      <c r="F2376" s="2">
        <v>1.7000000000000001E-2</v>
      </c>
      <c r="G2376" s="2">
        <v>2.9999999999999997E-4</v>
      </c>
      <c r="H2376">
        <v>1062</v>
      </c>
    </row>
    <row r="2377" spans="1:8" x14ac:dyDescent="0.35">
      <c r="A2377" s="3" t="s">
        <v>227</v>
      </c>
      <c r="B2377" s="3" t="s">
        <v>232</v>
      </c>
      <c r="C2377" s="4">
        <v>1</v>
      </c>
      <c r="D2377" s="5"/>
      <c r="E2377" s="5"/>
      <c r="F2377" s="5"/>
      <c r="G2377" s="5"/>
      <c r="H2377" s="5" t="s">
        <v>434</v>
      </c>
    </row>
    <row r="2378" spans="1:8" x14ac:dyDescent="0.35">
      <c r="A2378" t="s">
        <v>228</v>
      </c>
      <c r="B2378" t="s">
        <v>228</v>
      </c>
      <c r="C2378" s="2">
        <v>0.66490000000000005</v>
      </c>
      <c r="D2378" s="2">
        <v>0.16900000000000001</v>
      </c>
      <c r="E2378" s="2">
        <v>0.14729999999999999</v>
      </c>
      <c r="F2378" s="2">
        <v>1.6799999999999999E-2</v>
      </c>
      <c r="G2378" s="2">
        <v>2E-3</v>
      </c>
      <c r="H2378">
        <v>2813</v>
      </c>
    </row>
    <row r="2380" spans="1:8" x14ac:dyDescent="0.35">
      <c r="A2380" s="1" t="s">
        <v>777</v>
      </c>
    </row>
    <row r="2381" spans="1:8" x14ac:dyDescent="0.35">
      <c r="A2381" t="s">
        <v>219</v>
      </c>
      <c r="B2381" t="s">
        <v>301</v>
      </c>
      <c r="C2381" t="s">
        <v>256</v>
      </c>
      <c r="D2381" t="s">
        <v>257</v>
      </c>
      <c r="E2381" t="s">
        <v>258</v>
      </c>
      <c r="F2381" t="s">
        <v>259</v>
      </c>
      <c r="G2381" t="s">
        <v>232</v>
      </c>
      <c r="H2381" t="s">
        <v>226</v>
      </c>
    </row>
    <row r="2382" spans="1:8" x14ac:dyDescent="0.35">
      <c r="A2382" t="s">
        <v>227</v>
      </c>
      <c r="B2382" t="s">
        <v>248</v>
      </c>
      <c r="C2382" s="2">
        <v>0.71130000000000004</v>
      </c>
      <c r="D2382" s="2">
        <v>0.20710000000000001</v>
      </c>
      <c r="E2382" s="2">
        <v>6.3600000000000004E-2</v>
      </c>
      <c r="F2382" s="2">
        <v>1.34E-2</v>
      </c>
      <c r="G2382" s="2">
        <v>4.4999999999999997E-3</v>
      </c>
      <c r="H2382">
        <v>796</v>
      </c>
    </row>
    <row r="2383" spans="1:8" x14ac:dyDescent="0.35">
      <c r="A2383" t="s">
        <v>227</v>
      </c>
      <c r="B2383" t="s">
        <v>249</v>
      </c>
      <c r="C2383" s="2">
        <v>0.67630000000000001</v>
      </c>
      <c r="D2383" s="2">
        <v>0.18379999999999999</v>
      </c>
      <c r="E2383" s="2">
        <v>0.123</v>
      </c>
      <c r="F2383" s="2">
        <v>1.67E-2</v>
      </c>
      <c r="G2383" s="2">
        <v>1E-4</v>
      </c>
      <c r="H2383">
        <v>541</v>
      </c>
    </row>
    <row r="2384" spans="1:8" x14ac:dyDescent="0.35">
      <c r="A2384" t="s">
        <v>227</v>
      </c>
      <c r="B2384" t="s">
        <v>247</v>
      </c>
      <c r="C2384" s="2">
        <v>0.63670000000000004</v>
      </c>
      <c r="D2384" s="2">
        <v>0.1439</v>
      </c>
      <c r="E2384" s="2">
        <v>0.19939999999999999</v>
      </c>
      <c r="F2384" s="2">
        <v>1.8599999999999998E-2</v>
      </c>
      <c r="G2384" s="2">
        <v>1.2999999999999999E-3</v>
      </c>
      <c r="H2384">
        <v>1476</v>
      </c>
    </row>
    <row r="2385" spans="1:8" x14ac:dyDescent="0.35">
      <c r="A2385" t="s">
        <v>228</v>
      </c>
      <c r="B2385" t="s">
        <v>228</v>
      </c>
      <c r="C2385" s="2">
        <v>0.66490000000000005</v>
      </c>
      <c r="D2385" s="2">
        <v>0.16900000000000001</v>
      </c>
      <c r="E2385" s="2">
        <v>0.14729999999999999</v>
      </c>
      <c r="F2385" s="2">
        <v>1.6799999999999999E-2</v>
      </c>
      <c r="G2385" s="2">
        <v>2E-3</v>
      </c>
      <c r="H2385">
        <v>2813</v>
      </c>
    </row>
    <row r="2387" spans="1:8" x14ac:dyDescent="0.35">
      <c r="A2387" s="1" t="s">
        <v>778</v>
      </c>
    </row>
    <row r="2388" spans="1:8" x14ac:dyDescent="0.35">
      <c r="A2388" t="s">
        <v>219</v>
      </c>
      <c r="B2388" t="s">
        <v>301</v>
      </c>
      <c r="C2388" t="s">
        <v>256</v>
      </c>
      <c r="D2388" t="s">
        <v>257</v>
      </c>
      <c r="E2388" t="s">
        <v>258</v>
      </c>
      <c r="F2388" t="s">
        <v>259</v>
      </c>
      <c r="G2388" t="s">
        <v>232</v>
      </c>
      <c r="H2388" t="s">
        <v>226</v>
      </c>
    </row>
    <row r="2389" spans="1:8" x14ac:dyDescent="0.35">
      <c r="A2389" t="s">
        <v>227</v>
      </c>
      <c r="B2389" t="s">
        <v>245</v>
      </c>
      <c r="C2389" s="2">
        <v>0.57540000000000002</v>
      </c>
      <c r="D2389" s="2">
        <v>0.16089999999999999</v>
      </c>
      <c r="E2389" s="2">
        <v>0.24299999999999999</v>
      </c>
      <c r="F2389" s="2">
        <v>1.9699999999999999E-2</v>
      </c>
      <c r="G2389" s="2">
        <v>1E-3</v>
      </c>
      <c r="H2389">
        <v>783</v>
      </c>
    </row>
    <row r="2390" spans="1:8" x14ac:dyDescent="0.35">
      <c r="A2390" t="s">
        <v>227</v>
      </c>
      <c r="B2390" t="s">
        <v>244</v>
      </c>
      <c r="C2390" s="2">
        <v>0.70030000000000003</v>
      </c>
      <c r="D2390" s="2">
        <v>0.17219999999999999</v>
      </c>
      <c r="E2390" s="2">
        <v>0.1094</v>
      </c>
      <c r="F2390" s="2">
        <v>1.5699999999999999E-2</v>
      </c>
      <c r="G2390" s="2">
        <v>2.3E-3</v>
      </c>
      <c r="H2390">
        <v>2030</v>
      </c>
    </row>
    <row r="2391" spans="1:8" x14ac:dyDescent="0.35">
      <c r="A2391" t="s">
        <v>228</v>
      </c>
      <c r="B2391" t="s">
        <v>228</v>
      </c>
      <c r="C2391" s="2">
        <v>0.66490000000000005</v>
      </c>
      <c r="D2391" s="2">
        <v>0.16900000000000001</v>
      </c>
      <c r="E2391" s="2">
        <v>0.14729999999999999</v>
      </c>
      <c r="F2391" s="2">
        <v>1.6799999999999999E-2</v>
      </c>
      <c r="G2391" s="2">
        <v>2E-3</v>
      </c>
      <c r="H2391">
        <v>2813</v>
      </c>
    </row>
    <row r="2393" spans="1:8" x14ac:dyDescent="0.35">
      <c r="A2393" s="1" t="s">
        <v>779</v>
      </c>
    </row>
    <row r="2394" spans="1:8" x14ac:dyDescent="0.35">
      <c r="A2394" t="s">
        <v>219</v>
      </c>
      <c r="B2394" t="s">
        <v>301</v>
      </c>
      <c r="C2394" t="s">
        <v>256</v>
      </c>
      <c r="D2394" t="s">
        <v>257</v>
      </c>
      <c r="E2394" t="s">
        <v>258</v>
      </c>
      <c r="F2394" t="s">
        <v>259</v>
      </c>
      <c r="G2394" t="s">
        <v>232</v>
      </c>
      <c r="H2394" t="s">
        <v>226</v>
      </c>
    </row>
    <row r="2395" spans="1:8" x14ac:dyDescent="0.35">
      <c r="A2395" t="s">
        <v>227</v>
      </c>
      <c r="B2395" t="s">
        <v>346</v>
      </c>
      <c r="C2395" s="2">
        <v>0.67630000000000001</v>
      </c>
      <c r="D2395" s="2">
        <v>0.17230000000000001</v>
      </c>
      <c r="E2395" s="2">
        <v>0.13469999999999999</v>
      </c>
      <c r="F2395" s="2">
        <v>1.5100000000000001E-2</v>
      </c>
      <c r="G2395" s="2">
        <v>1.6000000000000001E-3</v>
      </c>
      <c r="H2395">
        <v>1463</v>
      </c>
    </row>
    <row r="2396" spans="1:8" x14ac:dyDescent="0.35">
      <c r="A2396" t="s">
        <v>227</v>
      </c>
      <c r="B2396" t="s">
        <v>347</v>
      </c>
      <c r="C2396" s="2">
        <v>0.61980000000000002</v>
      </c>
      <c r="D2396" s="2">
        <v>0.13789999999999999</v>
      </c>
      <c r="E2396" s="2">
        <v>0.2029</v>
      </c>
      <c r="F2396" s="2">
        <v>3.5099999999999999E-2</v>
      </c>
      <c r="G2396" s="2">
        <v>4.1999999999999997E-3</v>
      </c>
      <c r="H2396">
        <v>585</v>
      </c>
    </row>
    <row r="2397" spans="1:8" x14ac:dyDescent="0.35">
      <c r="A2397" t="s">
        <v>227</v>
      </c>
      <c r="B2397" t="s">
        <v>348</v>
      </c>
      <c r="C2397" s="2">
        <v>0.57830000000000004</v>
      </c>
      <c r="D2397" s="2">
        <v>0.15049999999999999</v>
      </c>
      <c r="E2397" s="2">
        <v>0.24079999999999999</v>
      </c>
      <c r="F2397" s="2">
        <v>2.5899999999999999E-2</v>
      </c>
      <c r="G2397" s="2">
        <v>4.4999999999999997E-3</v>
      </c>
      <c r="H2397">
        <v>765</v>
      </c>
    </row>
    <row r="2398" spans="1:8" x14ac:dyDescent="0.35">
      <c r="A2398" t="s">
        <v>228</v>
      </c>
      <c r="B2398" t="s">
        <v>228</v>
      </c>
      <c r="C2398" s="2">
        <v>0.66490000000000005</v>
      </c>
      <c r="D2398" s="2">
        <v>0.16900000000000001</v>
      </c>
      <c r="E2398" s="2">
        <v>0.14729999999999999</v>
      </c>
      <c r="F2398" s="2">
        <v>1.6799999999999999E-2</v>
      </c>
      <c r="G2398" s="2">
        <v>2E-3</v>
      </c>
      <c r="H2398">
        <v>2813</v>
      </c>
    </row>
    <row r="2400" spans="1:8" x14ac:dyDescent="0.35">
      <c r="A2400" s="1" t="s">
        <v>780</v>
      </c>
    </row>
    <row r="2401" spans="1:8" x14ac:dyDescent="0.35">
      <c r="A2401" t="s">
        <v>219</v>
      </c>
      <c r="B2401" t="s">
        <v>301</v>
      </c>
      <c r="C2401" t="s">
        <v>256</v>
      </c>
      <c r="D2401" t="s">
        <v>257</v>
      </c>
      <c r="E2401" t="s">
        <v>258</v>
      </c>
      <c r="F2401" t="s">
        <v>259</v>
      </c>
      <c r="G2401" t="s">
        <v>232</v>
      </c>
      <c r="H2401" t="s">
        <v>226</v>
      </c>
    </row>
    <row r="2402" spans="1:8" x14ac:dyDescent="0.35">
      <c r="A2402" t="s">
        <v>227</v>
      </c>
      <c r="B2402" t="s">
        <v>251</v>
      </c>
      <c r="C2402" s="2">
        <v>0.70030000000000003</v>
      </c>
      <c r="D2402" s="2">
        <v>0.17219999999999999</v>
      </c>
      <c r="E2402" s="2">
        <v>0.1094</v>
      </c>
      <c r="F2402" s="2">
        <v>1.5699999999999999E-2</v>
      </c>
      <c r="G2402" s="2">
        <v>2.3E-3</v>
      </c>
      <c r="H2402">
        <v>2030</v>
      </c>
    </row>
    <row r="2403" spans="1:8" x14ac:dyDescent="0.35">
      <c r="A2403" t="s">
        <v>227</v>
      </c>
      <c r="B2403" t="s">
        <v>252</v>
      </c>
      <c r="C2403" s="2">
        <v>0.58589999999999998</v>
      </c>
      <c r="D2403" s="2">
        <v>0.14729999999999999</v>
      </c>
      <c r="E2403" s="2">
        <v>0.2457</v>
      </c>
      <c r="F2403" s="2">
        <v>2.1000000000000001E-2</v>
      </c>
      <c r="H2403">
        <v>621</v>
      </c>
    </row>
    <row r="2404" spans="1:8" x14ac:dyDescent="0.35">
      <c r="A2404" t="s">
        <v>227</v>
      </c>
      <c r="B2404" t="s">
        <v>253</v>
      </c>
      <c r="C2404" s="2">
        <v>0.52900000000000003</v>
      </c>
      <c r="D2404" s="2">
        <v>0.22550000000000001</v>
      </c>
      <c r="E2404" s="2">
        <v>0.23780000000000001</v>
      </c>
      <c r="F2404" s="2">
        <v>2.2000000000000001E-3</v>
      </c>
      <c r="G2404" s="2">
        <v>5.5999999999999999E-3</v>
      </c>
      <c r="H2404">
        <v>153</v>
      </c>
    </row>
    <row r="2405" spans="1:8" x14ac:dyDescent="0.35">
      <c r="A2405" s="3" t="s">
        <v>227</v>
      </c>
      <c r="B2405" s="3" t="s">
        <v>254</v>
      </c>
      <c r="C2405" s="4">
        <v>0.59030000000000005</v>
      </c>
      <c r="D2405" s="5"/>
      <c r="E2405" s="4">
        <v>5.8000000000000003E-2</v>
      </c>
      <c r="F2405" s="4">
        <v>0.35170000000000001</v>
      </c>
      <c r="G2405" s="5"/>
      <c r="H2405" s="5" t="s">
        <v>515</v>
      </c>
    </row>
    <row r="2406" spans="1:8" x14ac:dyDescent="0.35">
      <c r="A2406" t="s">
        <v>228</v>
      </c>
      <c r="B2406" t="s">
        <v>228</v>
      </c>
      <c r="C2406" s="2">
        <v>0.66490000000000005</v>
      </c>
      <c r="D2406" s="2">
        <v>0.16900000000000001</v>
      </c>
      <c r="E2406" s="2">
        <v>0.14729999999999999</v>
      </c>
      <c r="F2406" s="2">
        <v>1.6799999999999999E-2</v>
      </c>
      <c r="G2406" s="2">
        <v>2E-3</v>
      </c>
      <c r="H2406">
        <v>2813</v>
      </c>
    </row>
    <row r="2408" spans="1:8" x14ac:dyDescent="0.35">
      <c r="A2408" s="1" t="s">
        <v>781</v>
      </c>
    </row>
    <row r="2409" spans="1:8" x14ac:dyDescent="0.35">
      <c r="A2409" t="s">
        <v>219</v>
      </c>
      <c r="B2409" t="s">
        <v>782</v>
      </c>
      <c r="C2409" t="s">
        <v>783</v>
      </c>
      <c r="D2409" t="s">
        <v>784</v>
      </c>
      <c r="E2409" t="s">
        <v>785</v>
      </c>
      <c r="F2409" t="s">
        <v>786</v>
      </c>
      <c r="G2409" t="s">
        <v>787</v>
      </c>
      <c r="H2409" t="s">
        <v>226</v>
      </c>
    </row>
    <row r="2410" spans="1:8" x14ac:dyDescent="0.35">
      <c r="A2410" t="s">
        <v>227</v>
      </c>
      <c r="B2410" s="2">
        <v>0.81599999999999995</v>
      </c>
      <c r="C2410" s="2">
        <v>6.3799999999999996E-2</v>
      </c>
      <c r="D2410" s="2">
        <v>4.2200000000000001E-2</v>
      </c>
      <c r="E2410" s="2">
        <v>3.5999999999999997E-2</v>
      </c>
      <c r="F2410" s="2">
        <v>2.7300000000000001E-2</v>
      </c>
      <c r="G2410" s="2">
        <v>1.47E-2</v>
      </c>
      <c r="H2410">
        <v>405</v>
      </c>
    </row>
    <row r="2411" spans="1:8" x14ac:dyDescent="0.35">
      <c r="A2411" t="s">
        <v>228</v>
      </c>
      <c r="B2411" s="2">
        <v>0.81599999999999995</v>
      </c>
      <c r="C2411" s="2">
        <v>6.3799999999999996E-2</v>
      </c>
      <c r="D2411" s="2">
        <v>4.2200000000000001E-2</v>
      </c>
      <c r="E2411" s="2">
        <v>3.5999999999999997E-2</v>
      </c>
      <c r="F2411" s="2">
        <v>2.7300000000000001E-2</v>
      </c>
      <c r="G2411" s="2">
        <v>1.47E-2</v>
      </c>
      <c r="H2411">
        <v>405</v>
      </c>
    </row>
    <row r="2413" spans="1:8" x14ac:dyDescent="0.35">
      <c r="A2413" s="1" t="s">
        <v>788</v>
      </c>
    </row>
    <row r="2414" spans="1:8" x14ac:dyDescent="0.35">
      <c r="A2414" t="s">
        <v>219</v>
      </c>
      <c r="B2414" t="s">
        <v>784</v>
      </c>
      <c r="C2414" t="s">
        <v>785</v>
      </c>
      <c r="D2414" t="s">
        <v>782</v>
      </c>
      <c r="E2414" t="s">
        <v>786</v>
      </c>
      <c r="F2414" t="s">
        <v>787</v>
      </c>
      <c r="G2414" t="s">
        <v>783</v>
      </c>
      <c r="H2414" t="s">
        <v>226</v>
      </c>
    </row>
    <row r="2415" spans="1:8" x14ac:dyDescent="0.35">
      <c r="A2415" t="s">
        <v>227</v>
      </c>
      <c r="B2415" s="2">
        <v>0.31809999999999999</v>
      </c>
      <c r="C2415" s="2">
        <v>0.28249999999999997</v>
      </c>
      <c r="D2415" s="2">
        <v>0.16839999999999999</v>
      </c>
      <c r="E2415" s="2">
        <v>0.12540000000000001</v>
      </c>
      <c r="F2415" s="2">
        <v>5.5800000000000002E-2</v>
      </c>
      <c r="G2415" s="2">
        <v>4.9700000000000001E-2</v>
      </c>
      <c r="H2415">
        <v>515</v>
      </c>
    </row>
    <row r="2416" spans="1:8" x14ac:dyDescent="0.35">
      <c r="A2416" t="s">
        <v>228</v>
      </c>
      <c r="B2416" s="2">
        <v>0.31809999999999999</v>
      </c>
      <c r="C2416" s="2">
        <v>0.28249999999999997</v>
      </c>
      <c r="D2416" s="2">
        <v>0.16839999999999999</v>
      </c>
      <c r="E2416" s="2">
        <v>0.12540000000000001</v>
      </c>
      <c r="F2416" s="2">
        <v>5.5800000000000002E-2</v>
      </c>
      <c r="G2416" s="2">
        <v>4.9700000000000001E-2</v>
      </c>
      <c r="H2416">
        <v>515</v>
      </c>
    </row>
    <row r="2418" spans="1:8" x14ac:dyDescent="0.35">
      <c r="A2418" s="1" t="s">
        <v>789</v>
      </c>
    </row>
    <row r="2419" spans="1:8" x14ac:dyDescent="0.35">
      <c r="A2419" t="s">
        <v>219</v>
      </c>
      <c r="B2419" t="s">
        <v>782</v>
      </c>
      <c r="C2419" t="s">
        <v>783</v>
      </c>
      <c r="D2419" t="s">
        <v>784</v>
      </c>
      <c r="E2419" t="s">
        <v>787</v>
      </c>
      <c r="F2419" t="s">
        <v>785</v>
      </c>
      <c r="G2419" t="s">
        <v>786</v>
      </c>
      <c r="H2419" t="s">
        <v>226</v>
      </c>
    </row>
    <row r="2420" spans="1:8" x14ac:dyDescent="0.35">
      <c r="A2420" t="s">
        <v>227</v>
      </c>
      <c r="B2420" s="2">
        <v>0.89419999999999999</v>
      </c>
      <c r="C2420" s="2">
        <v>2.69E-2</v>
      </c>
      <c r="D2420" s="2">
        <v>2.64E-2</v>
      </c>
      <c r="E2420" s="2">
        <v>2.4899999999999999E-2</v>
      </c>
      <c r="F2420" s="2">
        <v>1.5599999999999999E-2</v>
      </c>
      <c r="G2420" s="2">
        <v>1.1900000000000001E-2</v>
      </c>
      <c r="H2420">
        <v>525</v>
      </c>
    </row>
    <row r="2421" spans="1:8" x14ac:dyDescent="0.35">
      <c r="A2421" t="s">
        <v>228</v>
      </c>
      <c r="B2421" s="2">
        <v>0.89419999999999999</v>
      </c>
      <c r="C2421" s="2">
        <v>2.69E-2</v>
      </c>
      <c r="D2421" s="2">
        <v>2.64E-2</v>
      </c>
      <c r="E2421" s="2">
        <v>2.4899999999999999E-2</v>
      </c>
      <c r="F2421" s="2">
        <v>1.5599999999999999E-2</v>
      </c>
      <c r="G2421" s="2">
        <v>1.1900000000000001E-2</v>
      </c>
      <c r="H2421">
        <v>525</v>
      </c>
    </row>
    <row r="2423" spans="1:8" x14ac:dyDescent="0.35">
      <c r="A2423" s="1" t="s">
        <v>790</v>
      </c>
    </row>
    <row r="2424" spans="1:8" x14ac:dyDescent="0.35">
      <c r="A2424" t="s">
        <v>219</v>
      </c>
      <c r="B2424" t="s">
        <v>782</v>
      </c>
      <c r="C2424" t="s">
        <v>785</v>
      </c>
      <c r="D2424" t="s">
        <v>783</v>
      </c>
      <c r="E2424" t="s">
        <v>784</v>
      </c>
      <c r="F2424" t="s">
        <v>786</v>
      </c>
      <c r="G2424" t="s">
        <v>787</v>
      </c>
      <c r="H2424" t="s">
        <v>226</v>
      </c>
    </row>
    <row r="2425" spans="1:8" x14ac:dyDescent="0.35">
      <c r="A2425" t="s">
        <v>227</v>
      </c>
      <c r="B2425" s="2">
        <v>0.68130000000000002</v>
      </c>
      <c r="C2425" s="2">
        <v>9.1399999999999995E-2</v>
      </c>
      <c r="D2425" s="2">
        <v>7.5999999999999998E-2</v>
      </c>
      <c r="E2425" s="2">
        <v>6.8400000000000002E-2</v>
      </c>
      <c r="F2425" s="2">
        <v>5.57E-2</v>
      </c>
      <c r="G2425" s="2">
        <v>2.7099999999999999E-2</v>
      </c>
      <c r="H2425">
        <v>405</v>
      </c>
    </row>
    <row r="2426" spans="1:8" x14ac:dyDescent="0.35">
      <c r="A2426" t="s">
        <v>228</v>
      </c>
      <c r="B2426" s="2">
        <v>0.68130000000000002</v>
      </c>
      <c r="C2426" s="2">
        <v>9.1399999999999995E-2</v>
      </c>
      <c r="D2426" s="2">
        <v>7.5999999999999998E-2</v>
      </c>
      <c r="E2426" s="2">
        <v>6.8400000000000002E-2</v>
      </c>
      <c r="F2426" s="2">
        <v>5.57E-2</v>
      </c>
      <c r="G2426" s="2">
        <v>2.7099999999999999E-2</v>
      </c>
      <c r="H2426">
        <v>405</v>
      </c>
    </row>
    <row r="2428" spans="1:8" x14ac:dyDescent="0.35">
      <c r="A2428" s="1" t="s">
        <v>791</v>
      </c>
    </row>
    <row r="2429" spans="1:8" x14ac:dyDescent="0.35">
      <c r="A2429" t="s">
        <v>219</v>
      </c>
      <c r="B2429" t="s">
        <v>782</v>
      </c>
      <c r="C2429" t="s">
        <v>784</v>
      </c>
      <c r="D2429" t="s">
        <v>783</v>
      </c>
      <c r="E2429" t="s">
        <v>786</v>
      </c>
      <c r="F2429" t="s">
        <v>787</v>
      </c>
      <c r="G2429" t="s">
        <v>785</v>
      </c>
      <c r="H2429" t="s">
        <v>226</v>
      </c>
    </row>
    <row r="2430" spans="1:8" x14ac:dyDescent="0.35">
      <c r="A2430" t="s">
        <v>227</v>
      </c>
      <c r="B2430" s="2">
        <v>0.86150000000000004</v>
      </c>
      <c r="C2430" s="2">
        <v>6.3700000000000007E-2</v>
      </c>
      <c r="D2430" s="2">
        <v>6.1899999999999997E-2</v>
      </c>
      <c r="E2430" s="2">
        <v>5.1999999999999998E-3</v>
      </c>
      <c r="F2430" s="2">
        <v>4.7000000000000002E-3</v>
      </c>
      <c r="G2430" s="2">
        <v>3.0999999999999999E-3</v>
      </c>
      <c r="H2430">
        <v>69</v>
      </c>
    </row>
    <row r="2431" spans="1:8" x14ac:dyDescent="0.35">
      <c r="A2431" t="s">
        <v>228</v>
      </c>
      <c r="B2431" s="2">
        <v>0.86150000000000004</v>
      </c>
      <c r="C2431" s="2">
        <v>6.3700000000000007E-2</v>
      </c>
      <c r="D2431" s="2">
        <v>6.1899999999999997E-2</v>
      </c>
      <c r="E2431" s="2">
        <v>5.1999999999999998E-3</v>
      </c>
      <c r="F2431" s="2">
        <v>4.7000000000000002E-3</v>
      </c>
      <c r="G2431" s="2">
        <v>3.0999999999999999E-3</v>
      </c>
      <c r="H2431">
        <v>69</v>
      </c>
    </row>
    <row r="2433" spans="1:21" x14ac:dyDescent="0.35">
      <c r="A2433" s="1" t="s">
        <v>792</v>
      </c>
    </row>
    <row r="2434" spans="1:21" x14ac:dyDescent="0.35">
      <c r="A2434" t="s">
        <v>219</v>
      </c>
      <c r="B2434" t="s">
        <v>793</v>
      </c>
      <c r="C2434" t="s">
        <v>794</v>
      </c>
      <c r="D2434" t="s">
        <v>795</v>
      </c>
      <c r="E2434" t="s">
        <v>796</v>
      </c>
      <c r="F2434" t="s">
        <v>797</v>
      </c>
      <c r="G2434" t="s">
        <v>798</v>
      </c>
      <c r="H2434" t="s">
        <v>799</v>
      </c>
      <c r="I2434" t="s">
        <v>800</v>
      </c>
      <c r="J2434" t="s">
        <v>801</v>
      </c>
      <c r="K2434" t="s">
        <v>802</v>
      </c>
      <c r="L2434" t="s">
        <v>803</v>
      </c>
      <c r="M2434" t="s">
        <v>804</v>
      </c>
      <c r="N2434" t="s">
        <v>805</v>
      </c>
      <c r="O2434" t="s">
        <v>806</v>
      </c>
      <c r="P2434" t="s">
        <v>807</v>
      </c>
      <c r="Q2434" t="s">
        <v>808</v>
      </c>
      <c r="R2434" t="s">
        <v>809</v>
      </c>
      <c r="S2434" t="s">
        <v>810</v>
      </c>
      <c r="T2434" t="s">
        <v>811</v>
      </c>
      <c r="U2434" t="s">
        <v>226</v>
      </c>
    </row>
    <row r="2435" spans="1:21" x14ac:dyDescent="0.35">
      <c r="A2435" t="s">
        <v>227</v>
      </c>
      <c r="B2435" s="2">
        <v>0.45679999999999998</v>
      </c>
      <c r="C2435" s="2">
        <v>0.13350000000000001</v>
      </c>
      <c r="D2435" s="2">
        <v>0.13109999999999999</v>
      </c>
      <c r="E2435" s="2">
        <v>7.3400000000000007E-2</v>
      </c>
      <c r="F2435" s="2">
        <v>4.0800000000000003E-2</v>
      </c>
      <c r="G2435" s="2">
        <v>2.92E-2</v>
      </c>
      <c r="H2435" s="2">
        <v>2.3800000000000002E-2</v>
      </c>
      <c r="I2435" s="2">
        <v>2.3400000000000001E-2</v>
      </c>
      <c r="J2435" s="2">
        <v>1.8800000000000001E-2</v>
      </c>
      <c r="K2435" s="2">
        <v>1.49E-2</v>
      </c>
      <c r="L2435" s="2">
        <v>1.11E-2</v>
      </c>
      <c r="M2435" s="2">
        <v>9.9000000000000008E-3</v>
      </c>
      <c r="N2435" s="2">
        <v>9.9000000000000008E-3</v>
      </c>
      <c r="O2435" s="2">
        <v>9.9000000000000008E-3</v>
      </c>
      <c r="P2435" s="2">
        <v>7.9000000000000008E-3</v>
      </c>
      <c r="Q2435" s="2">
        <v>4.1999999999999997E-3</v>
      </c>
      <c r="R2435" s="2">
        <v>5.9999999999999995E-4</v>
      </c>
      <c r="S2435" s="2">
        <v>2.9999999999999997E-4</v>
      </c>
      <c r="T2435" s="2">
        <v>2.9999999999999997E-4</v>
      </c>
      <c r="U2435">
        <v>405</v>
      </c>
    </row>
    <row r="2436" spans="1:21" x14ac:dyDescent="0.35">
      <c r="A2436" t="s">
        <v>228</v>
      </c>
      <c r="B2436" s="2">
        <v>0.45679999999999998</v>
      </c>
      <c r="C2436" s="2">
        <v>0.13350000000000001</v>
      </c>
      <c r="D2436" s="2">
        <v>0.13109999999999999</v>
      </c>
      <c r="E2436" s="2">
        <v>7.3400000000000007E-2</v>
      </c>
      <c r="F2436" s="2">
        <v>4.0800000000000003E-2</v>
      </c>
      <c r="G2436" s="2">
        <v>2.92E-2</v>
      </c>
      <c r="H2436" s="2">
        <v>2.3800000000000002E-2</v>
      </c>
      <c r="I2436" s="2">
        <v>2.3400000000000001E-2</v>
      </c>
      <c r="J2436" s="2">
        <v>1.8800000000000001E-2</v>
      </c>
      <c r="K2436" s="2">
        <v>1.49E-2</v>
      </c>
      <c r="L2436" s="2">
        <v>1.11E-2</v>
      </c>
      <c r="M2436" s="2">
        <v>9.9000000000000008E-3</v>
      </c>
      <c r="N2436" s="2">
        <v>9.9000000000000008E-3</v>
      </c>
      <c r="O2436" s="2">
        <v>9.9000000000000008E-3</v>
      </c>
      <c r="P2436" s="2">
        <v>7.9000000000000008E-3</v>
      </c>
      <c r="Q2436" s="2">
        <v>4.1999999999999997E-3</v>
      </c>
      <c r="R2436" s="2">
        <v>5.9999999999999995E-4</v>
      </c>
      <c r="S2436" s="2">
        <v>2.9999999999999997E-4</v>
      </c>
      <c r="T2436" s="2">
        <v>2.9999999999999997E-4</v>
      </c>
      <c r="U2436">
        <v>405</v>
      </c>
    </row>
    <row r="2438" spans="1:21" x14ac:dyDescent="0.35">
      <c r="A2438" s="1" t="s">
        <v>812</v>
      </c>
    </row>
    <row r="2439" spans="1:21" x14ac:dyDescent="0.35">
      <c r="A2439" t="s">
        <v>219</v>
      </c>
      <c r="B2439" t="s">
        <v>813</v>
      </c>
      <c r="C2439" t="s">
        <v>814</v>
      </c>
      <c r="D2439" t="s">
        <v>815</v>
      </c>
      <c r="E2439" t="s">
        <v>277</v>
      </c>
      <c r="F2439" t="s">
        <v>282</v>
      </c>
      <c r="G2439" t="s">
        <v>226</v>
      </c>
    </row>
    <row r="2440" spans="1:21" x14ac:dyDescent="0.35">
      <c r="A2440" t="s">
        <v>227</v>
      </c>
      <c r="B2440" s="2">
        <v>0.80689999999999995</v>
      </c>
      <c r="C2440" s="2">
        <v>0.1061</v>
      </c>
      <c r="D2440" s="2">
        <v>8.6199999999999999E-2</v>
      </c>
      <c r="E2440" s="2">
        <v>5.9999999999999995E-4</v>
      </c>
      <c r="F2440" s="2">
        <v>2.0000000000000001E-4</v>
      </c>
      <c r="G2440">
        <v>2813</v>
      </c>
    </row>
    <row r="2441" spans="1:21" x14ac:dyDescent="0.35">
      <c r="A2441" t="s">
        <v>228</v>
      </c>
      <c r="B2441" s="2">
        <v>0.80689999999999995</v>
      </c>
      <c r="C2441" s="2">
        <v>0.1061</v>
      </c>
      <c r="D2441" s="2">
        <v>8.6199999999999999E-2</v>
      </c>
      <c r="E2441" s="2">
        <v>5.9999999999999995E-4</v>
      </c>
      <c r="F2441" s="2">
        <v>2.0000000000000001E-4</v>
      </c>
      <c r="G2441">
        <v>2813</v>
      </c>
    </row>
    <row r="2443" spans="1:21" x14ac:dyDescent="0.35">
      <c r="A2443" s="1" t="s">
        <v>816</v>
      </c>
    </row>
    <row r="2444" spans="1:21" x14ac:dyDescent="0.35">
      <c r="A2444" t="s">
        <v>219</v>
      </c>
      <c r="B2444" t="s">
        <v>817</v>
      </c>
      <c r="C2444" t="s">
        <v>818</v>
      </c>
      <c r="D2444" t="s">
        <v>819</v>
      </c>
      <c r="E2444" t="s">
        <v>820</v>
      </c>
      <c r="F2444" t="s">
        <v>821</v>
      </c>
      <c r="G2444" t="s">
        <v>822</v>
      </c>
      <c r="H2444" t="s">
        <v>823</v>
      </c>
      <c r="I2444" t="s">
        <v>824</v>
      </c>
      <c r="J2444" t="s">
        <v>825</v>
      </c>
      <c r="K2444" t="s">
        <v>826</v>
      </c>
      <c r="L2444" t="s">
        <v>827</v>
      </c>
      <c r="M2444" t="s">
        <v>277</v>
      </c>
      <c r="N2444" t="s">
        <v>828</v>
      </c>
      <c r="O2444" t="s">
        <v>829</v>
      </c>
      <c r="P2444" t="s">
        <v>830</v>
      </c>
      <c r="Q2444" t="s">
        <v>282</v>
      </c>
      <c r="R2444" t="s">
        <v>226</v>
      </c>
    </row>
    <row r="2445" spans="1:21" x14ac:dyDescent="0.35">
      <c r="A2445" t="s">
        <v>227</v>
      </c>
      <c r="B2445" s="2">
        <v>0.41149999999999998</v>
      </c>
      <c r="C2445" s="2">
        <v>0.37119999999999997</v>
      </c>
      <c r="D2445" s="2">
        <v>0.13400000000000001</v>
      </c>
      <c r="E2445" s="2">
        <v>0.12559999999999999</v>
      </c>
      <c r="F2445" s="2">
        <v>0.1177</v>
      </c>
      <c r="G2445" s="2">
        <v>9.5000000000000001E-2</v>
      </c>
      <c r="H2445" s="2">
        <v>8.6300000000000002E-2</v>
      </c>
      <c r="I2445" s="2">
        <v>6.8699999999999997E-2</v>
      </c>
      <c r="J2445" s="2">
        <v>6.5500000000000003E-2</v>
      </c>
      <c r="K2445" s="2">
        <v>4.6199999999999998E-2</v>
      </c>
      <c r="L2445" s="2">
        <v>1.84E-2</v>
      </c>
      <c r="M2445" s="2">
        <v>1.3599999999999999E-2</v>
      </c>
      <c r="N2445" s="2">
        <v>1.2E-2</v>
      </c>
      <c r="O2445" s="2">
        <v>9.5999999999999992E-3</v>
      </c>
      <c r="P2445" s="2">
        <v>3.3E-3</v>
      </c>
      <c r="Q2445" s="2">
        <v>2.3999999999999998E-3</v>
      </c>
      <c r="R2445">
        <v>521</v>
      </c>
    </row>
    <row r="2446" spans="1:21" x14ac:dyDescent="0.35">
      <c r="A2446" t="s">
        <v>228</v>
      </c>
      <c r="B2446" s="2">
        <v>0.41149999999999998</v>
      </c>
      <c r="C2446" s="2">
        <v>0.37119999999999997</v>
      </c>
      <c r="D2446" s="2">
        <v>0.13400000000000001</v>
      </c>
      <c r="E2446" s="2">
        <v>0.12559999999999999</v>
      </c>
      <c r="F2446" s="2">
        <v>0.1177</v>
      </c>
      <c r="G2446" s="2">
        <v>9.5000000000000001E-2</v>
      </c>
      <c r="H2446" s="2">
        <v>8.6300000000000002E-2</v>
      </c>
      <c r="I2446" s="2">
        <v>6.8699999999999997E-2</v>
      </c>
      <c r="J2446" s="2">
        <v>6.5500000000000003E-2</v>
      </c>
      <c r="K2446" s="2">
        <v>4.6199999999999998E-2</v>
      </c>
      <c r="L2446" s="2">
        <v>1.84E-2</v>
      </c>
      <c r="M2446" s="2">
        <v>1.3599999999999999E-2</v>
      </c>
      <c r="N2446" s="2">
        <v>1.2E-2</v>
      </c>
      <c r="O2446" s="2">
        <v>9.5999999999999992E-3</v>
      </c>
      <c r="P2446" s="2">
        <v>3.3E-3</v>
      </c>
      <c r="Q2446" s="2">
        <v>2.3999999999999998E-3</v>
      </c>
      <c r="R2446">
        <v>521</v>
      </c>
    </row>
    <row r="2448" spans="1:21" x14ac:dyDescent="0.35">
      <c r="A2448" s="1" t="s">
        <v>831</v>
      </c>
    </row>
    <row r="2449" spans="1:19" x14ac:dyDescent="0.35">
      <c r="A2449" t="s">
        <v>219</v>
      </c>
      <c r="B2449" t="s">
        <v>301</v>
      </c>
      <c r="C2449" t="s">
        <v>817</v>
      </c>
      <c r="D2449" t="s">
        <v>818</v>
      </c>
      <c r="E2449" t="s">
        <v>819</v>
      </c>
      <c r="F2449" t="s">
        <v>820</v>
      </c>
      <c r="G2449" t="s">
        <v>821</v>
      </c>
      <c r="H2449" t="s">
        <v>822</v>
      </c>
      <c r="I2449" t="s">
        <v>823</v>
      </c>
      <c r="J2449" t="s">
        <v>824</v>
      </c>
      <c r="K2449" t="s">
        <v>825</v>
      </c>
      <c r="L2449" t="s">
        <v>826</v>
      </c>
      <c r="M2449" t="s">
        <v>827</v>
      </c>
      <c r="N2449" t="s">
        <v>277</v>
      </c>
      <c r="O2449" t="s">
        <v>828</v>
      </c>
      <c r="P2449" t="s">
        <v>829</v>
      </c>
      <c r="Q2449" t="s">
        <v>830</v>
      </c>
      <c r="R2449" t="s">
        <v>282</v>
      </c>
      <c r="S2449" t="s">
        <v>226</v>
      </c>
    </row>
    <row r="2450" spans="1:19" x14ac:dyDescent="0.35">
      <c r="A2450" t="s">
        <v>227</v>
      </c>
      <c r="B2450" t="s">
        <v>238</v>
      </c>
      <c r="C2450" s="2">
        <v>0.37959999999999999</v>
      </c>
      <c r="D2450" s="2">
        <v>0.4415</v>
      </c>
      <c r="E2450" s="2">
        <v>7.1199999999999999E-2</v>
      </c>
      <c r="F2450" s="2">
        <v>0.13270000000000001</v>
      </c>
      <c r="G2450" s="2">
        <v>0.18509999999999999</v>
      </c>
      <c r="H2450" s="2">
        <v>0.16089999999999999</v>
      </c>
      <c r="I2450" s="2">
        <v>0.13519999999999999</v>
      </c>
      <c r="J2450" s="2">
        <v>0.10390000000000001</v>
      </c>
      <c r="K2450" s="2">
        <v>8.4199999999999997E-2</v>
      </c>
      <c r="L2450" s="2">
        <v>5.1400000000000001E-2</v>
      </c>
      <c r="M2450" s="2">
        <v>2.8799999999999999E-2</v>
      </c>
      <c r="N2450" s="2">
        <v>4.1999999999999997E-3</v>
      </c>
      <c r="O2450" s="2">
        <v>1.7000000000000001E-2</v>
      </c>
      <c r="P2450" s="2">
        <v>2.1399999999999999E-2</v>
      </c>
      <c r="Q2450" s="2">
        <v>5.4000000000000003E-3</v>
      </c>
      <c r="R2450" s="2">
        <v>1.8E-3</v>
      </c>
      <c r="S2450">
        <v>174</v>
      </c>
    </row>
    <row r="2451" spans="1:19" x14ac:dyDescent="0.35">
      <c r="A2451" t="s">
        <v>227</v>
      </c>
      <c r="B2451" t="s">
        <v>237</v>
      </c>
      <c r="C2451" s="2">
        <v>0.42599999999999999</v>
      </c>
      <c r="D2451" s="2">
        <v>0.33929999999999999</v>
      </c>
      <c r="E2451" s="2">
        <v>0.16250000000000001</v>
      </c>
      <c r="F2451" s="2">
        <v>0.1225</v>
      </c>
      <c r="G2451" s="2">
        <v>8.7099999999999997E-2</v>
      </c>
      <c r="H2451" s="2">
        <v>6.5100000000000005E-2</v>
      </c>
      <c r="I2451" s="2">
        <v>6.4100000000000004E-2</v>
      </c>
      <c r="J2451" s="2">
        <v>5.2699999999999997E-2</v>
      </c>
      <c r="K2451" s="2">
        <v>5.6899999999999999E-2</v>
      </c>
      <c r="L2451" s="2">
        <v>4.3799999999999999E-2</v>
      </c>
      <c r="M2451" s="2">
        <v>1.3599999999999999E-2</v>
      </c>
      <c r="N2451" s="2">
        <v>1.7899999999999999E-2</v>
      </c>
      <c r="O2451" s="2">
        <v>9.7000000000000003E-3</v>
      </c>
      <c r="P2451" s="2">
        <v>4.1999999999999997E-3</v>
      </c>
      <c r="Q2451" s="2">
        <v>2.3E-3</v>
      </c>
      <c r="R2451" s="2">
        <v>2.7000000000000001E-3</v>
      </c>
      <c r="S2451">
        <v>347</v>
      </c>
    </row>
    <row r="2452" spans="1:19" x14ac:dyDescent="0.35">
      <c r="A2452" t="s">
        <v>228</v>
      </c>
      <c r="B2452" t="s">
        <v>228</v>
      </c>
      <c r="C2452" s="2">
        <v>0.41149999999999998</v>
      </c>
      <c r="D2452" s="2">
        <v>0.37119999999999997</v>
      </c>
      <c r="E2452" s="2">
        <v>0.13400000000000001</v>
      </c>
      <c r="F2452" s="2">
        <v>0.12559999999999999</v>
      </c>
      <c r="G2452" s="2">
        <v>0.1177</v>
      </c>
      <c r="H2452" s="2">
        <v>9.5000000000000001E-2</v>
      </c>
      <c r="I2452" s="2">
        <v>8.6300000000000002E-2</v>
      </c>
      <c r="J2452" s="2">
        <v>6.8699999999999997E-2</v>
      </c>
      <c r="K2452" s="2">
        <v>6.5500000000000003E-2</v>
      </c>
      <c r="L2452" s="2">
        <v>4.6199999999999998E-2</v>
      </c>
      <c r="M2452" s="2">
        <v>1.84E-2</v>
      </c>
      <c r="N2452" s="2">
        <v>1.3599999999999999E-2</v>
      </c>
      <c r="O2452" s="2">
        <v>1.2E-2</v>
      </c>
      <c r="P2452" s="2">
        <v>9.5999999999999992E-3</v>
      </c>
      <c r="Q2452" s="2">
        <v>3.3E-3</v>
      </c>
      <c r="R2452" s="2">
        <v>2.3999999999999998E-3</v>
      </c>
      <c r="S2452">
        <v>521</v>
      </c>
    </row>
    <row r="2454" spans="1:19" x14ac:dyDescent="0.35">
      <c r="A2454" s="1" t="s">
        <v>832</v>
      </c>
    </row>
    <row r="2455" spans="1:19" x14ac:dyDescent="0.35">
      <c r="A2455" t="s">
        <v>219</v>
      </c>
      <c r="B2455" t="s">
        <v>301</v>
      </c>
      <c r="C2455" t="s">
        <v>817</v>
      </c>
      <c r="D2455" t="s">
        <v>818</v>
      </c>
      <c r="E2455" t="s">
        <v>819</v>
      </c>
      <c r="F2455" t="s">
        <v>820</v>
      </c>
      <c r="G2455" t="s">
        <v>821</v>
      </c>
      <c r="H2455" t="s">
        <v>822</v>
      </c>
      <c r="I2455" t="s">
        <v>823</v>
      </c>
      <c r="J2455" t="s">
        <v>824</v>
      </c>
      <c r="K2455" t="s">
        <v>825</v>
      </c>
      <c r="L2455" t="s">
        <v>826</v>
      </c>
      <c r="M2455" t="s">
        <v>827</v>
      </c>
      <c r="N2455" t="s">
        <v>277</v>
      </c>
      <c r="O2455" t="s">
        <v>828</v>
      </c>
      <c r="P2455" t="s">
        <v>829</v>
      </c>
      <c r="Q2455" t="s">
        <v>830</v>
      </c>
      <c r="R2455" t="s">
        <v>282</v>
      </c>
      <c r="S2455" t="s">
        <v>226</v>
      </c>
    </row>
    <row r="2456" spans="1:19" x14ac:dyDescent="0.35">
      <c r="A2456" t="s">
        <v>227</v>
      </c>
      <c r="B2456" t="s">
        <v>235</v>
      </c>
      <c r="C2456" s="2">
        <v>0.45550000000000002</v>
      </c>
      <c r="D2456" s="2">
        <v>0.45760000000000001</v>
      </c>
      <c r="E2456" s="2">
        <v>6.6699999999999995E-2</v>
      </c>
      <c r="F2456" s="2">
        <v>6.8199999999999997E-2</v>
      </c>
      <c r="G2456" s="2">
        <v>3.9399999999999998E-2</v>
      </c>
      <c r="H2456" s="2">
        <v>0.1186</v>
      </c>
      <c r="I2456" s="2">
        <v>7.22E-2</v>
      </c>
      <c r="J2456" s="2">
        <v>7.7399999999999997E-2</v>
      </c>
      <c r="K2456" s="2">
        <v>5.3600000000000002E-2</v>
      </c>
      <c r="L2456" s="2">
        <v>9.9000000000000008E-3</v>
      </c>
      <c r="M2456" s="2">
        <v>3.3E-3</v>
      </c>
      <c r="N2456" s="2">
        <v>4.4999999999999997E-3</v>
      </c>
      <c r="O2456" s="2">
        <v>2E-3</v>
      </c>
      <c r="P2456" s="2">
        <v>1.29E-2</v>
      </c>
      <c r="Q2456" s="2">
        <v>7.1000000000000004E-3</v>
      </c>
      <c r="R2456" s="2">
        <v>3.0999999999999999E-3</v>
      </c>
      <c r="S2456">
        <v>141</v>
      </c>
    </row>
    <row r="2457" spans="1:19" x14ac:dyDescent="0.35">
      <c r="A2457" t="s">
        <v>227</v>
      </c>
      <c r="B2457" t="s">
        <v>234</v>
      </c>
      <c r="C2457" s="2">
        <v>0.40189999999999998</v>
      </c>
      <c r="D2457" s="2">
        <v>0.3523</v>
      </c>
      <c r="E2457" s="2">
        <v>0.1487</v>
      </c>
      <c r="F2457" s="2">
        <v>0.13819999999999999</v>
      </c>
      <c r="G2457" s="2">
        <v>0.13489999999999999</v>
      </c>
      <c r="H2457" s="2">
        <v>8.9899999999999994E-2</v>
      </c>
      <c r="I2457" s="2">
        <v>8.9399999999999993E-2</v>
      </c>
      <c r="J2457" s="2">
        <v>6.6799999999999998E-2</v>
      </c>
      <c r="K2457" s="2">
        <v>6.8000000000000005E-2</v>
      </c>
      <c r="L2457" s="2">
        <v>5.4100000000000002E-2</v>
      </c>
      <c r="M2457" s="2">
        <v>2.1700000000000001E-2</v>
      </c>
      <c r="N2457" s="2">
        <v>1.5599999999999999E-2</v>
      </c>
      <c r="O2457" s="2">
        <v>1.41E-2</v>
      </c>
      <c r="P2457" s="2">
        <v>8.8999999999999999E-3</v>
      </c>
      <c r="Q2457" s="2">
        <v>2.3999999999999998E-3</v>
      </c>
      <c r="R2457" s="2">
        <v>2.3E-3</v>
      </c>
      <c r="S2457">
        <v>380</v>
      </c>
    </row>
    <row r="2458" spans="1:19" x14ac:dyDescent="0.35">
      <c r="A2458" t="s">
        <v>228</v>
      </c>
      <c r="B2458" t="s">
        <v>228</v>
      </c>
      <c r="C2458" s="2">
        <v>0.41149999999999998</v>
      </c>
      <c r="D2458" s="2">
        <v>0.37119999999999997</v>
      </c>
      <c r="E2458" s="2">
        <v>0.13400000000000001</v>
      </c>
      <c r="F2458" s="2">
        <v>0.12559999999999999</v>
      </c>
      <c r="G2458" s="2">
        <v>0.1177</v>
      </c>
      <c r="H2458" s="2">
        <v>9.5000000000000001E-2</v>
      </c>
      <c r="I2458" s="2">
        <v>8.6300000000000002E-2</v>
      </c>
      <c r="J2458" s="2">
        <v>6.8699999999999997E-2</v>
      </c>
      <c r="K2458" s="2">
        <v>6.5500000000000003E-2</v>
      </c>
      <c r="L2458" s="2">
        <v>4.6199999999999998E-2</v>
      </c>
      <c r="M2458" s="2">
        <v>1.84E-2</v>
      </c>
      <c r="N2458" s="2">
        <v>1.3599999999999999E-2</v>
      </c>
      <c r="O2458" s="2">
        <v>1.2E-2</v>
      </c>
      <c r="P2458" s="2">
        <v>9.5999999999999992E-3</v>
      </c>
      <c r="Q2458" s="2">
        <v>3.3E-3</v>
      </c>
      <c r="R2458" s="2">
        <v>2.3999999999999998E-3</v>
      </c>
      <c r="S2458">
        <v>521</v>
      </c>
    </row>
    <row r="2460" spans="1:19" x14ac:dyDescent="0.35">
      <c r="A2460" s="1" t="s">
        <v>833</v>
      </c>
    </row>
    <row r="2461" spans="1:19" x14ac:dyDescent="0.35">
      <c r="A2461" t="s">
        <v>219</v>
      </c>
      <c r="B2461" t="s">
        <v>301</v>
      </c>
      <c r="C2461" t="s">
        <v>817</v>
      </c>
      <c r="D2461" t="s">
        <v>818</v>
      </c>
      <c r="E2461" t="s">
        <v>819</v>
      </c>
      <c r="F2461" t="s">
        <v>820</v>
      </c>
      <c r="G2461" t="s">
        <v>821</v>
      </c>
      <c r="H2461" t="s">
        <v>822</v>
      </c>
      <c r="I2461" t="s">
        <v>823</v>
      </c>
      <c r="J2461" t="s">
        <v>824</v>
      </c>
      <c r="K2461" t="s">
        <v>825</v>
      </c>
      <c r="L2461" t="s">
        <v>826</v>
      </c>
      <c r="M2461" t="s">
        <v>827</v>
      </c>
      <c r="N2461" t="s">
        <v>277</v>
      </c>
      <c r="O2461" t="s">
        <v>828</v>
      </c>
      <c r="P2461" t="s">
        <v>829</v>
      </c>
      <c r="Q2461" t="s">
        <v>830</v>
      </c>
      <c r="R2461" t="s">
        <v>282</v>
      </c>
      <c r="S2461" t="s">
        <v>226</v>
      </c>
    </row>
    <row r="2462" spans="1:19" x14ac:dyDescent="0.35">
      <c r="A2462" t="s">
        <v>227</v>
      </c>
      <c r="B2462" t="s">
        <v>240</v>
      </c>
      <c r="C2462" s="2">
        <v>0.4355</v>
      </c>
      <c r="D2462" s="2">
        <v>0.40560000000000002</v>
      </c>
      <c r="E2462" s="2">
        <v>0.11609999999999999</v>
      </c>
      <c r="F2462" s="2">
        <v>0.13739999999999999</v>
      </c>
      <c r="G2462" s="2">
        <v>0.1042</v>
      </c>
      <c r="H2462" s="2">
        <v>6.0100000000000001E-2</v>
      </c>
      <c r="I2462" s="2">
        <v>6.3600000000000004E-2</v>
      </c>
      <c r="J2462" s="2">
        <v>6.5600000000000006E-2</v>
      </c>
      <c r="K2462" s="2">
        <v>6.8099999999999994E-2</v>
      </c>
      <c r="L2462" s="2">
        <v>5.8599999999999999E-2</v>
      </c>
      <c r="M2462" s="2">
        <v>1.8800000000000001E-2</v>
      </c>
      <c r="N2462" s="2">
        <v>2.8999999999999998E-3</v>
      </c>
      <c r="O2462" s="2">
        <v>9.7999999999999997E-3</v>
      </c>
      <c r="P2462" s="2">
        <v>1.2999999999999999E-2</v>
      </c>
      <c r="Q2462" s="2">
        <v>3.8999999999999998E-3</v>
      </c>
      <c r="R2462" s="2">
        <v>3.3E-3</v>
      </c>
      <c r="S2462">
        <v>354</v>
      </c>
    </row>
    <row r="2463" spans="1:19" x14ac:dyDescent="0.35">
      <c r="A2463" t="s">
        <v>227</v>
      </c>
      <c r="B2463" t="s">
        <v>241</v>
      </c>
      <c r="C2463" s="2">
        <v>0.31069999999999998</v>
      </c>
      <c r="D2463" s="2">
        <v>0.2137</v>
      </c>
      <c r="E2463" s="2">
        <v>8.8300000000000003E-2</v>
      </c>
      <c r="F2463" s="2">
        <v>0.11070000000000001</v>
      </c>
      <c r="G2463" s="2">
        <v>0.1681</v>
      </c>
      <c r="H2463" s="2">
        <v>0.1842</v>
      </c>
      <c r="I2463" s="2">
        <v>0.11020000000000001</v>
      </c>
      <c r="J2463" s="2">
        <v>6.6299999999999998E-2</v>
      </c>
      <c r="K2463" s="2">
        <v>2.2700000000000001E-2</v>
      </c>
      <c r="L2463" s="2">
        <v>8.2000000000000007E-3</v>
      </c>
      <c r="M2463" s="2">
        <v>8.9999999999999993E-3</v>
      </c>
      <c r="N2463" s="2">
        <v>6.6600000000000006E-2</v>
      </c>
      <c r="O2463" s="2">
        <v>8.2000000000000007E-3</v>
      </c>
      <c r="P2463" s="2">
        <v>1E-3</v>
      </c>
      <c r="S2463">
        <v>123</v>
      </c>
    </row>
    <row r="2464" spans="1:19" x14ac:dyDescent="0.35">
      <c r="A2464" t="s">
        <v>227</v>
      </c>
      <c r="B2464" t="s">
        <v>242</v>
      </c>
      <c r="C2464" s="2">
        <v>0.41120000000000001</v>
      </c>
      <c r="D2464" s="2">
        <v>0.3926</v>
      </c>
      <c r="E2464" s="2">
        <v>0.34039999999999998</v>
      </c>
      <c r="F2464" s="2">
        <v>6.6400000000000001E-2</v>
      </c>
      <c r="G2464" s="2">
        <v>0.12909999999999999</v>
      </c>
      <c r="H2464" s="2">
        <v>0.19400000000000001</v>
      </c>
      <c r="I2464" s="2">
        <v>0.2089</v>
      </c>
      <c r="J2464" s="2">
        <v>9.5200000000000007E-2</v>
      </c>
      <c r="K2464" s="2">
        <v>0.1195</v>
      </c>
      <c r="L2464" s="2">
        <v>2.18E-2</v>
      </c>
      <c r="M2464" s="2">
        <v>3.0800000000000001E-2</v>
      </c>
      <c r="O2464" s="2">
        <v>3.4099999999999998E-2</v>
      </c>
      <c r="Q2464" s="2">
        <v>4.7000000000000002E-3</v>
      </c>
      <c r="S2464">
        <v>44</v>
      </c>
    </row>
    <row r="2465" spans="1:19" x14ac:dyDescent="0.35">
      <c r="A2465" t="s">
        <v>228</v>
      </c>
      <c r="B2465" t="s">
        <v>228</v>
      </c>
      <c r="C2465" s="2">
        <v>0.41149999999999998</v>
      </c>
      <c r="D2465" s="2">
        <v>0.37119999999999997</v>
      </c>
      <c r="E2465" s="2">
        <v>0.13400000000000001</v>
      </c>
      <c r="F2465" s="2">
        <v>0.12559999999999999</v>
      </c>
      <c r="G2465" s="2">
        <v>0.1177</v>
      </c>
      <c r="H2465" s="2">
        <v>9.5000000000000001E-2</v>
      </c>
      <c r="I2465" s="2">
        <v>8.6300000000000002E-2</v>
      </c>
      <c r="J2465" s="2">
        <v>6.8699999999999997E-2</v>
      </c>
      <c r="K2465" s="2">
        <v>6.5500000000000003E-2</v>
      </c>
      <c r="L2465" s="2">
        <v>4.6199999999999998E-2</v>
      </c>
      <c r="M2465" s="2">
        <v>1.84E-2</v>
      </c>
      <c r="N2465" s="2">
        <v>1.3599999999999999E-2</v>
      </c>
      <c r="O2465" s="2">
        <v>1.2E-2</v>
      </c>
      <c r="P2465" s="2">
        <v>9.5999999999999992E-3</v>
      </c>
      <c r="Q2465" s="2">
        <v>3.3E-3</v>
      </c>
      <c r="R2465" s="2">
        <v>2.3999999999999998E-3</v>
      </c>
      <c r="S2465">
        <v>521</v>
      </c>
    </row>
    <row r="2467" spans="1:19" x14ac:dyDescent="0.35">
      <c r="A2467" s="1" t="s">
        <v>834</v>
      </c>
    </row>
    <row r="2468" spans="1:19" x14ac:dyDescent="0.35">
      <c r="A2468" t="s">
        <v>219</v>
      </c>
      <c r="B2468" t="s">
        <v>301</v>
      </c>
      <c r="C2468" t="s">
        <v>817</v>
      </c>
      <c r="D2468" t="s">
        <v>818</v>
      </c>
      <c r="E2468" t="s">
        <v>819</v>
      </c>
      <c r="F2468" t="s">
        <v>820</v>
      </c>
      <c r="G2468" t="s">
        <v>821</v>
      </c>
      <c r="H2468" t="s">
        <v>822</v>
      </c>
      <c r="I2468" t="s">
        <v>823</v>
      </c>
      <c r="J2468" t="s">
        <v>824</v>
      </c>
      <c r="K2468" t="s">
        <v>825</v>
      </c>
      <c r="L2468" t="s">
        <v>826</v>
      </c>
      <c r="M2468" t="s">
        <v>827</v>
      </c>
      <c r="N2468" t="s">
        <v>277</v>
      </c>
      <c r="O2468" t="s">
        <v>828</v>
      </c>
      <c r="P2468" t="s">
        <v>829</v>
      </c>
      <c r="Q2468" t="s">
        <v>830</v>
      </c>
      <c r="R2468" t="s">
        <v>282</v>
      </c>
      <c r="S2468" t="s">
        <v>226</v>
      </c>
    </row>
    <row r="2469" spans="1:19" x14ac:dyDescent="0.35">
      <c r="A2469" t="s">
        <v>227</v>
      </c>
      <c r="B2469" t="s">
        <v>334</v>
      </c>
      <c r="C2469" s="2">
        <v>0.3463</v>
      </c>
      <c r="D2469" s="2">
        <v>0.43469999999999998</v>
      </c>
      <c r="E2469" s="2">
        <v>8.0600000000000005E-2</v>
      </c>
      <c r="F2469" s="2">
        <v>8.7499999999999994E-2</v>
      </c>
      <c r="G2469" s="2">
        <v>0.13669999999999999</v>
      </c>
      <c r="H2469" s="2">
        <v>0.1237</v>
      </c>
      <c r="I2469" s="2">
        <v>7.2900000000000006E-2</v>
      </c>
      <c r="J2469" s="2">
        <v>3.7600000000000001E-2</v>
      </c>
      <c r="K2469" s="2">
        <v>1.78E-2</v>
      </c>
      <c r="L2469" s="2">
        <v>1.0800000000000001E-2</v>
      </c>
      <c r="M2469" s="2">
        <v>4.8999999999999998E-3</v>
      </c>
      <c r="O2469" s="2">
        <v>2.8E-3</v>
      </c>
      <c r="P2469" s="2">
        <v>1.6500000000000001E-2</v>
      </c>
      <c r="Q2469" s="2">
        <v>9.4999999999999998E-3</v>
      </c>
      <c r="S2469">
        <v>85</v>
      </c>
    </row>
    <row r="2470" spans="1:19" x14ac:dyDescent="0.35">
      <c r="A2470" t="s">
        <v>227</v>
      </c>
      <c r="B2470" t="s">
        <v>335</v>
      </c>
      <c r="C2470" s="2">
        <v>0.45</v>
      </c>
      <c r="D2470" s="2">
        <v>0.36109999999999998</v>
      </c>
      <c r="E2470" s="2">
        <v>0.18290000000000001</v>
      </c>
      <c r="F2470" s="2">
        <v>0.14949999999999999</v>
      </c>
      <c r="G2470" s="2">
        <v>6.13E-2</v>
      </c>
      <c r="H2470" s="2">
        <v>5.6599999999999998E-2</v>
      </c>
      <c r="I2470" s="2">
        <v>9.9699999999999997E-2</v>
      </c>
      <c r="J2470" s="2">
        <v>4.3099999999999999E-2</v>
      </c>
      <c r="K2470" s="2">
        <v>5.4600000000000003E-2</v>
      </c>
      <c r="L2470" s="2">
        <v>1.5800000000000002E-2</v>
      </c>
      <c r="M2470" s="2">
        <v>1.14E-2</v>
      </c>
      <c r="N2470" s="2">
        <v>2.6800000000000001E-2</v>
      </c>
      <c r="O2470" s="2">
        <v>1.18E-2</v>
      </c>
      <c r="P2470" s="2">
        <v>2.5999999999999999E-3</v>
      </c>
      <c r="S2470">
        <v>151</v>
      </c>
    </row>
    <row r="2471" spans="1:19" x14ac:dyDescent="0.35">
      <c r="A2471" t="s">
        <v>227</v>
      </c>
      <c r="B2471" t="s">
        <v>336</v>
      </c>
      <c r="C2471" s="2">
        <v>0.37869999999999998</v>
      </c>
      <c r="D2471" s="2">
        <v>0.26929999999999998</v>
      </c>
      <c r="E2471" s="2">
        <v>3.32E-2</v>
      </c>
      <c r="F2471" s="2">
        <v>6.0199999999999997E-2</v>
      </c>
      <c r="G2471" s="2">
        <v>0.1457</v>
      </c>
      <c r="H2471" s="2">
        <v>0.16819999999999999</v>
      </c>
      <c r="I2471" s="2">
        <v>0.13070000000000001</v>
      </c>
      <c r="J2471" s="2">
        <v>6.6299999999999998E-2</v>
      </c>
      <c r="K2471" s="2">
        <v>7.3599999999999999E-2</v>
      </c>
      <c r="L2471" s="2">
        <v>0.1007</v>
      </c>
      <c r="M2471" s="2">
        <v>1.32E-2</v>
      </c>
      <c r="O2471" s="2">
        <v>3.0800000000000001E-2</v>
      </c>
      <c r="P2471" s="2">
        <v>3.0999999999999999E-3</v>
      </c>
      <c r="R2471" s="2">
        <v>8.0999999999999996E-3</v>
      </c>
      <c r="S2471">
        <v>97</v>
      </c>
    </row>
    <row r="2472" spans="1:19" x14ac:dyDescent="0.35">
      <c r="A2472" t="s">
        <v>227</v>
      </c>
      <c r="B2472" t="s">
        <v>337</v>
      </c>
      <c r="C2472" s="2">
        <v>0.32529999999999998</v>
      </c>
      <c r="D2472" s="2">
        <v>0.40310000000000001</v>
      </c>
      <c r="E2472" s="2">
        <v>6.5000000000000002E-2</v>
      </c>
      <c r="F2472" s="2">
        <v>0.1893</v>
      </c>
      <c r="G2472" s="2">
        <v>0.1656</v>
      </c>
      <c r="H2472" s="2">
        <v>0.1031</v>
      </c>
      <c r="I2472" s="2">
        <v>6.5500000000000003E-2</v>
      </c>
      <c r="J2472" s="2">
        <v>9.4700000000000006E-2</v>
      </c>
      <c r="K2472" s="2">
        <v>7.6200000000000004E-2</v>
      </c>
      <c r="L2472" s="2">
        <v>6.5699999999999995E-2</v>
      </c>
      <c r="M2472" s="2">
        <v>2.4199999999999999E-2</v>
      </c>
      <c r="P2472" s="2">
        <v>8.9999999999999998E-4</v>
      </c>
      <c r="Q2472" s="2">
        <v>9.4999999999999998E-3</v>
      </c>
      <c r="R2472" s="2">
        <v>5.7000000000000002E-3</v>
      </c>
      <c r="S2472">
        <v>115</v>
      </c>
    </row>
    <row r="2473" spans="1:19" x14ac:dyDescent="0.35">
      <c r="A2473" t="s">
        <v>228</v>
      </c>
      <c r="B2473" t="s">
        <v>228</v>
      </c>
      <c r="C2473" s="2">
        <v>0.41149999999999998</v>
      </c>
      <c r="D2473" s="2">
        <v>0.37119999999999997</v>
      </c>
      <c r="E2473" s="2">
        <v>0.13400000000000001</v>
      </c>
      <c r="F2473" s="2">
        <v>0.12559999999999999</v>
      </c>
      <c r="G2473" s="2">
        <v>0.1177</v>
      </c>
      <c r="H2473" s="2">
        <v>9.5000000000000001E-2</v>
      </c>
      <c r="I2473" s="2">
        <v>8.6300000000000002E-2</v>
      </c>
      <c r="J2473" s="2">
        <v>6.8699999999999997E-2</v>
      </c>
      <c r="K2473" s="2">
        <v>6.5500000000000003E-2</v>
      </c>
      <c r="L2473" s="2">
        <v>4.6199999999999998E-2</v>
      </c>
      <c r="M2473" s="2">
        <v>1.84E-2</v>
      </c>
      <c r="N2473" s="2">
        <v>1.3599999999999999E-2</v>
      </c>
      <c r="O2473" s="2">
        <v>1.2E-2</v>
      </c>
      <c r="P2473" s="2">
        <v>9.5999999999999992E-3</v>
      </c>
      <c r="Q2473" s="2">
        <v>3.3E-3</v>
      </c>
      <c r="R2473" s="2">
        <v>2.3999999999999998E-3</v>
      </c>
      <c r="S2473">
        <v>448</v>
      </c>
    </row>
    <row r="2475" spans="1:19" x14ac:dyDescent="0.35">
      <c r="A2475" s="1" t="s">
        <v>835</v>
      </c>
    </row>
    <row r="2476" spans="1:19" x14ac:dyDescent="0.35">
      <c r="A2476" t="s">
        <v>219</v>
      </c>
      <c r="B2476" t="s">
        <v>301</v>
      </c>
      <c r="C2476" t="s">
        <v>817</v>
      </c>
      <c r="D2476" t="s">
        <v>818</v>
      </c>
      <c r="E2476" t="s">
        <v>819</v>
      </c>
      <c r="F2476" t="s">
        <v>820</v>
      </c>
      <c r="G2476" t="s">
        <v>821</v>
      </c>
      <c r="H2476" t="s">
        <v>822</v>
      </c>
      <c r="I2476" t="s">
        <v>823</v>
      </c>
      <c r="J2476" t="s">
        <v>824</v>
      </c>
      <c r="K2476" t="s">
        <v>825</v>
      </c>
      <c r="L2476" t="s">
        <v>826</v>
      </c>
      <c r="M2476" t="s">
        <v>827</v>
      </c>
      <c r="N2476" t="s">
        <v>277</v>
      </c>
      <c r="O2476" t="s">
        <v>828</v>
      </c>
      <c r="P2476" t="s">
        <v>829</v>
      </c>
      <c r="Q2476" t="s">
        <v>830</v>
      </c>
      <c r="R2476" t="s">
        <v>282</v>
      </c>
      <c r="S2476" t="s">
        <v>226</v>
      </c>
    </row>
    <row r="2477" spans="1:19" x14ac:dyDescent="0.35">
      <c r="A2477" t="s">
        <v>227</v>
      </c>
      <c r="B2477" t="s">
        <v>263</v>
      </c>
      <c r="C2477" s="2">
        <v>0.40579999999999999</v>
      </c>
      <c r="D2477" s="2">
        <v>0.27229999999999999</v>
      </c>
      <c r="E2477" s="2">
        <v>0.12230000000000001</v>
      </c>
      <c r="F2477" s="2">
        <v>0.1464</v>
      </c>
      <c r="G2477" s="2">
        <v>7.2900000000000006E-2</v>
      </c>
      <c r="H2477" s="2">
        <v>8.8499999999999995E-2</v>
      </c>
      <c r="I2477" s="2">
        <v>0.13750000000000001</v>
      </c>
      <c r="J2477" s="2">
        <v>7.7799999999999994E-2</v>
      </c>
      <c r="K2477" s="2">
        <v>4.1399999999999999E-2</v>
      </c>
      <c r="L2477" s="2">
        <v>2.24E-2</v>
      </c>
      <c r="N2477" s="2">
        <v>6.2600000000000003E-2</v>
      </c>
      <c r="O2477" s="2">
        <v>5.4999999999999997E-3</v>
      </c>
      <c r="P2477" s="2">
        <v>4.1000000000000003E-3</v>
      </c>
      <c r="R2477" s="2">
        <v>2.5999999999999999E-3</v>
      </c>
      <c r="S2477">
        <v>97</v>
      </c>
    </row>
    <row r="2478" spans="1:19" x14ac:dyDescent="0.35">
      <c r="A2478" t="s">
        <v>227</v>
      </c>
      <c r="B2478" t="s">
        <v>262</v>
      </c>
      <c r="C2478" s="2">
        <v>0.43380000000000002</v>
      </c>
      <c r="D2478" s="2">
        <v>0.38500000000000001</v>
      </c>
      <c r="E2478" s="2">
        <v>0.1144</v>
      </c>
      <c r="F2478" s="2">
        <v>0.11849999999999999</v>
      </c>
      <c r="G2478" s="2">
        <v>0.105</v>
      </c>
      <c r="H2478" s="2">
        <v>0.13220000000000001</v>
      </c>
      <c r="I2478" s="2">
        <v>0.10100000000000001</v>
      </c>
      <c r="J2478" s="2">
        <v>6.8099999999999994E-2</v>
      </c>
      <c r="K2478" s="2">
        <v>8.3500000000000005E-2</v>
      </c>
      <c r="L2478" s="2">
        <v>2.9899999999999999E-2</v>
      </c>
      <c r="M2478" s="2">
        <v>2.7699999999999999E-2</v>
      </c>
      <c r="N2478" s="2">
        <v>1.5E-3</v>
      </c>
      <c r="O2478" s="2">
        <v>4.0000000000000001E-3</v>
      </c>
      <c r="P2478" s="2">
        <v>1.9E-3</v>
      </c>
      <c r="Q2478" s="2">
        <v>8.5000000000000006E-3</v>
      </c>
      <c r="S2478">
        <v>195</v>
      </c>
    </row>
    <row r="2479" spans="1:19" x14ac:dyDescent="0.35">
      <c r="A2479" t="s">
        <v>227</v>
      </c>
      <c r="B2479" t="s">
        <v>261</v>
      </c>
      <c r="C2479" s="2">
        <v>0.39960000000000001</v>
      </c>
      <c r="D2479" s="2">
        <v>0.40560000000000002</v>
      </c>
      <c r="E2479" s="2">
        <v>0.1517</v>
      </c>
      <c r="F2479" s="2">
        <v>0.1212</v>
      </c>
      <c r="G2479" s="2">
        <v>0.14560000000000001</v>
      </c>
      <c r="H2479" s="2">
        <v>7.3899999999999993E-2</v>
      </c>
      <c r="I2479" s="2">
        <v>5.45E-2</v>
      </c>
      <c r="J2479" s="2">
        <v>6.5100000000000005E-2</v>
      </c>
      <c r="K2479" s="2">
        <v>6.4299999999999996E-2</v>
      </c>
      <c r="L2479" s="2">
        <v>6.7100000000000007E-2</v>
      </c>
      <c r="M2479" s="2">
        <v>2.0299999999999999E-2</v>
      </c>
      <c r="O2479" s="2">
        <v>0.02</v>
      </c>
      <c r="P2479" s="2">
        <v>1.7000000000000001E-2</v>
      </c>
      <c r="Q2479" s="2">
        <v>1.2999999999999999E-3</v>
      </c>
      <c r="R2479" s="2">
        <v>3.8999999999999998E-3</v>
      </c>
      <c r="S2479">
        <v>229</v>
      </c>
    </row>
    <row r="2480" spans="1:19" x14ac:dyDescent="0.35">
      <c r="A2480" t="s">
        <v>228</v>
      </c>
      <c r="B2480" t="s">
        <v>228</v>
      </c>
      <c r="C2480" s="2">
        <v>0.41149999999999998</v>
      </c>
      <c r="D2480" s="2">
        <v>0.37119999999999997</v>
      </c>
      <c r="E2480" s="2">
        <v>0.13400000000000001</v>
      </c>
      <c r="F2480" s="2">
        <v>0.12559999999999999</v>
      </c>
      <c r="G2480" s="2">
        <v>0.1177</v>
      </c>
      <c r="H2480" s="2">
        <v>9.5000000000000001E-2</v>
      </c>
      <c r="I2480" s="2">
        <v>8.6300000000000002E-2</v>
      </c>
      <c r="J2480" s="2">
        <v>6.8699999999999997E-2</v>
      </c>
      <c r="K2480" s="2">
        <v>6.5500000000000003E-2</v>
      </c>
      <c r="L2480" s="2">
        <v>4.6199999999999998E-2</v>
      </c>
      <c r="M2480" s="2">
        <v>1.84E-2</v>
      </c>
      <c r="N2480" s="2">
        <v>1.3599999999999999E-2</v>
      </c>
      <c r="O2480" s="2">
        <v>1.2E-2</v>
      </c>
      <c r="P2480" s="2">
        <v>9.5999999999999992E-3</v>
      </c>
      <c r="Q2480" s="2">
        <v>3.3E-3</v>
      </c>
      <c r="R2480" s="2">
        <v>2.3999999999999998E-3</v>
      </c>
      <c r="S2480">
        <v>521</v>
      </c>
    </row>
    <row r="2482" spans="1:19" x14ac:dyDescent="0.35">
      <c r="A2482" s="1" t="s">
        <v>836</v>
      </c>
    </row>
    <row r="2483" spans="1:19" x14ac:dyDescent="0.35">
      <c r="A2483" t="s">
        <v>219</v>
      </c>
      <c r="B2483" t="s">
        <v>301</v>
      </c>
      <c r="C2483" t="s">
        <v>817</v>
      </c>
      <c r="D2483" t="s">
        <v>818</v>
      </c>
      <c r="E2483" t="s">
        <v>819</v>
      </c>
      <c r="F2483" t="s">
        <v>820</v>
      </c>
      <c r="G2483" t="s">
        <v>821</v>
      </c>
      <c r="H2483" t="s">
        <v>822</v>
      </c>
      <c r="I2483" t="s">
        <v>823</v>
      </c>
      <c r="J2483" t="s">
        <v>824</v>
      </c>
      <c r="K2483" t="s">
        <v>825</v>
      </c>
      <c r="L2483" t="s">
        <v>826</v>
      </c>
      <c r="M2483" t="s">
        <v>827</v>
      </c>
      <c r="N2483" t="s">
        <v>277</v>
      </c>
      <c r="O2483" t="s">
        <v>828</v>
      </c>
      <c r="P2483" t="s">
        <v>829</v>
      </c>
      <c r="Q2483" t="s">
        <v>830</v>
      </c>
      <c r="R2483" t="s">
        <v>282</v>
      </c>
      <c r="S2483" t="s">
        <v>226</v>
      </c>
    </row>
    <row r="2484" spans="1:19" x14ac:dyDescent="0.35">
      <c r="A2484" t="s">
        <v>227</v>
      </c>
      <c r="B2484" t="s">
        <v>248</v>
      </c>
      <c r="C2484" s="2">
        <v>0.43090000000000001</v>
      </c>
      <c r="D2484" s="2">
        <v>0.38919999999999999</v>
      </c>
      <c r="E2484" s="2">
        <v>1.89E-2</v>
      </c>
      <c r="F2484" s="2">
        <v>8.2500000000000004E-2</v>
      </c>
      <c r="G2484" s="2">
        <v>4.82E-2</v>
      </c>
      <c r="H2484" s="2">
        <v>7.5800000000000006E-2</v>
      </c>
      <c r="I2484" s="2">
        <v>6.6199999999999995E-2</v>
      </c>
      <c r="J2484" s="2">
        <v>0.1051</v>
      </c>
      <c r="K2484" s="2">
        <v>9.2700000000000005E-2</v>
      </c>
      <c r="L2484" s="2">
        <v>1.0200000000000001E-2</v>
      </c>
      <c r="O2484" s="2">
        <v>5.79E-2</v>
      </c>
      <c r="P2484" s="2">
        <v>1.03E-2</v>
      </c>
      <c r="R2484" s="2">
        <v>1.55E-2</v>
      </c>
      <c r="S2484">
        <v>98</v>
      </c>
    </row>
    <row r="2485" spans="1:19" x14ac:dyDescent="0.35">
      <c r="A2485" t="s">
        <v>227</v>
      </c>
      <c r="B2485" t="s">
        <v>249</v>
      </c>
      <c r="C2485" s="2">
        <v>0.50670000000000004</v>
      </c>
      <c r="D2485" s="2">
        <v>0.43330000000000002</v>
      </c>
      <c r="E2485" s="2">
        <v>0.1779</v>
      </c>
      <c r="F2485" s="2">
        <v>5.2600000000000001E-2</v>
      </c>
      <c r="G2485" s="2">
        <v>0.1469</v>
      </c>
      <c r="H2485" s="2">
        <v>0.1023</v>
      </c>
      <c r="I2485" s="2">
        <v>8.9300000000000004E-2</v>
      </c>
      <c r="J2485" s="2">
        <v>0.1037</v>
      </c>
      <c r="K2485" s="2">
        <v>0.13700000000000001</v>
      </c>
      <c r="L2485" s="2">
        <v>5.04E-2</v>
      </c>
      <c r="M2485" s="2">
        <v>3.5799999999999998E-2</v>
      </c>
      <c r="N2485" s="2">
        <v>2.8999999999999998E-3</v>
      </c>
      <c r="O2485" s="2">
        <v>2.1000000000000001E-2</v>
      </c>
      <c r="P2485" s="2">
        <v>3.9800000000000002E-2</v>
      </c>
      <c r="Q2485" s="2">
        <v>6.8999999999999999E-3</v>
      </c>
      <c r="R2485" s="2">
        <v>3.3999999999999998E-3</v>
      </c>
      <c r="S2485">
        <v>89</v>
      </c>
    </row>
    <row r="2486" spans="1:19" x14ac:dyDescent="0.35">
      <c r="A2486" t="s">
        <v>227</v>
      </c>
      <c r="B2486" t="s">
        <v>247</v>
      </c>
      <c r="C2486" s="2">
        <v>0.38650000000000001</v>
      </c>
      <c r="D2486" s="2">
        <v>0.35399999999999998</v>
      </c>
      <c r="E2486" s="2">
        <v>0.14319999999999999</v>
      </c>
      <c r="F2486" s="2">
        <v>0.14960000000000001</v>
      </c>
      <c r="G2486" s="2">
        <v>0.1227</v>
      </c>
      <c r="H2486" s="2">
        <v>9.6600000000000005E-2</v>
      </c>
      <c r="I2486" s="2">
        <v>8.8999999999999996E-2</v>
      </c>
      <c r="J2486" s="2">
        <v>5.4600000000000003E-2</v>
      </c>
      <c r="K2486" s="2">
        <v>4.4499999999999998E-2</v>
      </c>
      <c r="L2486" s="2">
        <v>5.1299999999999998E-2</v>
      </c>
      <c r="M2486" s="2">
        <v>1.7399999999999999E-2</v>
      </c>
      <c r="N2486" s="2">
        <v>1.83E-2</v>
      </c>
      <c r="O2486" s="2">
        <v>2.2000000000000001E-3</v>
      </c>
      <c r="P2486" s="2">
        <v>2.5999999999999999E-3</v>
      </c>
      <c r="Q2486" s="2">
        <v>3.0000000000000001E-3</v>
      </c>
      <c r="S2486">
        <v>334</v>
      </c>
    </row>
    <row r="2487" spans="1:19" x14ac:dyDescent="0.35">
      <c r="A2487" t="s">
        <v>228</v>
      </c>
      <c r="B2487" t="s">
        <v>228</v>
      </c>
      <c r="C2487" s="2">
        <v>0.41149999999999998</v>
      </c>
      <c r="D2487" s="2">
        <v>0.37119999999999997</v>
      </c>
      <c r="E2487" s="2">
        <v>0.13400000000000001</v>
      </c>
      <c r="F2487" s="2">
        <v>0.12559999999999999</v>
      </c>
      <c r="G2487" s="2">
        <v>0.1177</v>
      </c>
      <c r="H2487" s="2">
        <v>9.5000000000000001E-2</v>
      </c>
      <c r="I2487" s="2">
        <v>8.6300000000000002E-2</v>
      </c>
      <c r="J2487" s="2">
        <v>6.8699999999999997E-2</v>
      </c>
      <c r="K2487" s="2">
        <v>6.5500000000000003E-2</v>
      </c>
      <c r="L2487" s="2">
        <v>4.6199999999999998E-2</v>
      </c>
      <c r="M2487" s="2">
        <v>1.84E-2</v>
      </c>
      <c r="N2487" s="2">
        <v>1.3599999999999999E-2</v>
      </c>
      <c r="O2487" s="2">
        <v>1.2E-2</v>
      </c>
      <c r="P2487" s="2">
        <v>9.5999999999999992E-3</v>
      </c>
      <c r="Q2487" s="2">
        <v>3.3E-3</v>
      </c>
      <c r="R2487" s="2">
        <v>2.3999999999999998E-3</v>
      </c>
      <c r="S2487">
        <v>521</v>
      </c>
    </row>
    <row r="2489" spans="1:19" x14ac:dyDescent="0.35">
      <c r="A2489" s="1" t="s">
        <v>837</v>
      </c>
    </row>
    <row r="2490" spans="1:19" x14ac:dyDescent="0.35">
      <c r="A2490" t="s">
        <v>219</v>
      </c>
      <c r="B2490" t="s">
        <v>301</v>
      </c>
      <c r="C2490" t="s">
        <v>817</v>
      </c>
      <c r="D2490" t="s">
        <v>818</v>
      </c>
      <c r="E2490" t="s">
        <v>819</v>
      </c>
      <c r="F2490" t="s">
        <v>820</v>
      </c>
      <c r="G2490" t="s">
        <v>821</v>
      </c>
      <c r="H2490" t="s">
        <v>822</v>
      </c>
      <c r="I2490" t="s">
        <v>823</v>
      </c>
      <c r="J2490" t="s">
        <v>824</v>
      </c>
      <c r="K2490" t="s">
        <v>825</v>
      </c>
      <c r="L2490" t="s">
        <v>826</v>
      </c>
      <c r="M2490" t="s">
        <v>827</v>
      </c>
      <c r="N2490" t="s">
        <v>277</v>
      </c>
      <c r="O2490" t="s">
        <v>828</v>
      </c>
      <c r="P2490" t="s">
        <v>829</v>
      </c>
      <c r="Q2490" t="s">
        <v>830</v>
      </c>
      <c r="R2490" t="s">
        <v>282</v>
      </c>
      <c r="S2490" t="s">
        <v>226</v>
      </c>
    </row>
    <row r="2491" spans="1:19" x14ac:dyDescent="0.35">
      <c r="A2491" t="s">
        <v>227</v>
      </c>
      <c r="B2491" t="s">
        <v>245</v>
      </c>
      <c r="C2491" s="2">
        <v>0.43819999999999998</v>
      </c>
      <c r="D2491" s="2">
        <v>0.38819999999999999</v>
      </c>
      <c r="E2491" s="2">
        <v>0.1704</v>
      </c>
      <c r="F2491" s="2">
        <v>0.15970000000000001</v>
      </c>
      <c r="G2491" s="2">
        <v>0.11940000000000001</v>
      </c>
      <c r="H2491" s="2">
        <v>8.7099999999999997E-2</v>
      </c>
      <c r="I2491" s="2">
        <v>7.7899999999999997E-2</v>
      </c>
      <c r="J2491" s="2">
        <v>6.0999999999999999E-2</v>
      </c>
      <c r="K2491" s="2">
        <v>8.1299999999999997E-2</v>
      </c>
      <c r="L2491" s="2">
        <v>3.5000000000000003E-2</v>
      </c>
      <c r="M2491" s="2">
        <v>1.9E-2</v>
      </c>
      <c r="N2491" s="2">
        <v>6.9999999999999999E-4</v>
      </c>
      <c r="O2491" s="2">
        <v>7.4999999999999997E-3</v>
      </c>
      <c r="P2491" s="2">
        <v>3.2000000000000002E-3</v>
      </c>
      <c r="Q2491" s="2">
        <v>6.4000000000000003E-3</v>
      </c>
      <c r="R2491" s="2">
        <v>1.1999999999999999E-3</v>
      </c>
      <c r="S2491">
        <v>215</v>
      </c>
    </row>
    <row r="2492" spans="1:19" x14ac:dyDescent="0.35">
      <c r="A2492" t="s">
        <v>227</v>
      </c>
      <c r="B2492" t="s">
        <v>244</v>
      </c>
      <c r="C2492" s="2">
        <v>0.3886</v>
      </c>
      <c r="D2492" s="2">
        <v>0.35649999999999998</v>
      </c>
      <c r="E2492" s="2">
        <v>0.1027</v>
      </c>
      <c r="F2492" s="2">
        <v>9.64E-2</v>
      </c>
      <c r="G2492" s="2">
        <v>0.1163</v>
      </c>
      <c r="H2492" s="2">
        <v>0.1019</v>
      </c>
      <c r="I2492" s="2">
        <v>9.35E-2</v>
      </c>
      <c r="J2492" s="2">
        <v>7.5300000000000006E-2</v>
      </c>
      <c r="K2492" s="2">
        <v>5.1799999999999999E-2</v>
      </c>
      <c r="L2492" s="2">
        <v>5.5800000000000002E-2</v>
      </c>
      <c r="M2492" s="2">
        <v>1.78E-2</v>
      </c>
      <c r="N2492" s="2">
        <v>2.47E-2</v>
      </c>
      <c r="O2492" s="2">
        <v>1.5800000000000002E-2</v>
      </c>
      <c r="P2492" s="2">
        <v>1.5100000000000001E-2</v>
      </c>
      <c r="Q2492" s="2">
        <v>5.9999999999999995E-4</v>
      </c>
      <c r="R2492" s="2">
        <v>3.5000000000000001E-3</v>
      </c>
      <c r="S2492">
        <v>306</v>
      </c>
    </row>
    <row r="2493" spans="1:19" x14ac:dyDescent="0.35">
      <c r="A2493" t="s">
        <v>228</v>
      </c>
      <c r="B2493" t="s">
        <v>228</v>
      </c>
      <c r="C2493" s="2">
        <v>0.41149999999999998</v>
      </c>
      <c r="D2493" s="2">
        <v>0.37119999999999997</v>
      </c>
      <c r="E2493" s="2">
        <v>0.13400000000000001</v>
      </c>
      <c r="F2493" s="2">
        <v>0.12559999999999999</v>
      </c>
      <c r="G2493" s="2">
        <v>0.1177</v>
      </c>
      <c r="H2493" s="2">
        <v>9.5000000000000001E-2</v>
      </c>
      <c r="I2493" s="2">
        <v>8.6300000000000002E-2</v>
      </c>
      <c r="J2493" s="2">
        <v>6.8699999999999997E-2</v>
      </c>
      <c r="K2493" s="2">
        <v>6.5500000000000003E-2</v>
      </c>
      <c r="L2493" s="2">
        <v>4.6199999999999998E-2</v>
      </c>
      <c r="M2493" s="2">
        <v>1.84E-2</v>
      </c>
      <c r="N2493" s="2">
        <v>1.3599999999999999E-2</v>
      </c>
      <c r="O2493" s="2">
        <v>1.2E-2</v>
      </c>
      <c r="P2493" s="2">
        <v>9.5999999999999992E-3</v>
      </c>
      <c r="Q2493" s="2">
        <v>3.3E-3</v>
      </c>
      <c r="R2493" s="2">
        <v>2.3999999999999998E-3</v>
      </c>
      <c r="S2493">
        <v>521</v>
      </c>
    </row>
    <row r="2495" spans="1:19" x14ac:dyDescent="0.35">
      <c r="A2495" s="1" t="s">
        <v>838</v>
      </c>
    </row>
    <row r="2496" spans="1:19" x14ac:dyDescent="0.35">
      <c r="A2496" t="s">
        <v>219</v>
      </c>
      <c r="B2496" t="s">
        <v>301</v>
      </c>
      <c r="C2496" t="s">
        <v>817</v>
      </c>
      <c r="D2496" t="s">
        <v>818</v>
      </c>
      <c r="E2496" t="s">
        <v>819</v>
      </c>
      <c r="F2496" t="s">
        <v>820</v>
      </c>
      <c r="G2496" t="s">
        <v>821</v>
      </c>
      <c r="H2496" t="s">
        <v>822</v>
      </c>
      <c r="I2496" t="s">
        <v>823</v>
      </c>
      <c r="J2496" t="s">
        <v>824</v>
      </c>
      <c r="K2496" t="s">
        <v>825</v>
      </c>
      <c r="L2496" t="s">
        <v>826</v>
      </c>
      <c r="M2496" t="s">
        <v>827</v>
      </c>
      <c r="N2496" t="s">
        <v>277</v>
      </c>
      <c r="O2496" t="s">
        <v>828</v>
      </c>
      <c r="P2496" t="s">
        <v>829</v>
      </c>
      <c r="Q2496" t="s">
        <v>830</v>
      </c>
      <c r="R2496" t="s">
        <v>282</v>
      </c>
      <c r="S2496" t="s">
        <v>226</v>
      </c>
    </row>
    <row r="2497" spans="1:19" x14ac:dyDescent="0.35">
      <c r="A2497" t="s">
        <v>227</v>
      </c>
      <c r="B2497" t="s">
        <v>258</v>
      </c>
      <c r="C2497" s="2">
        <v>0.41149999999999998</v>
      </c>
      <c r="D2497" s="2">
        <v>0.37119999999999997</v>
      </c>
      <c r="E2497" s="2">
        <v>0.13400000000000001</v>
      </c>
      <c r="F2497" s="2">
        <v>0.12559999999999999</v>
      </c>
      <c r="G2497" s="2">
        <v>0.1177</v>
      </c>
      <c r="H2497" s="2">
        <v>9.5000000000000001E-2</v>
      </c>
      <c r="I2497" s="2">
        <v>8.6300000000000002E-2</v>
      </c>
      <c r="J2497" s="2">
        <v>6.8699999999999997E-2</v>
      </c>
      <c r="K2497" s="2">
        <v>6.5500000000000003E-2</v>
      </c>
      <c r="L2497" s="2">
        <v>4.6199999999999998E-2</v>
      </c>
      <c r="M2497" s="2">
        <v>1.84E-2</v>
      </c>
      <c r="N2497" s="2">
        <v>1.3599999999999999E-2</v>
      </c>
      <c r="O2497" s="2">
        <v>1.2E-2</v>
      </c>
      <c r="P2497" s="2">
        <v>9.5999999999999992E-3</v>
      </c>
      <c r="Q2497" s="2">
        <v>3.3E-3</v>
      </c>
      <c r="R2497" s="2">
        <v>2.3999999999999998E-3</v>
      </c>
      <c r="S2497">
        <v>521</v>
      </c>
    </row>
    <row r="2498" spans="1:19" x14ac:dyDescent="0.35">
      <c r="A2498" t="s">
        <v>228</v>
      </c>
      <c r="B2498" t="s">
        <v>228</v>
      </c>
      <c r="C2498" s="2">
        <v>0.41149999999999998</v>
      </c>
      <c r="D2498" s="2">
        <v>0.37119999999999997</v>
      </c>
      <c r="E2498" s="2">
        <v>0.13400000000000001</v>
      </c>
      <c r="F2498" s="2">
        <v>0.12559999999999999</v>
      </c>
      <c r="G2498" s="2">
        <v>0.1177</v>
      </c>
      <c r="H2498" s="2">
        <v>9.5000000000000001E-2</v>
      </c>
      <c r="I2498" s="2">
        <v>8.6300000000000002E-2</v>
      </c>
      <c r="J2498" s="2">
        <v>6.8699999999999997E-2</v>
      </c>
      <c r="K2498" s="2">
        <v>6.5500000000000003E-2</v>
      </c>
      <c r="L2498" s="2">
        <v>4.6199999999999998E-2</v>
      </c>
      <c r="M2498" s="2">
        <v>1.84E-2</v>
      </c>
      <c r="N2498" s="2">
        <v>1.3599999999999999E-2</v>
      </c>
      <c r="O2498" s="2">
        <v>1.2E-2</v>
      </c>
      <c r="P2498" s="2">
        <v>9.5999999999999992E-3</v>
      </c>
      <c r="Q2498" s="2">
        <v>3.3E-3</v>
      </c>
      <c r="R2498" s="2">
        <v>2.3999999999999998E-3</v>
      </c>
      <c r="S2498">
        <v>521</v>
      </c>
    </row>
    <row r="2500" spans="1:19" x14ac:dyDescent="0.35">
      <c r="A2500" s="1" t="s">
        <v>839</v>
      </c>
    </row>
    <row r="2501" spans="1:19" x14ac:dyDescent="0.35">
      <c r="A2501" t="s">
        <v>219</v>
      </c>
      <c r="B2501" t="s">
        <v>301</v>
      </c>
      <c r="C2501" t="s">
        <v>817</v>
      </c>
      <c r="D2501" t="s">
        <v>818</v>
      </c>
      <c r="E2501" t="s">
        <v>819</v>
      </c>
      <c r="F2501" t="s">
        <v>820</v>
      </c>
      <c r="G2501" t="s">
        <v>821</v>
      </c>
      <c r="H2501" t="s">
        <v>822</v>
      </c>
      <c r="I2501" t="s">
        <v>823</v>
      </c>
      <c r="J2501" t="s">
        <v>824</v>
      </c>
      <c r="K2501" t="s">
        <v>825</v>
      </c>
      <c r="L2501" t="s">
        <v>826</v>
      </c>
      <c r="M2501" t="s">
        <v>827</v>
      </c>
      <c r="N2501" t="s">
        <v>277</v>
      </c>
      <c r="O2501" t="s">
        <v>828</v>
      </c>
      <c r="P2501" t="s">
        <v>829</v>
      </c>
      <c r="Q2501" t="s">
        <v>830</v>
      </c>
      <c r="R2501" t="s">
        <v>282</v>
      </c>
      <c r="S2501" t="s">
        <v>226</v>
      </c>
    </row>
    <row r="2502" spans="1:19" x14ac:dyDescent="0.35">
      <c r="A2502" t="s">
        <v>227</v>
      </c>
      <c r="B2502" t="s">
        <v>344</v>
      </c>
      <c r="C2502" s="2">
        <v>0.41149999999999998</v>
      </c>
      <c r="D2502" s="2">
        <v>0.37119999999999997</v>
      </c>
      <c r="E2502" s="2">
        <v>0.13400000000000001</v>
      </c>
      <c r="F2502" s="2">
        <v>0.12559999999999999</v>
      </c>
      <c r="G2502" s="2">
        <v>0.1177</v>
      </c>
      <c r="H2502" s="2">
        <v>9.5000000000000001E-2</v>
      </c>
      <c r="I2502" s="2">
        <v>8.6300000000000002E-2</v>
      </c>
      <c r="J2502" s="2">
        <v>6.8699999999999997E-2</v>
      </c>
      <c r="K2502" s="2">
        <v>6.5500000000000003E-2</v>
      </c>
      <c r="L2502" s="2">
        <v>4.6199999999999998E-2</v>
      </c>
      <c r="M2502" s="2">
        <v>1.84E-2</v>
      </c>
      <c r="N2502" s="2">
        <v>1.3599999999999999E-2</v>
      </c>
      <c r="O2502" s="2">
        <v>1.2E-2</v>
      </c>
      <c r="P2502" s="2">
        <v>9.5999999999999992E-3</v>
      </c>
      <c r="Q2502" s="2">
        <v>3.3E-3</v>
      </c>
      <c r="R2502" s="2">
        <v>2.3999999999999998E-3</v>
      </c>
      <c r="S2502">
        <v>521</v>
      </c>
    </row>
    <row r="2503" spans="1:19" x14ac:dyDescent="0.35">
      <c r="A2503" t="s">
        <v>228</v>
      </c>
      <c r="B2503" t="s">
        <v>228</v>
      </c>
      <c r="C2503" s="2">
        <v>0.41149999999999998</v>
      </c>
      <c r="D2503" s="2">
        <v>0.37119999999999997</v>
      </c>
      <c r="E2503" s="2">
        <v>0.13400000000000001</v>
      </c>
      <c r="F2503" s="2">
        <v>0.12559999999999999</v>
      </c>
      <c r="G2503" s="2">
        <v>0.1177</v>
      </c>
      <c r="H2503" s="2">
        <v>9.5000000000000001E-2</v>
      </c>
      <c r="I2503" s="2">
        <v>8.6300000000000002E-2</v>
      </c>
      <c r="J2503" s="2">
        <v>6.8699999999999997E-2</v>
      </c>
      <c r="K2503" s="2">
        <v>6.5500000000000003E-2</v>
      </c>
      <c r="L2503" s="2">
        <v>4.6199999999999998E-2</v>
      </c>
      <c r="M2503" s="2">
        <v>1.84E-2</v>
      </c>
      <c r="N2503" s="2">
        <v>1.3599999999999999E-2</v>
      </c>
      <c r="O2503" s="2">
        <v>1.2E-2</v>
      </c>
      <c r="P2503" s="2">
        <v>9.5999999999999992E-3</v>
      </c>
      <c r="Q2503" s="2">
        <v>3.3E-3</v>
      </c>
      <c r="R2503" s="2">
        <v>2.3999999999999998E-3</v>
      </c>
      <c r="S2503">
        <v>521</v>
      </c>
    </row>
    <row r="2505" spans="1:19" x14ac:dyDescent="0.35">
      <c r="A2505" s="1" t="s">
        <v>840</v>
      </c>
    </row>
    <row r="2506" spans="1:19" x14ac:dyDescent="0.35">
      <c r="A2506" t="s">
        <v>219</v>
      </c>
      <c r="B2506" t="s">
        <v>301</v>
      </c>
      <c r="C2506" t="s">
        <v>817</v>
      </c>
      <c r="D2506" t="s">
        <v>818</v>
      </c>
      <c r="E2506" t="s">
        <v>819</v>
      </c>
      <c r="F2506" t="s">
        <v>820</v>
      </c>
      <c r="G2506" t="s">
        <v>821</v>
      </c>
      <c r="H2506" t="s">
        <v>822</v>
      </c>
      <c r="I2506" t="s">
        <v>823</v>
      </c>
      <c r="J2506" t="s">
        <v>824</v>
      </c>
      <c r="K2506" t="s">
        <v>825</v>
      </c>
      <c r="L2506" t="s">
        <v>826</v>
      </c>
      <c r="M2506" t="s">
        <v>827</v>
      </c>
      <c r="N2506" t="s">
        <v>277</v>
      </c>
      <c r="O2506" t="s">
        <v>828</v>
      </c>
      <c r="P2506" t="s">
        <v>829</v>
      </c>
      <c r="Q2506" t="s">
        <v>830</v>
      </c>
      <c r="R2506" t="s">
        <v>282</v>
      </c>
      <c r="S2506" t="s">
        <v>226</v>
      </c>
    </row>
    <row r="2507" spans="1:19" x14ac:dyDescent="0.35">
      <c r="A2507" t="s">
        <v>227</v>
      </c>
      <c r="B2507" t="s">
        <v>346</v>
      </c>
      <c r="C2507" s="2">
        <v>0.43240000000000001</v>
      </c>
      <c r="D2507" s="2">
        <v>0.38350000000000001</v>
      </c>
      <c r="E2507" s="2">
        <v>0.14810000000000001</v>
      </c>
      <c r="F2507" s="2">
        <v>0.13189999999999999</v>
      </c>
      <c r="G2507" s="2">
        <v>0.1045</v>
      </c>
      <c r="H2507" s="2">
        <v>7.2099999999999997E-2</v>
      </c>
      <c r="I2507" s="2">
        <v>9.2600000000000002E-2</v>
      </c>
      <c r="J2507" s="2">
        <v>4.7399999999999998E-2</v>
      </c>
      <c r="K2507" s="2">
        <v>6.4000000000000001E-2</v>
      </c>
      <c r="L2507" s="2">
        <v>4.6300000000000001E-2</v>
      </c>
      <c r="M2507" s="2">
        <v>1.3599999999999999E-2</v>
      </c>
      <c r="N2507" s="2">
        <v>1.66E-2</v>
      </c>
      <c r="O2507" s="2">
        <v>6.6E-3</v>
      </c>
      <c r="P2507" s="2">
        <v>7.4000000000000003E-3</v>
      </c>
      <c r="Q2507" s="2">
        <v>5.9999999999999995E-4</v>
      </c>
      <c r="R2507" s="2">
        <v>1.6999999999999999E-3</v>
      </c>
      <c r="S2507">
        <v>217</v>
      </c>
    </row>
    <row r="2508" spans="1:19" x14ac:dyDescent="0.35">
      <c r="A2508" t="s">
        <v>227</v>
      </c>
      <c r="B2508" t="s">
        <v>347</v>
      </c>
      <c r="C2508" s="2">
        <v>0.25540000000000002</v>
      </c>
      <c r="D2508" s="2">
        <v>0.38319999999999999</v>
      </c>
      <c r="E2508" s="2">
        <v>5.0099999999999999E-2</v>
      </c>
      <c r="F2508" s="2">
        <v>0.1066</v>
      </c>
      <c r="G2508" s="2">
        <v>0.13109999999999999</v>
      </c>
      <c r="H2508" s="2">
        <v>0.12429999999999999</v>
      </c>
      <c r="I2508" s="2">
        <v>3.7199999999999997E-2</v>
      </c>
      <c r="J2508" s="2">
        <v>0.16420000000000001</v>
      </c>
      <c r="K2508" s="2">
        <v>0.1216</v>
      </c>
      <c r="L2508" s="2">
        <v>5.57E-2</v>
      </c>
      <c r="M2508" s="2">
        <v>3.7000000000000002E-3</v>
      </c>
      <c r="O2508" s="2">
        <v>0.02</v>
      </c>
      <c r="P2508" s="2">
        <v>2.3800000000000002E-2</v>
      </c>
      <c r="Q2508" s="2">
        <v>2.3800000000000002E-2</v>
      </c>
      <c r="R2508" s="2">
        <v>2.1899999999999999E-2</v>
      </c>
      <c r="S2508">
        <v>123</v>
      </c>
    </row>
    <row r="2509" spans="1:19" x14ac:dyDescent="0.35">
      <c r="A2509" t="s">
        <v>227</v>
      </c>
      <c r="B2509" t="s">
        <v>348</v>
      </c>
      <c r="C2509" s="2">
        <v>0.35709999999999997</v>
      </c>
      <c r="D2509" s="2">
        <v>0.30599999999999999</v>
      </c>
      <c r="E2509" s="2">
        <v>9.0300000000000005E-2</v>
      </c>
      <c r="F2509" s="2">
        <v>0.10059999999999999</v>
      </c>
      <c r="G2509" s="2">
        <v>0.1792</v>
      </c>
      <c r="H2509" s="2">
        <v>0.20030000000000001</v>
      </c>
      <c r="I2509" s="2">
        <v>7.0499999999999993E-2</v>
      </c>
      <c r="J2509" s="2">
        <v>0.14480000000000001</v>
      </c>
      <c r="K2509" s="2">
        <v>5.4899999999999997E-2</v>
      </c>
      <c r="L2509" s="2">
        <v>4.2700000000000002E-2</v>
      </c>
      <c r="M2509" s="2">
        <v>4.6600000000000003E-2</v>
      </c>
      <c r="N2509" s="2">
        <v>3.0000000000000001E-3</v>
      </c>
      <c r="O2509" s="2">
        <v>3.61E-2</v>
      </c>
      <c r="P2509" s="2">
        <v>1.6E-2</v>
      </c>
      <c r="Q2509" s="2">
        <v>1.01E-2</v>
      </c>
      <c r="S2509">
        <v>181</v>
      </c>
    </row>
    <row r="2510" spans="1:19" x14ac:dyDescent="0.35">
      <c r="A2510" t="s">
        <v>228</v>
      </c>
      <c r="B2510" t="s">
        <v>228</v>
      </c>
      <c r="C2510" s="2">
        <v>0.41149999999999998</v>
      </c>
      <c r="D2510" s="2">
        <v>0.37119999999999997</v>
      </c>
      <c r="E2510" s="2">
        <v>0.13400000000000001</v>
      </c>
      <c r="F2510" s="2">
        <v>0.12559999999999999</v>
      </c>
      <c r="G2510" s="2">
        <v>0.1177</v>
      </c>
      <c r="H2510" s="2">
        <v>9.5000000000000001E-2</v>
      </c>
      <c r="I2510" s="2">
        <v>8.6300000000000002E-2</v>
      </c>
      <c r="J2510" s="2">
        <v>6.8699999999999997E-2</v>
      </c>
      <c r="K2510" s="2">
        <v>6.5500000000000003E-2</v>
      </c>
      <c r="L2510" s="2">
        <v>4.6199999999999998E-2</v>
      </c>
      <c r="M2510" s="2">
        <v>1.84E-2</v>
      </c>
      <c r="N2510" s="2">
        <v>1.3599999999999999E-2</v>
      </c>
      <c r="O2510" s="2">
        <v>1.2E-2</v>
      </c>
      <c r="P2510" s="2">
        <v>9.5999999999999992E-3</v>
      </c>
      <c r="Q2510" s="2">
        <v>3.3E-3</v>
      </c>
      <c r="R2510" s="2">
        <v>2.3999999999999998E-3</v>
      </c>
      <c r="S2510">
        <v>521</v>
      </c>
    </row>
    <row r="2512" spans="1:19" x14ac:dyDescent="0.35">
      <c r="A2512" s="1" t="s">
        <v>841</v>
      </c>
    </row>
    <row r="2513" spans="1:19" x14ac:dyDescent="0.35">
      <c r="A2513" t="s">
        <v>219</v>
      </c>
      <c r="B2513" t="s">
        <v>301</v>
      </c>
      <c r="C2513" t="s">
        <v>817</v>
      </c>
      <c r="D2513" t="s">
        <v>818</v>
      </c>
      <c r="E2513" t="s">
        <v>819</v>
      </c>
      <c r="F2513" t="s">
        <v>820</v>
      </c>
      <c r="G2513" t="s">
        <v>821</v>
      </c>
      <c r="H2513" t="s">
        <v>822</v>
      </c>
      <c r="I2513" t="s">
        <v>823</v>
      </c>
      <c r="J2513" t="s">
        <v>824</v>
      </c>
      <c r="K2513" t="s">
        <v>825</v>
      </c>
      <c r="L2513" t="s">
        <v>826</v>
      </c>
      <c r="M2513" t="s">
        <v>827</v>
      </c>
      <c r="N2513" t="s">
        <v>277</v>
      </c>
      <c r="O2513" t="s">
        <v>828</v>
      </c>
      <c r="P2513" t="s">
        <v>829</v>
      </c>
      <c r="Q2513" t="s">
        <v>830</v>
      </c>
      <c r="R2513" t="s">
        <v>282</v>
      </c>
      <c r="S2513" t="s">
        <v>226</v>
      </c>
    </row>
    <row r="2514" spans="1:19" x14ac:dyDescent="0.35">
      <c r="A2514" t="s">
        <v>227</v>
      </c>
      <c r="B2514" t="s">
        <v>251</v>
      </c>
      <c r="C2514" s="2">
        <v>0.3886</v>
      </c>
      <c r="D2514" s="2">
        <v>0.35649999999999998</v>
      </c>
      <c r="E2514" s="2">
        <v>0.1027</v>
      </c>
      <c r="F2514" s="2">
        <v>9.64E-2</v>
      </c>
      <c r="G2514" s="2">
        <v>0.1163</v>
      </c>
      <c r="H2514" s="2">
        <v>0.1019</v>
      </c>
      <c r="I2514" s="2">
        <v>9.35E-2</v>
      </c>
      <c r="J2514" s="2">
        <v>7.5300000000000006E-2</v>
      </c>
      <c r="K2514" s="2">
        <v>5.1799999999999999E-2</v>
      </c>
      <c r="L2514" s="2">
        <v>5.5800000000000002E-2</v>
      </c>
      <c r="M2514" s="2">
        <v>1.78E-2</v>
      </c>
      <c r="N2514" s="2">
        <v>2.47E-2</v>
      </c>
      <c r="O2514" s="2">
        <v>1.5800000000000002E-2</v>
      </c>
      <c r="P2514" s="2">
        <v>1.5100000000000001E-2</v>
      </c>
      <c r="Q2514" s="2">
        <v>5.9999999999999995E-4</v>
      </c>
      <c r="R2514" s="2">
        <v>3.5000000000000001E-3</v>
      </c>
      <c r="S2514">
        <v>306</v>
      </c>
    </row>
    <row r="2515" spans="1:19" x14ac:dyDescent="0.35">
      <c r="A2515" t="s">
        <v>227</v>
      </c>
      <c r="B2515" t="s">
        <v>252</v>
      </c>
      <c r="C2515" s="2">
        <v>0.42399999999999999</v>
      </c>
      <c r="D2515" s="2">
        <v>0.38719999999999999</v>
      </c>
      <c r="E2515" s="2">
        <v>0.14699999999999999</v>
      </c>
      <c r="F2515" s="2">
        <v>0.17760000000000001</v>
      </c>
      <c r="G2515" s="2">
        <v>0.12379999999999999</v>
      </c>
      <c r="H2515" s="2">
        <v>8.1900000000000001E-2</v>
      </c>
      <c r="I2515" s="2">
        <v>4.6100000000000002E-2</v>
      </c>
      <c r="J2515" s="2">
        <v>7.4999999999999997E-2</v>
      </c>
      <c r="K2515" s="2">
        <v>8.14E-2</v>
      </c>
      <c r="L2515" s="2">
        <v>4.2999999999999997E-2</v>
      </c>
      <c r="M2515" s="2">
        <v>8.8000000000000005E-3</v>
      </c>
      <c r="N2515" s="2">
        <v>8.9999999999999998E-4</v>
      </c>
      <c r="O2515" s="2">
        <v>9.1999999999999998E-3</v>
      </c>
      <c r="P2515" s="2">
        <v>2.3999999999999998E-3</v>
      </c>
      <c r="Q2515" s="2">
        <v>3.0000000000000001E-3</v>
      </c>
      <c r="R2515" s="2">
        <v>1.5E-3</v>
      </c>
      <c r="S2515">
        <v>177</v>
      </c>
    </row>
    <row r="2516" spans="1:19" x14ac:dyDescent="0.35">
      <c r="A2516" t="s">
        <v>227</v>
      </c>
      <c r="B2516" t="s">
        <v>253</v>
      </c>
      <c r="C2516" s="2">
        <v>0.50449999999999995</v>
      </c>
      <c r="D2516" s="2">
        <v>0.39600000000000002</v>
      </c>
      <c r="E2516" s="2">
        <v>0.27410000000000001</v>
      </c>
      <c r="F2516" s="2">
        <v>7.4300000000000005E-2</v>
      </c>
      <c r="G2516" s="2">
        <v>0.1009</v>
      </c>
      <c r="H2516" s="2">
        <v>0.11070000000000001</v>
      </c>
      <c r="I2516" s="2">
        <v>0.21820000000000001</v>
      </c>
      <c r="K2516" s="2">
        <v>8.1699999999999995E-2</v>
      </c>
      <c r="M2516" s="2">
        <v>6.4000000000000001E-2</v>
      </c>
      <c r="P2516" s="2">
        <v>6.7999999999999996E-3</v>
      </c>
      <c r="Q2516" s="2">
        <v>2.1399999999999999E-2</v>
      </c>
      <c r="S2516">
        <v>37</v>
      </c>
    </row>
    <row r="2517" spans="1:19" x14ac:dyDescent="0.35">
      <c r="A2517" s="3" t="s">
        <v>227</v>
      </c>
      <c r="B2517" s="3" t="s">
        <v>254</v>
      </c>
      <c r="C2517" s="5"/>
      <c r="D2517" s="5"/>
      <c r="E2517" s="5"/>
      <c r="F2517" s="4">
        <v>1</v>
      </c>
      <c r="G2517" s="5"/>
      <c r="H2517" s="5"/>
      <c r="I2517" s="5"/>
      <c r="J2517" s="5"/>
      <c r="K2517" s="5"/>
      <c r="L2517" s="5"/>
      <c r="M2517" s="5"/>
      <c r="N2517" s="5"/>
      <c r="O2517" s="5"/>
      <c r="P2517" s="5"/>
      <c r="Q2517" s="5"/>
      <c r="R2517" s="5"/>
      <c r="S2517" s="5" t="s">
        <v>323</v>
      </c>
    </row>
    <row r="2518" spans="1:19" x14ac:dyDescent="0.35">
      <c r="A2518" t="s">
        <v>228</v>
      </c>
      <c r="B2518" t="s">
        <v>228</v>
      </c>
      <c r="C2518" s="2">
        <v>0.41149999999999998</v>
      </c>
      <c r="D2518" s="2">
        <v>0.37119999999999997</v>
      </c>
      <c r="E2518" s="2">
        <v>0.13400000000000001</v>
      </c>
      <c r="F2518" s="2">
        <v>0.12559999999999999</v>
      </c>
      <c r="G2518" s="2">
        <v>0.1177</v>
      </c>
      <c r="H2518" s="2">
        <v>9.5000000000000001E-2</v>
      </c>
      <c r="I2518" s="2">
        <v>8.6300000000000002E-2</v>
      </c>
      <c r="J2518" s="2">
        <v>6.8699999999999997E-2</v>
      </c>
      <c r="K2518" s="2">
        <v>6.5500000000000003E-2</v>
      </c>
      <c r="L2518" s="2">
        <v>4.6199999999999998E-2</v>
      </c>
      <c r="M2518" s="2">
        <v>1.84E-2</v>
      </c>
      <c r="N2518" s="2">
        <v>1.3599999999999999E-2</v>
      </c>
      <c r="O2518" s="2">
        <v>1.2E-2</v>
      </c>
      <c r="P2518" s="2">
        <v>9.5999999999999992E-3</v>
      </c>
      <c r="Q2518" s="2">
        <v>3.3E-3</v>
      </c>
      <c r="R2518" s="2">
        <v>2.3999999999999998E-3</v>
      </c>
      <c r="S2518">
        <v>521</v>
      </c>
    </row>
    <row r="2520" spans="1:19" x14ac:dyDescent="0.35">
      <c r="A2520" s="1" t="s">
        <v>842</v>
      </c>
    </row>
    <row r="2521" spans="1:19" x14ac:dyDescent="0.35">
      <c r="A2521" t="s">
        <v>219</v>
      </c>
      <c r="B2521" t="s">
        <v>298</v>
      </c>
      <c r="C2521" t="s">
        <v>299</v>
      </c>
      <c r="D2521" t="s">
        <v>226</v>
      </c>
    </row>
    <row r="2522" spans="1:19" x14ac:dyDescent="0.35">
      <c r="A2522" t="s">
        <v>227</v>
      </c>
      <c r="B2522" s="2">
        <v>0.60560000000000003</v>
      </c>
      <c r="C2522" s="2">
        <v>0.39439999999999997</v>
      </c>
      <c r="D2522">
        <v>38</v>
      </c>
    </row>
    <row r="2523" spans="1:19" x14ac:dyDescent="0.35">
      <c r="A2523" t="s">
        <v>228</v>
      </c>
      <c r="B2523" s="2">
        <v>0.60560000000000003</v>
      </c>
      <c r="C2523" s="2">
        <v>0.39439999999999997</v>
      </c>
      <c r="D2523">
        <v>38</v>
      </c>
    </row>
    <row r="2525" spans="1:19" x14ac:dyDescent="0.35">
      <c r="A2525" s="1" t="s">
        <v>843</v>
      </c>
    </row>
    <row r="2526" spans="1:19" x14ac:dyDescent="0.35">
      <c r="A2526" t="s">
        <v>219</v>
      </c>
      <c r="B2526" t="s">
        <v>301</v>
      </c>
      <c r="C2526" t="s">
        <v>298</v>
      </c>
      <c r="D2526" t="s">
        <v>299</v>
      </c>
      <c r="E2526" t="s">
        <v>226</v>
      </c>
    </row>
    <row r="2527" spans="1:19" x14ac:dyDescent="0.35">
      <c r="A2527" s="3" t="s">
        <v>227</v>
      </c>
      <c r="B2527" s="3" t="s">
        <v>238</v>
      </c>
      <c r="C2527" s="4">
        <v>0.63060000000000005</v>
      </c>
      <c r="D2527" s="4">
        <v>0.36940000000000001</v>
      </c>
      <c r="E2527" s="5" t="s">
        <v>429</v>
      </c>
    </row>
    <row r="2528" spans="1:19" x14ac:dyDescent="0.35">
      <c r="A2528" s="3" t="s">
        <v>227</v>
      </c>
      <c r="B2528" s="3" t="s">
        <v>237</v>
      </c>
      <c r="C2528" s="4">
        <v>0.58299999999999996</v>
      </c>
      <c r="D2528" s="4">
        <v>0.41699999999999998</v>
      </c>
      <c r="E2528" s="5" t="s">
        <v>429</v>
      </c>
    </row>
    <row r="2529" spans="1:5" x14ac:dyDescent="0.35">
      <c r="A2529" t="s">
        <v>228</v>
      </c>
      <c r="B2529" t="s">
        <v>228</v>
      </c>
      <c r="C2529" s="2">
        <v>0.60560000000000003</v>
      </c>
      <c r="D2529" s="2">
        <v>0.39439999999999997</v>
      </c>
      <c r="E2529">
        <v>38</v>
      </c>
    </row>
    <row r="2531" spans="1:5" x14ac:dyDescent="0.35">
      <c r="A2531" s="1" t="s">
        <v>844</v>
      </c>
    </row>
    <row r="2532" spans="1:5" x14ac:dyDescent="0.35">
      <c r="A2532" t="s">
        <v>219</v>
      </c>
      <c r="B2532" t="s">
        <v>301</v>
      </c>
      <c r="C2532" t="s">
        <v>298</v>
      </c>
      <c r="D2532" t="s">
        <v>299</v>
      </c>
      <c r="E2532" t="s">
        <v>226</v>
      </c>
    </row>
    <row r="2533" spans="1:5" x14ac:dyDescent="0.35">
      <c r="A2533" s="3" t="s">
        <v>227</v>
      </c>
      <c r="B2533" s="3" t="s">
        <v>235</v>
      </c>
      <c r="C2533" s="4">
        <v>0.60519999999999996</v>
      </c>
      <c r="D2533" s="4">
        <v>0.39479999999999998</v>
      </c>
      <c r="E2533" s="5" t="s">
        <v>423</v>
      </c>
    </row>
    <row r="2534" spans="1:5" x14ac:dyDescent="0.35">
      <c r="A2534" s="3" t="s">
        <v>227</v>
      </c>
      <c r="B2534" s="3" t="s">
        <v>234</v>
      </c>
      <c r="C2534" s="4">
        <v>0.60589999999999999</v>
      </c>
      <c r="D2534" s="4">
        <v>0.39410000000000001</v>
      </c>
      <c r="E2534" s="5" t="s">
        <v>368</v>
      </c>
    </row>
    <row r="2535" spans="1:5" x14ac:dyDescent="0.35">
      <c r="A2535" t="s">
        <v>228</v>
      </c>
      <c r="B2535" t="s">
        <v>228</v>
      </c>
      <c r="C2535" s="2">
        <v>0.60560000000000003</v>
      </c>
      <c r="D2535" s="2">
        <v>0.39439999999999997</v>
      </c>
      <c r="E2535">
        <v>38</v>
      </c>
    </row>
    <row r="2537" spans="1:5" x14ac:dyDescent="0.35">
      <c r="A2537" s="1" t="s">
        <v>845</v>
      </c>
    </row>
    <row r="2538" spans="1:5" x14ac:dyDescent="0.35">
      <c r="A2538" t="s">
        <v>219</v>
      </c>
      <c r="B2538" t="s">
        <v>301</v>
      </c>
      <c r="C2538" t="s">
        <v>298</v>
      </c>
      <c r="D2538" t="s">
        <v>299</v>
      </c>
      <c r="E2538" t="s">
        <v>226</v>
      </c>
    </row>
    <row r="2539" spans="1:5" x14ac:dyDescent="0.35">
      <c r="A2539" s="3" t="s">
        <v>227</v>
      </c>
      <c r="B2539" s="3" t="s">
        <v>240</v>
      </c>
      <c r="C2539" s="4">
        <v>0.66790000000000005</v>
      </c>
      <c r="D2539" s="4">
        <v>0.33210000000000001</v>
      </c>
      <c r="E2539" s="5" t="s">
        <v>477</v>
      </c>
    </row>
    <row r="2540" spans="1:5" x14ac:dyDescent="0.35">
      <c r="A2540" s="3" t="s">
        <v>227</v>
      </c>
      <c r="B2540" s="3" t="s">
        <v>241</v>
      </c>
      <c r="C2540" s="4">
        <v>0.5837</v>
      </c>
      <c r="D2540" s="4">
        <v>0.4163</v>
      </c>
      <c r="E2540" s="5" t="s">
        <v>490</v>
      </c>
    </row>
    <row r="2541" spans="1:5" x14ac:dyDescent="0.35">
      <c r="A2541" s="3" t="s">
        <v>227</v>
      </c>
      <c r="B2541" s="3" t="s">
        <v>242</v>
      </c>
      <c r="C2541" s="4">
        <v>0.32519999999999999</v>
      </c>
      <c r="D2541" s="4">
        <v>0.67479999999999996</v>
      </c>
      <c r="E2541" s="5" t="s">
        <v>341</v>
      </c>
    </row>
    <row r="2542" spans="1:5" x14ac:dyDescent="0.35">
      <c r="A2542" t="s">
        <v>228</v>
      </c>
      <c r="B2542" t="s">
        <v>228</v>
      </c>
      <c r="C2542" s="2">
        <v>0.60560000000000003</v>
      </c>
      <c r="D2542" s="2">
        <v>0.39439999999999997</v>
      </c>
      <c r="E2542">
        <v>38</v>
      </c>
    </row>
    <row r="2544" spans="1:5" x14ac:dyDescent="0.35">
      <c r="A2544" s="1" t="s">
        <v>846</v>
      </c>
    </row>
    <row r="2545" spans="1:5" x14ac:dyDescent="0.35">
      <c r="A2545" t="s">
        <v>219</v>
      </c>
      <c r="B2545" t="s">
        <v>301</v>
      </c>
      <c r="C2545" t="s">
        <v>298</v>
      </c>
      <c r="D2545" t="s">
        <v>299</v>
      </c>
      <c r="E2545" t="s">
        <v>226</v>
      </c>
    </row>
    <row r="2546" spans="1:5" x14ac:dyDescent="0.35">
      <c r="A2546" s="3" t="s">
        <v>227</v>
      </c>
      <c r="B2546" s="3" t="s">
        <v>334</v>
      </c>
      <c r="C2546" s="4">
        <v>0.6462</v>
      </c>
      <c r="D2546" s="4">
        <v>0.3538</v>
      </c>
      <c r="E2546" s="5" t="s">
        <v>321</v>
      </c>
    </row>
    <row r="2547" spans="1:5" x14ac:dyDescent="0.35">
      <c r="A2547" s="3" t="s">
        <v>227</v>
      </c>
      <c r="B2547" s="3" t="s">
        <v>335</v>
      </c>
      <c r="C2547" s="4">
        <v>1</v>
      </c>
      <c r="D2547" s="5"/>
      <c r="E2547" s="5" t="s">
        <v>323</v>
      </c>
    </row>
    <row r="2548" spans="1:5" x14ac:dyDescent="0.35">
      <c r="A2548" s="3" t="s">
        <v>227</v>
      </c>
      <c r="B2548" s="3" t="s">
        <v>336</v>
      </c>
      <c r="C2548" s="4">
        <v>0.52100000000000002</v>
      </c>
      <c r="D2548" s="4">
        <v>0.47899999999999998</v>
      </c>
      <c r="E2548" s="5" t="s">
        <v>515</v>
      </c>
    </row>
    <row r="2549" spans="1:5" x14ac:dyDescent="0.35">
      <c r="A2549" s="3" t="s">
        <v>227</v>
      </c>
      <c r="B2549" s="3" t="s">
        <v>337</v>
      </c>
      <c r="C2549" s="4">
        <v>0.52200000000000002</v>
      </c>
      <c r="D2549" s="4">
        <v>0.47799999999999998</v>
      </c>
      <c r="E2549" s="5" t="s">
        <v>606</v>
      </c>
    </row>
    <row r="2550" spans="1:5" x14ac:dyDescent="0.35">
      <c r="A2550" t="s">
        <v>228</v>
      </c>
      <c r="B2550" t="s">
        <v>228</v>
      </c>
      <c r="C2550" s="2">
        <v>0.60560000000000003</v>
      </c>
      <c r="D2550" s="2">
        <v>0.39439999999999997</v>
      </c>
      <c r="E2550">
        <v>33</v>
      </c>
    </row>
    <row r="2552" spans="1:5" x14ac:dyDescent="0.35">
      <c r="A2552" s="1" t="s">
        <v>847</v>
      </c>
    </row>
    <row r="2553" spans="1:5" x14ac:dyDescent="0.35">
      <c r="A2553" t="s">
        <v>219</v>
      </c>
      <c r="B2553" t="s">
        <v>301</v>
      </c>
      <c r="C2553" t="s">
        <v>298</v>
      </c>
      <c r="D2553" t="s">
        <v>299</v>
      </c>
      <c r="E2553" t="s">
        <v>226</v>
      </c>
    </row>
    <row r="2554" spans="1:5" x14ac:dyDescent="0.35">
      <c r="A2554" s="3" t="s">
        <v>227</v>
      </c>
      <c r="B2554" s="3" t="s">
        <v>263</v>
      </c>
      <c r="C2554" s="4">
        <v>0.3886</v>
      </c>
      <c r="D2554" s="4">
        <v>0.61140000000000005</v>
      </c>
      <c r="E2554" s="5" t="s">
        <v>515</v>
      </c>
    </row>
    <row r="2555" spans="1:5" x14ac:dyDescent="0.35">
      <c r="A2555" s="3" t="s">
        <v>227</v>
      </c>
      <c r="B2555" s="3" t="s">
        <v>262</v>
      </c>
      <c r="C2555" s="4">
        <v>0.50319999999999998</v>
      </c>
      <c r="D2555" s="4">
        <v>0.49680000000000002</v>
      </c>
      <c r="E2555" s="5" t="s">
        <v>848</v>
      </c>
    </row>
    <row r="2556" spans="1:5" x14ac:dyDescent="0.35">
      <c r="A2556" s="3" t="s">
        <v>227</v>
      </c>
      <c r="B2556" s="3" t="s">
        <v>261</v>
      </c>
      <c r="C2556" s="4">
        <v>0.89749999999999996</v>
      </c>
      <c r="D2556" s="4">
        <v>0.10249999999999999</v>
      </c>
      <c r="E2556" s="5" t="s">
        <v>423</v>
      </c>
    </row>
    <row r="2557" spans="1:5" x14ac:dyDescent="0.35">
      <c r="A2557" t="s">
        <v>228</v>
      </c>
      <c r="B2557" t="s">
        <v>228</v>
      </c>
      <c r="C2557" s="2">
        <v>0.60560000000000003</v>
      </c>
      <c r="D2557" s="2">
        <v>0.39439999999999997</v>
      </c>
      <c r="E2557">
        <v>38</v>
      </c>
    </row>
    <row r="2559" spans="1:5" x14ac:dyDescent="0.35">
      <c r="A2559" s="1" t="s">
        <v>849</v>
      </c>
    </row>
    <row r="2560" spans="1:5" x14ac:dyDescent="0.35">
      <c r="A2560" t="s">
        <v>219</v>
      </c>
      <c r="B2560" t="s">
        <v>301</v>
      </c>
      <c r="C2560" t="s">
        <v>298</v>
      </c>
      <c r="D2560" t="s">
        <v>299</v>
      </c>
      <c r="E2560" t="s">
        <v>226</v>
      </c>
    </row>
    <row r="2561" spans="1:5" x14ac:dyDescent="0.35">
      <c r="A2561" s="3" t="s">
        <v>227</v>
      </c>
      <c r="B2561" s="3" t="s">
        <v>248</v>
      </c>
      <c r="C2561" s="4">
        <v>0.38059999999999999</v>
      </c>
      <c r="D2561" s="4">
        <v>0.61939999999999995</v>
      </c>
      <c r="E2561" s="5" t="s">
        <v>425</v>
      </c>
    </row>
    <row r="2562" spans="1:5" x14ac:dyDescent="0.35">
      <c r="A2562" s="3" t="s">
        <v>227</v>
      </c>
      <c r="B2562" s="3" t="s">
        <v>249</v>
      </c>
      <c r="C2562" s="4">
        <v>0.56230000000000002</v>
      </c>
      <c r="D2562" s="4">
        <v>0.43769999999999998</v>
      </c>
      <c r="E2562" s="5" t="s">
        <v>437</v>
      </c>
    </row>
    <row r="2563" spans="1:5" x14ac:dyDescent="0.35">
      <c r="A2563" s="3" t="s">
        <v>227</v>
      </c>
      <c r="B2563" s="3" t="s">
        <v>247</v>
      </c>
      <c r="C2563" s="4">
        <v>0.82909999999999995</v>
      </c>
      <c r="D2563" s="4">
        <v>0.1709</v>
      </c>
      <c r="E2563" s="5" t="s">
        <v>423</v>
      </c>
    </row>
    <row r="2564" spans="1:5" x14ac:dyDescent="0.35">
      <c r="A2564" t="s">
        <v>228</v>
      </c>
      <c r="B2564" t="s">
        <v>228</v>
      </c>
      <c r="C2564" s="2">
        <v>0.60560000000000003</v>
      </c>
      <c r="D2564" s="2">
        <v>0.39439999999999997</v>
      </c>
      <c r="E2564">
        <v>38</v>
      </c>
    </row>
    <row r="2566" spans="1:5" x14ac:dyDescent="0.35">
      <c r="A2566" s="1" t="s">
        <v>850</v>
      </c>
    </row>
    <row r="2567" spans="1:5" x14ac:dyDescent="0.35">
      <c r="A2567" t="s">
        <v>219</v>
      </c>
      <c r="B2567" t="s">
        <v>301</v>
      </c>
      <c r="C2567" t="s">
        <v>298</v>
      </c>
      <c r="D2567" t="s">
        <v>299</v>
      </c>
      <c r="E2567" t="s">
        <v>226</v>
      </c>
    </row>
    <row r="2568" spans="1:5" x14ac:dyDescent="0.35">
      <c r="A2568" s="3" t="s">
        <v>227</v>
      </c>
      <c r="B2568" s="3" t="s">
        <v>245</v>
      </c>
      <c r="C2568" s="4">
        <v>0.65469999999999995</v>
      </c>
      <c r="D2568" s="4">
        <v>0.3453</v>
      </c>
      <c r="E2568" s="5" t="s">
        <v>515</v>
      </c>
    </row>
    <row r="2569" spans="1:5" x14ac:dyDescent="0.35">
      <c r="A2569" s="3" t="s">
        <v>227</v>
      </c>
      <c r="B2569" s="3" t="s">
        <v>244</v>
      </c>
      <c r="C2569" s="4">
        <v>0.58909999999999996</v>
      </c>
      <c r="D2569" s="4">
        <v>0.41089999999999999</v>
      </c>
      <c r="E2569" s="5" t="s">
        <v>851</v>
      </c>
    </row>
    <row r="2570" spans="1:5" x14ac:dyDescent="0.35">
      <c r="A2570" t="s">
        <v>228</v>
      </c>
      <c r="B2570" t="s">
        <v>228</v>
      </c>
      <c r="C2570" s="2">
        <v>0.60560000000000003</v>
      </c>
      <c r="D2570" s="2">
        <v>0.39439999999999997</v>
      </c>
      <c r="E2570">
        <v>38</v>
      </c>
    </row>
    <row r="2572" spans="1:5" x14ac:dyDescent="0.35">
      <c r="A2572" s="1" t="s">
        <v>852</v>
      </c>
    </row>
    <row r="2573" spans="1:5" x14ac:dyDescent="0.35">
      <c r="A2573" t="s">
        <v>219</v>
      </c>
      <c r="B2573" t="s">
        <v>301</v>
      </c>
      <c r="C2573" t="s">
        <v>298</v>
      </c>
      <c r="D2573" t="s">
        <v>299</v>
      </c>
      <c r="E2573" t="s">
        <v>226</v>
      </c>
    </row>
    <row r="2574" spans="1:5" x14ac:dyDescent="0.35">
      <c r="A2574" s="3" t="s">
        <v>227</v>
      </c>
      <c r="B2574" s="3" t="s">
        <v>346</v>
      </c>
      <c r="C2574" s="4">
        <v>0.56579999999999997</v>
      </c>
      <c r="D2574" s="4">
        <v>0.43419999999999997</v>
      </c>
      <c r="E2574" s="5" t="s">
        <v>427</v>
      </c>
    </row>
    <row r="2575" spans="1:5" x14ac:dyDescent="0.35">
      <c r="A2575" s="3" t="s">
        <v>227</v>
      </c>
      <c r="B2575" s="3" t="s">
        <v>347</v>
      </c>
      <c r="C2575" s="4">
        <v>0.89870000000000005</v>
      </c>
      <c r="D2575" s="4">
        <v>0.1013</v>
      </c>
      <c r="E2575" s="5" t="s">
        <v>307</v>
      </c>
    </row>
    <row r="2576" spans="1:5" x14ac:dyDescent="0.35">
      <c r="A2576" s="3" t="s">
        <v>227</v>
      </c>
      <c r="B2576" s="3" t="s">
        <v>348</v>
      </c>
      <c r="C2576" s="4">
        <v>1</v>
      </c>
      <c r="D2576" s="5"/>
      <c r="E2576" s="5" t="s">
        <v>366</v>
      </c>
    </row>
    <row r="2577" spans="1:20" x14ac:dyDescent="0.35">
      <c r="A2577" t="s">
        <v>228</v>
      </c>
      <c r="B2577" t="s">
        <v>228</v>
      </c>
      <c r="C2577" s="2">
        <v>0.60560000000000003</v>
      </c>
      <c r="D2577" s="2">
        <v>0.39439999999999997</v>
      </c>
      <c r="E2577">
        <v>38</v>
      </c>
    </row>
    <row r="2579" spans="1:20" x14ac:dyDescent="0.35">
      <c r="A2579" s="1" t="s">
        <v>853</v>
      </c>
    </row>
    <row r="2580" spans="1:20" x14ac:dyDescent="0.35">
      <c r="A2580" t="s">
        <v>219</v>
      </c>
      <c r="B2580" t="s">
        <v>301</v>
      </c>
      <c r="C2580" t="s">
        <v>298</v>
      </c>
      <c r="D2580" t="s">
        <v>299</v>
      </c>
      <c r="E2580" t="s">
        <v>226</v>
      </c>
    </row>
    <row r="2581" spans="1:20" x14ac:dyDescent="0.35">
      <c r="A2581" s="3" t="s">
        <v>227</v>
      </c>
      <c r="B2581" s="3" t="s">
        <v>251</v>
      </c>
      <c r="C2581" s="4">
        <v>0.58909999999999996</v>
      </c>
      <c r="D2581" s="4">
        <v>0.41089999999999999</v>
      </c>
      <c r="E2581" s="5" t="s">
        <v>851</v>
      </c>
    </row>
    <row r="2582" spans="1:20" x14ac:dyDescent="0.35">
      <c r="A2582" s="3" t="s">
        <v>227</v>
      </c>
      <c r="B2582" s="3" t="s">
        <v>252</v>
      </c>
      <c r="C2582" s="4">
        <v>0.7802</v>
      </c>
      <c r="D2582" s="4">
        <v>0.2198</v>
      </c>
      <c r="E2582" s="5" t="s">
        <v>326</v>
      </c>
    </row>
    <row r="2583" spans="1:20" x14ac:dyDescent="0.35">
      <c r="A2583" s="3" t="s">
        <v>227</v>
      </c>
      <c r="B2583" s="3" t="s">
        <v>253</v>
      </c>
      <c r="C2583" s="5"/>
      <c r="D2583" s="4">
        <v>1</v>
      </c>
      <c r="E2583" s="5" t="s">
        <v>323</v>
      </c>
    </row>
    <row r="2584" spans="1:20" x14ac:dyDescent="0.35">
      <c r="A2584" t="s">
        <v>228</v>
      </c>
      <c r="B2584" t="s">
        <v>228</v>
      </c>
      <c r="C2584" s="2">
        <v>0.60560000000000003</v>
      </c>
      <c r="D2584" s="2">
        <v>0.39439999999999997</v>
      </c>
      <c r="E2584">
        <v>38</v>
      </c>
    </row>
    <row r="2586" spans="1:20" x14ac:dyDescent="0.35">
      <c r="A2586" s="1" t="s">
        <v>854</v>
      </c>
    </row>
    <row r="2587" spans="1:20" x14ac:dyDescent="0.35">
      <c r="A2587" t="s">
        <v>219</v>
      </c>
      <c r="B2587" t="s">
        <v>855</v>
      </c>
      <c r="C2587" t="s">
        <v>856</v>
      </c>
      <c r="D2587" t="s">
        <v>857</v>
      </c>
      <c r="E2587" t="s">
        <v>858</v>
      </c>
      <c r="F2587" t="s">
        <v>859</v>
      </c>
      <c r="G2587" t="s">
        <v>860</v>
      </c>
      <c r="H2587" t="s">
        <v>861</v>
      </c>
      <c r="I2587" t="s">
        <v>862</v>
      </c>
      <c r="J2587" t="s">
        <v>863</v>
      </c>
      <c r="K2587" t="s">
        <v>864</v>
      </c>
      <c r="L2587" t="s">
        <v>865</v>
      </c>
      <c r="M2587" t="s">
        <v>866</v>
      </c>
      <c r="N2587" t="s">
        <v>867</v>
      </c>
      <c r="O2587" t="s">
        <v>868</v>
      </c>
      <c r="P2587" t="s">
        <v>869</v>
      </c>
      <c r="Q2587" t="s">
        <v>282</v>
      </c>
      <c r="R2587" t="s">
        <v>870</v>
      </c>
      <c r="S2587" t="s">
        <v>226</v>
      </c>
    </row>
    <row r="2588" spans="1:20" x14ac:dyDescent="0.35">
      <c r="A2588" t="s">
        <v>227</v>
      </c>
      <c r="B2588" s="2">
        <v>0.99639999999999995</v>
      </c>
      <c r="C2588" s="2">
        <v>0.94510000000000005</v>
      </c>
      <c r="D2588" s="2">
        <v>0.93789999999999996</v>
      </c>
      <c r="E2588" s="2">
        <v>0.84630000000000005</v>
      </c>
      <c r="F2588" s="2">
        <v>0.69089999999999996</v>
      </c>
      <c r="G2588" s="2">
        <v>0.62309999999999999</v>
      </c>
      <c r="H2588" s="2">
        <v>0.54010000000000002</v>
      </c>
      <c r="I2588" s="2">
        <v>0.50590000000000002</v>
      </c>
      <c r="J2588" s="2">
        <v>0.50429999999999997</v>
      </c>
      <c r="K2588" s="2">
        <v>0.43940000000000001</v>
      </c>
      <c r="L2588" s="2">
        <v>0.26440000000000002</v>
      </c>
      <c r="M2588" s="2">
        <v>0.1739</v>
      </c>
      <c r="N2588" s="2">
        <v>0.14599999999999999</v>
      </c>
      <c r="O2588" s="2">
        <v>8.0500000000000002E-2</v>
      </c>
      <c r="P2588" s="2">
        <v>1.8200000000000001E-2</v>
      </c>
      <c r="Q2588" s="2">
        <v>8.0000000000000004E-4</v>
      </c>
      <c r="R2588" s="2">
        <v>6.9999999999999999E-4</v>
      </c>
      <c r="S2588">
        <v>2813</v>
      </c>
    </row>
    <row r="2589" spans="1:20" x14ac:dyDescent="0.35">
      <c r="A2589" t="s">
        <v>228</v>
      </c>
      <c r="B2589" s="2">
        <v>0.99639999999999995</v>
      </c>
      <c r="C2589" s="2">
        <v>0.94510000000000005</v>
      </c>
      <c r="D2589" s="2">
        <v>0.93789999999999996</v>
      </c>
      <c r="E2589" s="2">
        <v>0.84630000000000005</v>
      </c>
      <c r="F2589" s="2">
        <v>0.69089999999999996</v>
      </c>
      <c r="G2589" s="2">
        <v>0.62309999999999999</v>
      </c>
      <c r="H2589" s="2">
        <v>0.54010000000000002</v>
      </c>
      <c r="I2589" s="2">
        <v>0.50590000000000002</v>
      </c>
      <c r="J2589" s="2">
        <v>0.50429999999999997</v>
      </c>
      <c r="K2589" s="2">
        <v>0.43940000000000001</v>
      </c>
      <c r="L2589" s="2">
        <v>0.26440000000000002</v>
      </c>
      <c r="M2589" s="2">
        <v>0.1739</v>
      </c>
      <c r="N2589" s="2">
        <v>0.14599999999999999</v>
      </c>
      <c r="O2589" s="2">
        <v>8.0500000000000002E-2</v>
      </c>
      <c r="P2589" s="2">
        <v>1.8200000000000001E-2</v>
      </c>
      <c r="Q2589" s="2">
        <v>8.0000000000000004E-4</v>
      </c>
      <c r="R2589" s="2">
        <v>6.9999999999999999E-4</v>
      </c>
      <c r="S2589">
        <v>2813</v>
      </c>
    </row>
    <row r="2591" spans="1:20" x14ac:dyDescent="0.35">
      <c r="A2591" s="1" t="s">
        <v>871</v>
      </c>
    </row>
    <row r="2592" spans="1:20" x14ac:dyDescent="0.35">
      <c r="A2592" t="s">
        <v>219</v>
      </c>
      <c r="B2592" t="s">
        <v>301</v>
      </c>
      <c r="C2592" t="s">
        <v>855</v>
      </c>
      <c r="D2592" t="s">
        <v>856</v>
      </c>
      <c r="E2592" t="s">
        <v>857</v>
      </c>
      <c r="F2592" t="s">
        <v>858</v>
      </c>
      <c r="G2592" t="s">
        <v>859</v>
      </c>
      <c r="H2592" t="s">
        <v>860</v>
      </c>
      <c r="I2592" t="s">
        <v>861</v>
      </c>
      <c r="J2592" t="s">
        <v>862</v>
      </c>
      <c r="K2592" t="s">
        <v>863</v>
      </c>
      <c r="L2592" t="s">
        <v>864</v>
      </c>
      <c r="M2592" t="s">
        <v>865</v>
      </c>
      <c r="N2592" t="s">
        <v>866</v>
      </c>
      <c r="O2592" t="s">
        <v>867</v>
      </c>
      <c r="P2592" t="s">
        <v>868</v>
      </c>
      <c r="Q2592" t="s">
        <v>869</v>
      </c>
      <c r="R2592" t="s">
        <v>282</v>
      </c>
      <c r="S2592" t="s">
        <v>870</v>
      </c>
      <c r="T2592" t="s">
        <v>226</v>
      </c>
    </row>
    <row r="2593" spans="1:20" x14ac:dyDescent="0.35">
      <c r="A2593" t="s">
        <v>227</v>
      </c>
      <c r="B2593" t="s">
        <v>238</v>
      </c>
      <c r="C2593" s="2">
        <v>0.99670000000000003</v>
      </c>
      <c r="D2593" s="2">
        <v>0.93059999999999998</v>
      </c>
      <c r="E2593" s="2">
        <v>0.94689999999999996</v>
      </c>
      <c r="F2593" s="2">
        <v>0.83840000000000003</v>
      </c>
      <c r="G2593" s="2">
        <v>0.65129999999999999</v>
      </c>
      <c r="H2593" s="2">
        <v>0.60940000000000005</v>
      </c>
      <c r="I2593" s="2">
        <v>0.50949999999999995</v>
      </c>
      <c r="J2593" s="2">
        <v>0.51670000000000005</v>
      </c>
      <c r="K2593" s="2">
        <v>0.41949999999999998</v>
      </c>
      <c r="L2593" s="2">
        <v>0.44740000000000002</v>
      </c>
      <c r="M2593" s="2">
        <v>0.189</v>
      </c>
      <c r="N2593" s="2">
        <v>0.18790000000000001</v>
      </c>
      <c r="O2593" s="2">
        <v>0.18640000000000001</v>
      </c>
      <c r="P2593" s="2">
        <v>7.0499999999999993E-2</v>
      </c>
      <c r="Q2593" s="2">
        <v>2.35E-2</v>
      </c>
      <c r="R2593" s="2">
        <v>2.0000000000000001E-4</v>
      </c>
      <c r="S2593" s="2">
        <v>1.6999999999999999E-3</v>
      </c>
      <c r="T2593">
        <v>1005</v>
      </c>
    </row>
    <row r="2594" spans="1:20" x14ac:dyDescent="0.35">
      <c r="A2594" t="s">
        <v>227</v>
      </c>
      <c r="B2594" t="s">
        <v>237</v>
      </c>
      <c r="C2594" s="2">
        <v>0.99619999999999997</v>
      </c>
      <c r="D2594" s="2">
        <v>0.95350000000000001</v>
      </c>
      <c r="E2594" s="2">
        <v>0.93259999999999998</v>
      </c>
      <c r="F2594" s="2">
        <v>0.8508</v>
      </c>
      <c r="G2594" s="2">
        <v>0.71399999999999997</v>
      </c>
      <c r="H2594" s="2">
        <v>0.63109999999999999</v>
      </c>
      <c r="I2594" s="2">
        <v>0.55800000000000005</v>
      </c>
      <c r="J2594" s="2">
        <v>0.4995</v>
      </c>
      <c r="K2594" s="2">
        <v>0.55379999999999996</v>
      </c>
      <c r="L2594" s="2">
        <v>0.43469999999999998</v>
      </c>
      <c r="M2594" s="2">
        <v>0.30840000000000001</v>
      </c>
      <c r="N2594" s="2">
        <v>0.1658</v>
      </c>
      <c r="O2594" s="2">
        <v>0.1225</v>
      </c>
      <c r="P2594" s="2">
        <v>8.6300000000000002E-2</v>
      </c>
      <c r="Q2594" s="2">
        <v>1.5100000000000001E-2</v>
      </c>
      <c r="R2594" s="2">
        <v>1.1000000000000001E-3</v>
      </c>
      <c r="S2594" s="2">
        <v>0</v>
      </c>
      <c r="T2594">
        <v>1808</v>
      </c>
    </row>
    <row r="2595" spans="1:20" x14ac:dyDescent="0.35">
      <c r="A2595" t="s">
        <v>228</v>
      </c>
      <c r="B2595" t="s">
        <v>228</v>
      </c>
      <c r="C2595" s="2">
        <v>0.99639999999999995</v>
      </c>
      <c r="D2595" s="2">
        <v>0.94510000000000005</v>
      </c>
      <c r="E2595" s="2">
        <v>0.93789999999999996</v>
      </c>
      <c r="F2595" s="2">
        <v>0.84630000000000005</v>
      </c>
      <c r="G2595" s="2">
        <v>0.69089999999999996</v>
      </c>
      <c r="H2595" s="2">
        <v>0.62309999999999999</v>
      </c>
      <c r="I2595" s="2">
        <v>0.54010000000000002</v>
      </c>
      <c r="J2595" s="2">
        <v>0.50590000000000002</v>
      </c>
      <c r="K2595" s="2">
        <v>0.50429999999999997</v>
      </c>
      <c r="L2595" s="2">
        <v>0.43940000000000001</v>
      </c>
      <c r="M2595" s="2">
        <v>0.26440000000000002</v>
      </c>
      <c r="N2595" s="2">
        <v>0.1739</v>
      </c>
      <c r="O2595" s="2">
        <v>0.14599999999999999</v>
      </c>
      <c r="P2595" s="2">
        <v>8.0500000000000002E-2</v>
      </c>
      <c r="Q2595" s="2">
        <v>1.8200000000000001E-2</v>
      </c>
      <c r="R2595" s="2">
        <v>8.0000000000000004E-4</v>
      </c>
      <c r="S2595" s="2">
        <v>6.9999999999999999E-4</v>
      </c>
      <c r="T2595">
        <v>2813</v>
      </c>
    </row>
    <row r="2597" spans="1:20" x14ac:dyDescent="0.35">
      <c r="A2597" s="1" t="s">
        <v>872</v>
      </c>
    </row>
    <row r="2598" spans="1:20" x14ac:dyDescent="0.35">
      <c r="A2598" t="s">
        <v>219</v>
      </c>
      <c r="B2598" t="s">
        <v>301</v>
      </c>
      <c r="C2598" t="s">
        <v>855</v>
      </c>
      <c r="D2598" t="s">
        <v>856</v>
      </c>
      <c r="E2598" t="s">
        <v>857</v>
      </c>
      <c r="F2598" t="s">
        <v>858</v>
      </c>
      <c r="G2598" t="s">
        <v>859</v>
      </c>
      <c r="H2598" t="s">
        <v>860</v>
      </c>
      <c r="I2598" t="s">
        <v>861</v>
      </c>
      <c r="J2598" t="s">
        <v>862</v>
      </c>
      <c r="K2598" t="s">
        <v>863</v>
      </c>
      <c r="L2598" t="s">
        <v>864</v>
      </c>
      <c r="M2598" t="s">
        <v>865</v>
      </c>
      <c r="N2598" t="s">
        <v>866</v>
      </c>
      <c r="O2598" t="s">
        <v>867</v>
      </c>
      <c r="P2598" t="s">
        <v>868</v>
      </c>
      <c r="Q2598" t="s">
        <v>869</v>
      </c>
      <c r="R2598" t="s">
        <v>282</v>
      </c>
      <c r="S2598" t="s">
        <v>870</v>
      </c>
      <c r="T2598" t="s">
        <v>226</v>
      </c>
    </row>
    <row r="2599" spans="1:20" x14ac:dyDescent="0.35">
      <c r="A2599" t="s">
        <v>227</v>
      </c>
      <c r="B2599" t="s">
        <v>235</v>
      </c>
      <c r="C2599" s="2">
        <v>0.99580000000000002</v>
      </c>
      <c r="D2599" s="2">
        <v>0.93759999999999999</v>
      </c>
      <c r="E2599" s="2">
        <v>0.92889999999999995</v>
      </c>
      <c r="F2599" s="2">
        <v>0.8609</v>
      </c>
      <c r="G2599" s="2">
        <v>0.70899999999999996</v>
      </c>
      <c r="H2599" s="2">
        <v>0.60770000000000002</v>
      </c>
      <c r="I2599" s="2">
        <v>0.38419999999999999</v>
      </c>
      <c r="J2599" s="2">
        <v>0.59730000000000005</v>
      </c>
      <c r="K2599" s="2">
        <v>0.50719999999999998</v>
      </c>
      <c r="L2599" s="2">
        <v>0.4506</v>
      </c>
      <c r="M2599" s="2">
        <v>0.1784</v>
      </c>
      <c r="N2599" s="2">
        <v>0.11310000000000001</v>
      </c>
      <c r="O2599" s="2">
        <v>0.23080000000000001</v>
      </c>
      <c r="P2599" s="2">
        <v>7.22E-2</v>
      </c>
      <c r="Q2599" s="2">
        <v>2.9600000000000001E-2</v>
      </c>
      <c r="R2599" s="2">
        <v>2.9999999999999997E-4</v>
      </c>
      <c r="T2599">
        <v>992</v>
      </c>
    </row>
    <row r="2600" spans="1:20" x14ac:dyDescent="0.35">
      <c r="A2600" t="s">
        <v>227</v>
      </c>
      <c r="B2600" t="s">
        <v>234</v>
      </c>
      <c r="C2600" s="2">
        <v>0.99660000000000004</v>
      </c>
      <c r="D2600" s="2">
        <v>0.94820000000000004</v>
      </c>
      <c r="E2600" s="2">
        <v>0.94159999999999999</v>
      </c>
      <c r="F2600" s="2">
        <v>0.84009999999999996</v>
      </c>
      <c r="G2600" s="2">
        <v>0.68340000000000001</v>
      </c>
      <c r="H2600" s="2">
        <v>0.62960000000000005</v>
      </c>
      <c r="I2600" s="2">
        <v>0.60540000000000005</v>
      </c>
      <c r="J2600" s="2">
        <v>0.46760000000000002</v>
      </c>
      <c r="K2600" s="2">
        <v>0.50309999999999999</v>
      </c>
      <c r="L2600" s="2">
        <v>0.43469999999999998</v>
      </c>
      <c r="M2600" s="2">
        <v>0.3004</v>
      </c>
      <c r="N2600" s="2">
        <v>0.19939999999999999</v>
      </c>
      <c r="O2600" s="2">
        <v>0.1106</v>
      </c>
      <c r="P2600" s="2">
        <v>8.4000000000000005E-2</v>
      </c>
      <c r="Q2600" s="2">
        <v>1.34E-2</v>
      </c>
      <c r="R2600" s="2">
        <v>1E-3</v>
      </c>
      <c r="S2600" s="2">
        <v>1E-3</v>
      </c>
      <c r="T2600">
        <v>1821</v>
      </c>
    </row>
    <row r="2601" spans="1:20" x14ac:dyDescent="0.35">
      <c r="A2601" t="s">
        <v>228</v>
      </c>
      <c r="B2601" t="s">
        <v>228</v>
      </c>
      <c r="C2601" s="2">
        <v>0.99639999999999995</v>
      </c>
      <c r="D2601" s="2">
        <v>0.94510000000000005</v>
      </c>
      <c r="E2601" s="2">
        <v>0.93789999999999996</v>
      </c>
      <c r="F2601" s="2">
        <v>0.84630000000000005</v>
      </c>
      <c r="G2601" s="2">
        <v>0.69089999999999996</v>
      </c>
      <c r="H2601" s="2">
        <v>0.62309999999999999</v>
      </c>
      <c r="I2601" s="2">
        <v>0.54010000000000002</v>
      </c>
      <c r="J2601" s="2">
        <v>0.50590000000000002</v>
      </c>
      <c r="K2601" s="2">
        <v>0.50429999999999997</v>
      </c>
      <c r="L2601" s="2">
        <v>0.43940000000000001</v>
      </c>
      <c r="M2601" s="2">
        <v>0.26440000000000002</v>
      </c>
      <c r="N2601" s="2">
        <v>0.1739</v>
      </c>
      <c r="O2601" s="2">
        <v>0.14599999999999999</v>
      </c>
      <c r="P2601" s="2">
        <v>8.0500000000000002E-2</v>
      </c>
      <c r="Q2601" s="2">
        <v>1.8200000000000001E-2</v>
      </c>
      <c r="R2601" s="2">
        <v>8.0000000000000004E-4</v>
      </c>
      <c r="S2601" s="2">
        <v>6.9999999999999999E-4</v>
      </c>
      <c r="T2601">
        <v>2813</v>
      </c>
    </row>
    <row r="2603" spans="1:20" x14ac:dyDescent="0.35">
      <c r="A2603" s="1" t="s">
        <v>873</v>
      </c>
    </row>
    <row r="2604" spans="1:20" x14ac:dyDescent="0.35">
      <c r="A2604" t="s">
        <v>219</v>
      </c>
      <c r="B2604" t="s">
        <v>301</v>
      </c>
      <c r="C2604" t="s">
        <v>855</v>
      </c>
      <c r="D2604" t="s">
        <v>856</v>
      </c>
      <c r="E2604" t="s">
        <v>857</v>
      </c>
      <c r="F2604" t="s">
        <v>858</v>
      </c>
      <c r="G2604" t="s">
        <v>859</v>
      </c>
      <c r="H2604" t="s">
        <v>860</v>
      </c>
      <c r="I2604" t="s">
        <v>861</v>
      </c>
      <c r="J2604" t="s">
        <v>862</v>
      </c>
      <c r="K2604" t="s">
        <v>863</v>
      </c>
      <c r="L2604" t="s">
        <v>864</v>
      </c>
      <c r="M2604" t="s">
        <v>865</v>
      </c>
      <c r="N2604" t="s">
        <v>866</v>
      </c>
      <c r="O2604" t="s">
        <v>867</v>
      </c>
      <c r="P2604" t="s">
        <v>868</v>
      </c>
      <c r="Q2604" t="s">
        <v>869</v>
      </c>
      <c r="R2604" t="s">
        <v>282</v>
      </c>
      <c r="S2604" t="s">
        <v>870</v>
      </c>
      <c r="T2604" t="s">
        <v>226</v>
      </c>
    </row>
    <row r="2605" spans="1:20" x14ac:dyDescent="0.35">
      <c r="A2605" t="s">
        <v>227</v>
      </c>
      <c r="B2605" t="s">
        <v>240</v>
      </c>
      <c r="C2605" s="2">
        <v>0.99880000000000002</v>
      </c>
      <c r="D2605" s="2">
        <v>0.95489999999999997</v>
      </c>
      <c r="E2605" s="2">
        <v>0.95309999999999995</v>
      </c>
      <c r="F2605" s="2">
        <v>0.88980000000000004</v>
      </c>
      <c r="G2605" s="2">
        <v>0.7359</v>
      </c>
      <c r="H2605" s="2">
        <v>0.72370000000000001</v>
      </c>
      <c r="I2605" s="2">
        <v>0.57420000000000004</v>
      </c>
      <c r="J2605" s="2">
        <v>0.55959999999999999</v>
      </c>
      <c r="K2605" s="2">
        <v>0.54569999999999996</v>
      </c>
      <c r="L2605" s="2">
        <v>0.48130000000000001</v>
      </c>
      <c r="M2605" s="2">
        <v>0.30409999999999998</v>
      </c>
      <c r="N2605" s="2">
        <v>0.1817</v>
      </c>
      <c r="O2605" s="2">
        <v>0.1595</v>
      </c>
      <c r="P2605" s="2">
        <v>0.1085</v>
      </c>
      <c r="Q2605" s="2">
        <v>1.9400000000000001E-2</v>
      </c>
      <c r="R2605" s="2">
        <v>8.0000000000000004E-4</v>
      </c>
      <c r="S2605" s="2">
        <v>0</v>
      </c>
      <c r="T2605">
        <v>1756</v>
      </c>
    </row>
    <row r="2606" spans="1:20" x14ac:dyDescent="0.35">
      <c r="A2606" t="s">
        <v>227</v>
      </c>
      <c r="B2606" t="s">
        <v>241</v>
      </c>
      <c r="C2606" s="2">
        <v>0.99060000000000004</v>
      </c>
      <c r="D2606" s="2">
        <v>0.91410000000000002</v>
      </c>
      <c r="E2606" s="2">
        <v>0.9113</v>
      </c>
      <c r="F2606" s="2">
        <v>0.7359</v>
      </c>
      <c r="G2606" s="2">
        <v>0.55310000000000004</v>
      </c>
      <c r="H2606" s="2">
        <v>0.35730000000000001</v>
      </c>
      <c r="I2606" s="2">
        <v>0.48320000000000002</v>
      </c>
      <c r="J2606" s="2">
        <v>0.37419999999999998</v>
      </c>
      <c r="K2606" s="2">
        <v>0.35639999999999999</v>
      </c>
      <c r="L2606" s="2">
        <v>0.32290000000000002</v>
      </c>
      <c r="M2606" s="2">
        <v>0.1482</v>
      </c>
      <c r="N2606" s="2">
        <v>0.16900000000000001</v>
      </c>
      <c r="O2606" s="2">
        <v>8.8400000000000006E-2</v>
      </c>
      <c r="P2606" s="2">
        <v>2.47E-2</v>
      </c>
      <c r="Q2606" s="2">
        <v>1.7500000000000002E-2</v>
      </c>
      <c r="R2606" s="2">
        <v>8.9999999999999998E-4</v>
      </c>
      <c r="S2606" s="2">
        <v>2.2000000000000001E-3</v>
      </c>
      <c r="T2606">
        <v>891</v>
      </c>
    </row>
    <row r="2607" spans="1:20" x14ac:dyDescent="0.35">
      <c r="A2607" t="s">
        <v>227</v>
      </c>
      <c r="B2607" t="s">
        <v>242</v>
      </c>
      <c r="C2607" s="2">
        <v>0.99880000000000002</v>
      </c>
      <c r="D2607" s="2">
        <v>0.9879</v>
      </c>
      <c r="E2607" s="2">
        <v>0.90839999999999999</v>
      </c>
      <c r="F2607" s="2">
        <v>0.91639999999999999</v>
      </c>
      <c r="G2607" s="2">
        <v>0.86980000000000002</v>
      </c>
      <c r="H2607" s="2">
        <v>0.83430000000000004</v>
      </c>
      <c r="I2607" s="2">
        <v>0.46450000000000002</v>
      </c>
      <c r="J2607" s="2">
        <v>0.5726</v>
      </c>
      <c r="K2607" s="2">
        <v>0.76339999999999997</v>
      </c>
      <c r="L2607" s="2">
        <v>0.55300000000000005</v>
      </c>
      <c r="M2607" s="2">
        <v>0.39839999999999998</v>
      </c>
      <c r="N2607" s="2">
        <v>0.1202</v>
      </c>
      <c r="O2607" s="2">
        <v>0.27260000000000001</v>
      </c>
      <c r="P2607" s="2">
        <v>5.8200000000000002E-2</v>
      </c>
      <c r="Q2607" s="2">
        <v>9.4000000000000004E-3</v>
      </c>
      <c r="T2607">
        <v>166</v>
      </c>
    </row>
    <row r="2608" spans="1:20" x14ac:dyDescent="0.35">
      <c r="A2608" t="s">
        <v>228</v>
      </c>
      <c r="B2608" t="s">
        <v>228</v>
      </c>
      <c r="C2608" s="2">
        <v>0.99639999999999995</v>
      </c>
      <c r="D2608" s="2">
        <v>0.94510000000000005</v>
      </c>
      <c r="E2608" s="2">
        <v>0.93789999999999996</v>
      </c>
      <c r="F2608" s="2">
        <v>0.84630000000000005</v>
      </c>
      <c r="G2608" s="2">
        <v>0.69089999999999996</v>
      </c>
      <c r="H2608" s="2">
        <v>0.62309999999999999</v>
      </c>
      <c r="I2608" s="2">
        <v>0.54010000000000002</v>
      </c>
      <c r="J2608" s="2">
        <v>0.50590000000000002</v>
      </c>
      <c r="K2608" s="2">
        <v>0.50429999999999997</v>
      </c>
      <c r="L2608" s="2">
        <v>0.43940000000000001</v>
      </c>
      <c r="M2608" s="2">
        <v>0.26440000000000002</v>
      </c>
      <c r="N2608" s="2">
        <v>0.1739</v>
      </c>
      <c r="O2608" s="2">
        <v>0.14599999999999999</v>
      </c>
      <c r="P2608" s="2">
        <v>8.0500000000000002E-2</v>
      </c>
      <c r="Q2608" s="2">
        <v>1.8200000000000001E-2</v>
      </c>
      <c r="R2608" s="2">
        <v>8.0000000000000004E-4</v>
      </c>
      <c r="S2608" s="2">
        <v>6.9999999999999999E-4</v>
      </c>
      <c r="T2608">
        <v>2813</v>
      </c>
    </row>
    <row r="2610" spans="1:20" x14ac:dyDescent="0.35">
      <c r="A2610" s="1" t="s">
        <v>874</v>
      </c>
    </row>
    <row r="2611" spans="1:20" x14ac:dyDescent="0.35">
      <c r="A2611" t="s">
        <v>219</v>
      </c>
      <c r="B2611" t="s">
        <v>301</v>
      </c>
      <c r="C2611" t="s">
        <v>855</v>
      </c>
      <c r="D2611" t="s">
        <v>856</v>
      </c>
      <c r="E2611" t="s">
        <v>857</v>
      </c>
      <c r="F2611" t="s">
        <v>858</v>
      </c>
      <c r="G2611" t="s">
        <v>859</v>
      </c>
      <c r="H2611" t="s">
        <v>860</v>
      </c>
      <c r="I2611" t="s">
        <v>861</v>
      </c>
      <c r="J2611" t="s">
        <v>862</v>
      </c>
      <c r="K2611" t="s">
        <v>863</v>
      </c>
      <c r="L2611" t="s">
        <v>864</v>
      </c>
      <c r="M2611" t="s">
        <v>865</v>
      </c>
      <c r="N2611" t="s">
        <v>866</v>
      </c>
      <c r="O2611" t="s">
        <v>867</v>
      </c>
      <c r="P2611" t="s">
        <v>868</v>
      </c>
      <c r="Q2611" t="s">
        <v>869</v>
      </c>
      <c r="R2611" t="s">
        <v>282</v>
      </c>
      <c r="S2611" t="s">
        <v>870</v>
      </c>
      <c r="T2611" t="s">
        <v>226</v>
      </c>
    </row>
    <row r="2612" spans="1:20" x14ac:dyDescent="0.35">
      <c r="A2612" t="s">
        <v>227</v>
      </c>
      <c r="B2612" t="s">
        <v>334</v>
      </c>
      <c r="C2612" s="2">
        <v>0.99539999999999995</v>
      </c>
      <c r="D2612" s="2">
        <v>0.9425</v>
      </c>
      <c r="E2612" s="2">
        <v>0.94520000000000004</v>
      </c>
      <c r="F2612" s="2">
        <v>0.81499999999999995</v>
      </c>
      <c r="G2612" s="2">
        <v>0.6028</v>
      </c>
      <c r="H2612" s="2">
        <v>0.57150000000000001</v>
      </c>
      <c r="I2612" s="2">
        <v>0.3785</v>
      </c>
      <c r="J2612" s="2">
        <v>0.46839999999999998</v>
      </c>
      <c r="K2612" s="2">
        <v>0.38779999999999998</v>
      </c>
      <c r="L2612" s="2">
        <v>0.34710000000000002</v>
      </c>
      <c r="M2612" s="2">
        <v>0.1231</v>
      </c>
      <c r="N2612" s="2">
        <v>0.1396</v>
      </c>
      <c r="O2612" s="2">
        <v>0.16839999999999999</v>
      </c>
      <c r="P2612" s="2">
        <v>7.0199999999999999E-2</v>
      </c>
      <c r="Q2612" s="2">
        <v>9.1000000000000004E-3</v>
      </c>
      <c r="S2612" s="2">
        <v>3.0999999999999999E-3</v>
      </c>
      <c r="T2612">
        <v>625</v>
      </c>
    </row>
    <row r="2613" spans="1:20" x14ac:dyDescent="0.35">
      <c r="A2613" t="s">
        <v>227</v>
      </c>
      <c r="B2613" t="s">
        <v>335</v>
      </c>
      <c r="C2613" s="2">
        <v>0.99729999999999996</v>
      </c>
      <c r="D2613" s="2">
        <v>0.95599999999999996</v>
      </c>
      <c r="E2613" s="2">
        <v>0.92959999999999998</v>
      </c>
      <c r="F2613" s="2">
        <v>0.90620000000000001</v>
      </c>
      <c r="G2613" s="2">
        <v>0.82069999999999999</v>
      </c>
      <c r="H2613" s="2">
        <v>0.69299999999999995</v>
      </c>
      <c r="I2613" s="2">
        <v>0.65969999999999995</v>
      </c>
      <c r="J2613" s="2">
        <v>0.53869999999999996</v>
      </c>
      <c r="K2613" s="2">
        <v>0.68569999999999998</v>
      </c>
      <c r="L2613" s="2">
        <v>0.57279999999999998</v>
      </c>
      <c r="M2613" s="2">
        <v>0.47920000000000001</v>
      </c>
      <c r="N2613" s="2">
        <v>0.19620000000000001</v>
      </c>
      <c r="O2613" s="2">
        <v>0.14580000000000001</v>
      </c>
      <c r="P2613" s="2">
        <v>0.1061</v>
      </c>
      <c r="Q2613" s="2">
        <v>2.9100000000000001E-2</v>
      </c>
      <c r="R2613" s="2">
        <v>2.0000000000000001E-4</v>
      </c>
      <c r="T2613">
        <v>628</v>
      </c>
    </row>
    <row r="2614" spans="1:20" x14ac:dyDescent="0.35">
      <c r="A2614" t="s">
        <v>227</v>
      </c>
      <c r="B2614" t="s">
        <v>336</v>
      </c>
      <c r="C2614" s="2">
        <v>0.99950000000000006</v>
      </c>
      <c r="D2614" s="2">
        <v>0.93140000000000001</v>
      </c>
      <c r="E2614" s="2">
        <v>0.92730000000000001</v>
      </c>
      <c r="F2614" s="2">
        <v>0.79859999999999998</v>
      </c>
      <c r="G2614" s="2">
        <v>0.5857</v>
      </c>
      <c r="H2614" s="2">
        <v>0.52300000000000002</v>
      </c>
      <c r="I2614" s="2">
        <v>0.48670000000000002</v>
      </c>
      <c r="J2614" s="2">
        <v>0.46129999999999999</v>
      </c>
      <c r="K2614" s="2">
        <v>0.35770000000000002</v>
      </c>
      <c r="L2614" s="2">
        <v>0.32300000000000001</v>
      </c>
      <c r="M2614" s="2">
        <v>0.1013</v>
      </c>
      <c r="N2614" s="2">
        <v>0.17150000000000001</v>
      </c>
      <c r="O2614" s="2">
        <v>0.1459</v>
      </c>
      <c r="P2614" s="2">
        <v>5.57E-2</v>
      </c>
      <c r="Q2614" s="2">
        <v>2.4400000000000002E-2</v>
      </c>
      <c r="T2614">
        <v>621</v>
      </c>
    </row>
    <row r="2615" spans="1:20" x14ac:dyDescent="0.35">
      <c r="A2615" t="s">
        <v>227</v>
      </c>
      <c r="B2615" t="s">
        <v>337</v>
      </c>
      <c r="C2615" s="2">
        <v>0.99550000000000005</v>
      </c>
      <c r="D2615" s="2">
        <v>0.95889999999999997</v>
      </c>
      <c r="E2615" s="2">
        <v>0.9597</v>
      </c>
      <c r="F2615" s="2">
        <v>0.8397</v>
      </c>
      <c r="G2615" s="2">
        <v>0.7056</v>
      </c>
      <c r="H2615" s="2">
        <v>0.65110000000000001</v>
      </c>
      <c r="I2615" s="2">
        <v>0.56569999999999998</v>
      </c>
      <c r="J2615" s="2">
        <v>0.5262</v>
      </c>
      <c r="K2615" s="2">
        <v>0.46360000000000001</v>
      </c>
      <c r="L2615" s="2">
        <v>0.43369999999999997</v>
      </c>
      <c r="M2615" s="2">
        <v>0.253</v>
      </c>
      <c r="N2615" s="2">
        <v>0.15160000000000001</v>
      </c>
      <c r="O2615" s="2">
        <v>0.11269999999999999</v>
      </c>
      <c r="P2615" s="2">
        <v>5.33E-2</v>
      </c>
      <c r="Q2615" s="2">
        <v>1.35E-2</v>
      </c>
      <c r="T2615">
        <v>602</v>
      </c>
    </row>
    <row r="2616" spans="1:20" x14ac:dyDescent="0.35">
      <c r="A2616" t="s">
        <v>228</v>
      </c>
      <c r="B2616" t="s">
        <v>228</v>
      </c>
      <c r="C2616" s="2">
        <v>0.99639999999999995</v>
      </c>
      <c r="D2616" s="2">
        <v>0.94510000000000005</v>
      </c>
      <c r="E2616" s="2">
        <v>0.93789999999999996</v>
      </c>
      <c r="F2616" s="2">
        <v>0.84630000000000005</v>
      </c>
      <c r="G2616" s="2">
        <v>0.69089999999999996</v>
      </c>
      <c r="H2616" s="2">
        <v>0.62309999999999999</v>
      </c>
      <c r="I2616" s="2">
        <v>0.54010000000000002</v>
      </c>
      <c r="J2616" s="2">
        <v>0.50590000000000002</v>
      </c>
      <c r="K2616" s="2">
        <v>0.50429999999999997</v>
      </c>
      <c r="L2616" s="2">
        <v>0.43940000000000001</v>
      </c>
      <c r="M2616" s="2">
        <v>0.26440000000000002</v>
      </c>
      <c r="N2616" s="2">
        <v>0.1739</v>
      </c>
      <c r="O2616" s="2">
        <v>0.14599999999999999</v>
      </c>
      <c r="P2616" s="2">
        <v>8.0500000000000002E-2</v>
      </c>
      <c r="Q2616" s="2">
        <v>1.8200000000000001E-2</v>
      </c>
      <c r="R2616" s="2">
        <v>8.0000000000000004E-4</v>
      </c>
      <c r="S2616" s="2">
        <v>6.9999999999999999E-4</v>
      </c>
      <c r="T2616">
        <v>2476</v>
      </c>
    </row>
    <row r="2618" spans="1:20" x14ac:dyDescent="0.35">
      <c r="A2618" s="1" t="s">
        <v>875</v>
      </c>
    </row>
    <row r="2619" spans="1:20" x14ac:dyDescent="0.35">
      <c r="A2619" t="s">
        <v>219</v>
      </c>
      <c r="B2619" t="s">
        <v>301</v>
      </c>
      <c r="C2619" t="s">
        <v>855</v>
      </c>
      <c r="D2619" t="s">
        <v>856</v>
      </c>
      <c r="E2619" t="s">
        <v>857</v>
      </c>
      <c r="F2619" t="s">
        <v>858</v>
      </c>
      <c r="G2619" t="s">
        <v>859</v>
      </c>
      <c r="H2619" t="s">
        <v>860</v>
      </c>
      <c r="I2619" t="s">
        <v>861</v>
      </c>
      <c r="J2619" t="s">
        <v>862</v>
      </c>
      <c r="K2619" t="s">
        <v>863</v>
      </c>
      <c r="L2619" t="s">
        <v>864</v>
      </c>
      <c r="M2619" t="s">
        <v>865</v>
      </c>
      <c r="N2619" t="s">
        <v>866</v>
      </c>
      <c r="O2619" t="s">
        <v>867</v>
      </c>
      <c r="P2619" t="s">
        <v>868</v>
      </c>
      <c r="Q2619" t="s">
        <v>869</v>
      </c>
      <c r="R2619" t="s">
        <v>282</v>
      </c>
      <c r="S2619" t="s">
        <v>870</v>
      </c>
      <c r="T2619" t="s">
        <v>226</v>
      </c>
    </row>
    <row r="2620" spans="1:20" x14ac:dyDescent="0.35">
      <c r="A2620" t="s">
        <v>227</v>
      </c>
      <c r="B2620" t="s">
        <v>263</v>
      </c>
      <c r="C2620" s="2">
        <v>0.99939999999999996</v>
      </c>
      <c r="D2620" s="2">
        <v>0.93969999999999998</v>
      </c>
      <c r="E2620" s="2">
        <v>0.93200000000000005</v>
      </c>
      <c r="F2620" s="2">
        <v>0.82930000000000004</v>
      </c>
      <c r="G2620" s="2">
        <v>0.69930000000000003</v>
      </c>
      <c r="H2620" s="2">
        <v>0.41299999999999998</v>
      </c>
      <c r="I2620" s="2">
        <v>0.52480000000000004</v>
      </c>
      <c r="J2620" s="2">
        <v>0.4476</v>
      </c>
      <c r="K2620" s="2">
        <v>0.49640000000000001</v>
      </c>
      <c r="L2620" s="2">
        <v>0.44700000000000001</v>
      </c>
      <c r="M2620" s="2">
        <v>0.28470000000000001</v>
      </c>
      <c r="N2620" s="2">
        <v>0.14599999999999999</v>
      </c>
      <c r="O2620" s="2">
        <v>0.14899999999999999</v>
      </c>
      <c r="P2620" s="2">
        <v>6.1800000000000001E-2</v>
      </c>
      <c r="Q2620" s="2">
        <v>1.38E-2</v>
      </c>
      <c r="S2620" s="2">
        <v>1E-4</v>
      </c>
      <c r="T2620">
        <v>589</v>
      </c>
    </row>
    <row r="2621" spans="1:20" x14ac:dyDescent="0.35">
      <c r="A2621" t="s">
        <v>227</v>
      </c>
      <c r="B2621" t="s">
        <v>262</v>
      </c>
      <c r="C2621" s="2">
        <v>0.99219999999999997</v>
      </c>
      <c r="D2621" s="2">
        <v>0.93110000000000004</v>
      </c>
      <c r="E2621" s="2">
        <v>0.92830000000000001</v>
      </c>
      <c r="F2621" s="2">
        <v>0.79510000000000003</v>
      </c>
      <c r="G2621" s="2">
        <v>0.60529999999999995</v>
      </c>
      <c r="H2621" s="2">
        <v>0.59460000000000002</v>
      </c>
      <c r="I2621" s="2">
        <v>0.4914</v>
      </c>
      <c r="J2621" s="2">
        <v>0.46739999999999998</v>
      </c>
      <c r="K2621" s="2">
        <v>0.40250000000000002</v>
      </c>
      <c r="L2621" s="2">
        <v>0.3523</v>
      </c>
      <c r="M2621" s="2">
        <v>0.1988</v>
      </c>
      <c r="N2621" s="2">
        <v>0.19689999999999999</v>
      </c>
      <c r="O2621" s="2">
        <v>9.4600000000000004E-2</v>
      </c>
      <c r="P2621" s="2">
        <v>4.3499999999999997E-2</v>
      </c>
      <c r="Q2621" s="2">
        <v>1.4200000000000001E-2</v>
      </c>
      <c r="R2621" s="2">
        <v>6.9999999999999999E-4</v>
      </c>
      <c r="S2621" s="2">
        <v>1.8E-3</v>
      </c>
      <c r="T2621">
        <v>1160</v>
      </c>
    </row>
    <row r="2622" spans="1:20" x14ac:dyDescent="0.35">
      <c r="A2622" t="s">
        <v>227</v>
      </c>
      <c r="B2622" t="s">
        <v>261</v>
      </c>
      <c r="C2622" s="2">
        <v>0.99850000000000005</v>
      </c>
      <c r="D2622" s="2">
        <v>0.95960000000000001</v>
      </c>
      <c r="E2622" s="2">
        <v>0.94879999999999998</v>
      </c>
      <c r="F2622" s="2">
        <v>0.89839999999999998</v>
      </c>
      <c r="G2622" s="2">
        <v>0.76</v>
      </c>
      <c r="H2622" s="2">
        <v>0.75109999999999999</v>
      </c>
      <c r="I2622" s="2">
        <v>0.58989999999999998</v>
      </c>
      <c r="J2622" s="2">
        <v>0.56610000000000005</v>
      </c>
      <c r="K2622" s="2">
        <v>0.5948</v>
      </c>
      <c r="L2622" s="2">
        <v>0.51080000000000003</v>
      </c>
      <c r="M2622" s="2">
        <v>0.3105</v>
      </c>
      <c r="N2622" s="2">
        <v>0.16819999999999999</v>
      </c>
      <c r="O2622" s="2">
        <v>0.18959999999999999</v>
      </c>
      <c r="P2622" s="2">
        <v>0.12189999999999999</v>
      </c>
      <c r="Q2622" s="2">
        <v>2.0799999999999999E-2</v>
      </c>
      <c r="R2622" s="2">
        <v>1.1000000000000001E-3</v>
      </c>
      <c r="T2622">
        <v>1062</v>
      </c>
    </row>
    <row r="2623" spans="1:20" x14ac:dyDescent="0.35">
      <c r="A2623" s="3" t="s">
        <v>227</v>
      </c>
      <c r="B2623" s="3" t="s">
        <v>232</v>
      </c>
      <c r="C2623" s="4">
        <v>1</v>
      </c>
      <c r="D2623" s="4">
        <v>1</v>
      </c>
      <c r="E2623" s="4">
        <v>1</v>
      </c>
      <c r="F2623" s="4">
        <v>1</v>
      </c>
      <c r="G2623" s="4">
        <v>1</v>
      </c>
      <c r="H2623" s="4">
        <v>0.5</v>
      </c>
      <c r="I2623" s="4">
        <v>0.5</v>
      </c>
      <c r="J2623" s="4">
        <v>1</v>
      </c>
      <c r="K2623" s="4">
        <v>1</v>
      </c>
      <c r="L2623" s="4">
        <v>0.5</v>
      </c>
      <c r="M2623" s="4">
        <v>0.5</v>
      </c>
      <c r="N2623" s="5"/>
      <c r="O2623" s="5"/>
      <c r="P2623" s="5"/>
      <c r="Q2623" s="4">
        <v>1</v>
      </c>
      <c r="R2623" s="5"/>
      <c r="S2623" s="5"/>
      <c r="T2623" s="5" t="s">
        <v>434</v>
      </c>
    </row>
    <row r="2624" spans="1:20" x14ac:dyDescent="0.35">
      <c r="A2624" t="s">
        <v>228</v>
      </c>
      <c r="B2624" t="s">
        <v>228</v>
      </c>
      <c r="C2624" s="2">
        <v>0.99639999999999995</v>
      </c>
      <c r="D2624" s="2">
        <v>0.94510000000000005</v>
      </c>
      <c r="E2624" s="2">
        <v>0.93789999999999996</v>
      </c>
      <c r="F2624" s="2">
        <v>0.84630000000000005</v>
      </c>
      <c r="G2624" s="2">
        <v>0.69089999999999996</v>
      </c>
      <c r="H2624" s="2">
        <v>0.62309999999999999</v>
      </c>
      <c r="I2624" s="2">
        <v>0.54010000000000002</v>
      </c>
      <c r="J2624" s="2">
        <v>0.50590000000000002</v>
      </c>
      <c r="K2624" s="2">
        <v>0.50429999999999997</v>
      </c>
      <c r="L2624" s="2">
        <v>0.43940000000000001</v>
      </c>
      <c r="M2624" s="2">
        <v>0.26440000000000002</v>
      </c>
      <c r="N2624" s="2">
        <v>0.1739</v>
      </c>
      <c r="O2624" s="2">
        <v>0.14599999999999999</v>
      </c>
      <c r="P2624" s="2">
        <v>8.0500000000000002E-2</v>
      </c>
      <c r="Q2624" s="2">
        <v>1.8200000000000001E-2</v>
      </c>
      <c r="R2624" s="2">
        <v>8.0000000000000004E-4</v>
      </c>
      <c r="S2624" s="2">
        <v>6.9999999999999999E-4</v>
      </c>
      <c r="T2624">
        <v>2813</v>
      </c>
    </row>
    <row r="2626" spans="1:20" x14ac:dyDescent="0.35">
      <c r="A2626" s="1" t="s">
        <v>876</v>
      </c>
    </row>
    <row r="2627" spans="1:20" x14ac:dyDescent="0.35">
      <c r="A2627" t="s">
        <v>219</v>
      </c>
      <c r="B2627" t="s">
        <v>301</v>
      </c>
      <c r="C2627" t="s">
        <v>855</v>
      </c>
      <c r="D2627" t="s">
        <v>856</v>
      </c>
      <c r="E2627" t="s">
        <v>857</v>
      </c>
      <c r="F2627" t="s">
        <v>858</v>
      </c>
      <c r="G2627" t="s">
        <v>859</v>
      </c>
      <c r="H2627" t="s">
        <v>860</v>
      </c>
      <c r="I2627" t="s">
        <v>861</v>
      </c>
      <c r="J2627" t="s">
        <v>862</v>
      </c>
      <c r="K2627" t="s">
        <v>863</v>
      </c>
      <c r="L2627" t="s">
        <v>864</v>
      </c>
      <c r="M2627" t="s">
        <v>865</v>
      </c>
      <c r="N2627" t="s">
        <v>866</v>
      </c>
      <c r="O2627" t="s">
        <v>867</v>
      </c>
      <c r="P2627" t="s">
        <v>868</v>
      </c>
      <c r="Q2627" t="s">
        <v>869</v>
      </c>
      <c r="R2627" t="s">
        <v>282</v>
      </c>
      <c r="S2627" t="s">
        <v>870</v>
      </c>
      <c r="T2627" t="s">
        <v>226</v>
      </c>
    </row>
    <row r="2628" spans="1:20" x14ac:dyDescent="0.35">
      <c r="A2628" t="s">
        <v>227</v>
      </c>
      <c r="B2628" t="s">
        <v>248</v>
      </c>
      <c r="C2628" s="2">
        <v>0.99370000000000003</v>
      </c>
      <c r="D2628" s="2">
        <v>0.91579999999999995</v>
      </c>
      <c r="E2628" s="2">
        <v>0.93959999999999999</v>
      </c>
      <c r="F2628" s="2">
        <v>0.75260000000000005</v>
      </c>
      <c r="G2628" s="2">
        <v>0.497</v>
      </c>
      <c r="H2628" s="2">
        <v>0.32829999999999998</v>
      </c>
      <c r="I2628" s="2">
        <v>0.42320000000000002</v>
      </c>
      <c r="J2628" s="2">
        <v>0.42059999999999997</v>
      </c>
      <c r="K2628" s="2">
        <v>0.23680000000000001</v>
      </c>
      <c r="L2628" s="2">
        <v>0.32100000000000001</v>
      </c>
      <c r="M2628" s="2">
        <v>6.3899999999999998E-2</v>
      </c>
      <c r="N2628" s="2">
        <v>0.13700000000000001</v>
      </c>
      <c r="O2628" s="2">
        <v>0.12859999999999999</v>
      </c>
      <c r="P2628" s="2">
        <v>3.2500000000000001E-2</v>
      </c>
      <c r="Q2628" s="2">
        <v>2.29E-2</v>
      </c>
      <c r="S2628" s="2">
        <v>2.3999999999999998E-3</v>
      </c>
      <c r="T2628">
        <v>796</v>
      </c>
    </row>
    <row r="2629" spans="1:20" x14ac:dyDescent="0.35">
      <c r="A2629" t="s">
        <v>227</v>
      </c>
      <c r="B2629" t="s">
        <v>249</v>
      </c>
      <c r="C2629" s="2">
        <v>0.99809999999999999</v>
      </c>
      <c r="D2629" s="2">
        <v>0.95799999999999996</v>
      </c>
      <c r="E2629" s="2">
        <v>0.95499999999999996</v>
      </c>
      <c r="F2629" s="2">
        <v>0.85499999999999998</v>
      </c>
      <c r="G2629" s="2">
        <v>0.73060000000000003</v>
      </c>
      <c r="H2629" s="2">
        <v>0.71209999999999996</v>
      </c>
      <c r="I2629" s="2">
        <v>0.54700000000000004</v>
      </c>
      <c r="J2629" s="2">
        <v>0.57040000000000002</v>
      </c>
      <c r="K2629" s="2">
        <v>0.51290000000000002</v>
      </c>
      <c r="L2629" s="2">
        <v>0.46289999999999998</v>
      </c>
      <c r="M2629" s="2">
        <v>0.25519999999999998</v>
      </c>
      <c r="N2629" s="2">
        <v>0.1293</v>
      </c>
      <c r="O2629" s="2">
        <v>0.15720000000000001</v>
      </c>
      <c r="P2629" s="2">
        <v>8.0399999999999999E-2</v>
      </c>
      <c r="Q2629" s="2">
        <v>8.6E-3</v>
      </c>
      <c r="T2629">
        <v>541</v>
      </c>
    </row>
    <row r="2630" spans="1:20" x14ac:dyDescent="0.35">
      <c r="A2630" t="s">
        <v>227</v>
      </c>
      <c r="B2630" t="s">
        <v>247</v>
      </c>
      <c r="C2630" s="2">
        <v>0.99709999999999999</v>
      </c>
      <c r="D2630" s="2">
        <v>0.95550000000000002</v>
      </c>
      <c r="E2630" s="2">
        <v>0.93069999999999997</v>
      </c>
      <c r="F2630" s="2">
        <v>0.89149999999999996</v>
      </c>
      <c r="G2630" s="2">
        <v>0.77669999999999995</v>
      </c>
      <c r="H2630" s="2">
        <v>0.74299999999999999</v>
      </c>
      <c r="I2630" s="2">
        <v>0.59799999999999998</v>
      </c>
      <c r="J2630" s="2">
        <v>0.52639999999999998</v>
      </c>
      <c r="K2630" s="2">
        <v>0.63939999999999997</v>
      </c>
      <c r="L2630" s="2">
        <v>0.49199999999999999</v>
      </c>
      <c r="M2630" s="2">
        <v>0.37140000000000001</v>
      </c>
      <c r="N2630" s="2">
        <v>0.2092</v>
      </c>
      <c r="O2630" s="2">
        <v>0.151</v>
      </c>
      <c r="P2630" s="2">
        <v>0.10539999999999999</v>
      </c>
      <c r="Q2630" s="2">
        <v>1.9300000000000001E-2</v>
      </c>
      <c r="R2630" s="2">
        <v>1.4E-3</v>
      </c>
      <c r="T2630">
        <v>1476</v>
      </c>
    </row>
    <row r="2631" spans="1:20" x14ac:dyDescent="0.35">
      <c r="A2631" t="s">
        <v>228</v>
      </c>
      <c r="B2631" t="s">
        <v>228</v>
      </c>
      <c r="C2631" s="2">
        <v>0.99639999999999995</v>
      </c>
      <c r="D2631" s="2">
        <v>0.94510000000000005</v>
      </c>
      <c r="E2631" s="2">
        <v>0.93789999999999996</v>
      </c>
      <c r="F2631" s="2">
        <v>0.84630000000000005</v>
      </c>
      <c r="G2631" s="2">
        <v>0.69089999999999996</v>
      </c>
      <c r="H2631" s="2">
        <v>0.62309999999999999</v>
      </c>
      <c r="I2631" s="2">
        <v>0.54010000000000002</v>
      </c>
      <c r="J2631" s="2">
        <v>0.50590000000000002</v>
      </c>
      <c r="K2631" s="2">
        <v>0.50429999999999997</v>
      </c>
      <c r="L2631" s="2">
        <v>0.43940000000000001</v>
      </c>
      <c r="M2631" s="2">
        <v>0.26440000000000002</v>
      </c>
      <c r="N2631" s="2">
        <v>0.1739</v>
      </c>
      <c r="O2631" s="2">
        <v>0.14599999999999999</v>
      </c>
      <c r="P2631" s="2">
        <v>8.0500000000000002E-2</v>
      </c>
      <c r="Q2631" s="2">
        <v>1.8200000000000001E-2</v>
      </c>
      <c r="R2631" s="2">
        <v>8.0000000000000004E-4</v>
      </c>
      <c r="S2631" s="2">
        <v>6.9999999999999999E-4</v>
      </c>
      <c r="T2631">
        <v>2813</v>
      </c>
    </row>
    <row r="2633" spans="1:20" x14ac:dyDescent="0.35">
      <c r="A2633" s="1" t="s">
        <v>877</v>
      </c>
    </row>
    <row r="2634" spans="1:20" x14ac:dyDescent="0.35">
      <c r="A2634" t="s">
        <v>219</v>
      </c>
      <c r="B2634" t="s">
        <v>301</v>
      </c>
      <c r="C2634" t="s">
        <v>855</v>
      </c>
      <c r="D2634" t="s">
        <v>856</v>
      </c>
      <c r="E2634" t="s">
        <v>857</v>
      </c>
      <c r="F2634" t="s">
        <v>858</v>
      </c>
      <c r="G2634" t="s">
        <v>859</v>
      </c>
      <c r="H2634" t="s">
        <v>860</v>
      </c>
      <c r="I2634" t="s">
        <v>861</v>
      </c>
      <c r="J2634" t="s">
        <v>862</v>
      </c>
      <c r="K2634" t="s">
        <v>863</v>
      </c>
      <c r="L2634" t="s">
        <v>864</v>
      </c>
      <c r="M2634" t="s">
        <v>865</v>
      </c>
      <c r="N2634" t="s">
        <v>866</v>
      </c>
      <c r="O2634" t="s">
        <v>867</v>
      </c>
      <c r="P2634" t="s">
        <v>868</v>
      </c>
      <c r="Q2634" t="s">
        <v>869</v>
      </c>
      <c r="R2634" t="s">
        <v>282</v>
      </c>
      <c r="S2634" t="s">
        <v>870</v>
      </c>
      <c r="T2634" t="s">
        <v>226</v>
      </c>
    </row>
    <row r="2635" spans="1:20" x14ac:dyDescent="0.35">
      <c r="A2635" t="s">
        <v>227</v>
      </c>
      <c r="B2635" t="s">
        <v>245</v>
      </c>
      <c r="C2635" s="2">
        <v>0.99870000000000003</v>
      </c>
      <c r="D2635" s="2">
        <v>0.96430000000000005</v>
      </c>
      <c r="E2635" s="2">
        <v>0.95189999999999997</v>
      </c>
      <c r="F2635" s="2">
        <v>0.93210000000000004</v>
      </c>
      <c r="G2635" s="2">
        <v>0.80049999999999999</v>
      </c>
      <c r="H2635" s="2">
        <v>0.8861</v>
      </c>
      <c r="I2635" s="2">
        <v>0.61539999999999995</v>
      </c>
      <c r="J2635" s="2">
        <v>0.57450000000000001</v>
      </c>
      <c r="K2635" s="2">
        <v>0.69720000000000004</v>
      </c>
      <c r="L2635" s="2">
        <v>0.53600000000000003</v>
      </c>
      <c r="M2635" s="2">
        <v>0.43030000000000002</v>
      </c>
      <c r="N2635" s="2">
        <v>0.17949999999999999</v>
      </c>
      <c r="O2635" s="2">
        <v>0.16239999999999999</v>
      </c>
      <c r="P2635" s="2">
        <v>0.14430000000000001</v>
      </c>
      <c r="Q2635" s="2">
        <v>1.18E-2</v>
      </c>
      <c r="R2635" s="2">
        <v>1E-3</v>
      </c>
      <c r="T2635">
        <v>783</v>
      </c>
    </row>
    <row r="2636" spans="1:20" x14ac:dyDescent="0.35">
      <c r="A2636" t="s">
        <v>227</v>
      </c>
      <c r="B2636" t="s">
        <v>244</v>
      </c>
      <c r="C2636" s="2">
        <v>0.99539999999999995</v>
      </c>
      <c r="D2636" s="2">
        <v>0.9375</v>
      </c>
      <c r="E2636" s="2">
        <v>0.93230000000000002</v>
      </c>
      <c r="F2636" s="2">
        <v>0.81230000000000002</v>
      </c>
      <c r="G2636" s="2">
        <v>0.64749999999999996</v>
      </c>
      <c r="H2636" s="2">
        <v>0.51890000000000003</v>
      </c>
      <c r="I2636" s="2">
        <v>0.51029999999999998</v>
      </c>
      <c r="J2636" s="2">
        <v>0.47870000000000001</v>
      </c>
      <c r="K2636" s="2">
        <v>0.4279</v>
      </c>
      <c r="L2636" s="2">
        <v>0.40110000000000001</v>
      </c>
      <c r="M2636" s="2">
        <v>0.19869999999999999</v>
      </c>
      <c r="N2636" s="2">
        <v>0.17169999999999999</v>
      </c>
      <c r="O2636" s="2">
        <v>0.1396</v>
      </c>
      <c r="P2636" s="2">
        <v>5.5199999999999999E-2</v>
      </c>
      <c r="Q2636" s="2">
        <v>2.07E-2</v>
      </c>
      <c r="R2636" s="2">
        <v>5.9999999999999995E-4</v>
      </c>
      <c r="S2636" s="2">
        <v>8.9999999999999998E-4</v>
      </c>
      <c r="T2636">
        <v>2030</v>
      </c>
    </row>
    <row r="2637" spans="1:20" x14ac:dyDescent="0.35">
      <c r="A2637" t="s">
        <v>228</v>
      </c>
      <c r="B2637" t="s">
        <v>228</v>
      </c>
      <c r="C2637" s="2">
        <v>0.99639999999999995</v>
      </c>
      <c r="D2637" s="2">
        <v>0.94510000000000005</v>
      </c>
      <c r="E2637" s="2">
        <v>0.93789999999999996</v>
      </c>
      <c r="F2637" s="2">
        <v>0.84630000000000005</v>
      </c>
      <c r="G2637" s="2">
        <v>0.69089999999999996</v>
      </c>
      <c r="H2637" s="2">
        <v>0.62309999999999999</v>
      </c>
      <c r="I2637" s="2">
        <v>0.54010000000000002</v>
      </c>
      <c r="J2637" s="2">
        <v>0.50590000000000002</v>
      </c>
      <c r="K2637" s="2">
        <v>0.50429999999999997</v>
      </c>
      <c r="L2637" s="2">
        <v>0.43940000000000001</v>
      </c>
      <c r="M2637" s="2">
        <v>0.26440000000000002</v>
      </c>
      <c r="N2637" s="2">
        <v>0.1739</v>
      </c>
      <c r="O2637" s="2">
        <v>0.14599999999999999</v>
      </c>
      <c r="P2637" s="2">
        <v>8.0500000000000002E-2</v>
      </c>
      <c r="Q2637" s="2">
        <v>1.8200000000000001E-2</v>
      </c>
      <c r="R2637" s="2">
        <v>8.0000000000000004E-4</v>
      </c>
      <c r="S2637" s="2">
        <v>6.9999999999999999E-4</v>
      </c>
      <c r="T2637">
        <v>2813</v>
      </c>
    </row>
    <row r="2639" spans="1:20" x14ac:dyDescent="0.35">
      <c r="A2639" s="1" t="s">
        <v>878</v>
      </c>
    </row>
    <row r="2640" spans="1:20" x14ac:dyDescent="0.35">
      <c r="A2640" t="s">
        <v>219</v>
      </c>
      <c r="B2640" t="s">
        <v>301</v>
      </c>
      <c r="C2640" t="s">
        <v>855</v>
      </c>
      <c r="D2640" t="s">
        <v>856</v>
      </c>
      <c r="E2640" t="s">
        <v>857</v>
      </c>
      <c r="F2640" t="s">
        <v>858</v>
      </c>
      <c r="G2640" t="s">
        <v>859</v>
      </c>
      <c r="H2640" t="s">
        <v>860</v>
      </c>
      <c r="I2640" t="s">
        <v>861</v>
      </c>
      <c r="J2640" t="s">
        <v>862</v>
      </c>
      <c r="K2640" t="s">
        <v>863</v>
      </c>
      <c r="L2640" t="s">
        <v>864</v>
      </c>
      <c r="M2640" t="s">
        <v>865</v>
      </c>
      <c r="N2640" t="s">
        <v>866</v>
      </c>
      <c r="O2640" t="s">
        <v>867</v>
      </c>
      <c r="P2640" t="s">
        <v>868</v>
      </c>
      <c r="Q2640" t="s">
        <v>869</v>
      </c>
      <c r="R2640" t="s">
        <v>282</v>
      </c>
      <c r="S2640" t="s">
        <v>870</v>
      </c>
      <c r="T2640" t="s">
        <v>226</v>
      </c>
    </row>
    <row r="2641" spans="1:20" x14ac:dyDescent="0.35">
      <c r="A2641" t="s">
        <v>227</v>
      </c>
      <c r="B2641" t="s">
        <v>259</v>
      </c>
      <c r="C2641" s="2">
        <v>1</v>
      </c>
      <c r="D2641" s="2">
        <v>0.92930000000000001</v>
      </c>
      <c r="E2641" s="2">
        <v>0.9819</v>
      </c>
      <c r="F2641" s="2">
        <v>0.83040000000000003</v>
      </c>
      <c r="G2641" s="2">
        <v>0.83120000000000005</v>
      </c>
      <c r="H2641" s="2">
        <v>0.75190000000000001</v>
      </c>
      <c r="I2641" s="2">
        <v>0.78969999999999996</v>
      </c>
      <c r="J2641" s="2">
        <v>0.55520000000000003</v>
      </c>
      <c r="K2641" s="2">
        <v>0.47289999999999999</v>
      </c>
      <c r="L2641" s="2">
        <v>0.47520000000000001</v>
      </c>
      <c r="M2641" s="2">
        <v>0.22409999999999999</v>
      </c>
      <c r="N2641" s="2">
        <v>0.51870000000000005</v>
      </c>
      <c r="O2641" s="2">
        <v>0.1822</v>
      </c>
      <c r="P2641" s="2">
        <v>5.7799999999999997E-2</v>
      </c>
      <c r="T2641">
        <v>69</v>
      </c>
    </row>
    <row r="2642" spans="1:20" x14ac:dyDescent="0.35">
      <c r="A2642" t="s">
        <v>227</v>
      </c>
      <c r="B2642" t="s">
        <v>257</v>
      </c>
      <c r="C2642" s="2">
        <v>0.99009999999999998</v>
      </c>
      <c r="D2642" s="2">
        <v>0.92779999999999996</v>
      </c>
      <c r="E2642" s="2">
        <v>0.82289999999999996</v>
      </c>
      <c r="F2642" s="2">
        <v>0.85950000000000004</v>
      </c>
      <c r="G2642" s="2">
        <v>0.69920000000000004</v>
      </c>
      <c r="H2642" s="2">
        <v>0.5625</v>
      </c>
      <c r="I2642" s="2">
        <v>0.68700000000000006</v>
      </c>
      <c r="J2642" s="2">
        <v>0.41060000000000002</v>
      </c>
      <c r="K2642" s="2">
        <v>0.4768</v>
      </c>
      <c r="L2642" s="2">
        <v>0.45479999999999998</v>
      </c>
      <c r="M2642" s="2">
        <v>0.18990000000000001</v>
      </c>
      <c r="N2642" s="2">
        <v>0.56620000000000004</v>
      </c>
      <c r="O2642" s="2">
        <v>0.1575</v>
      </c>
      <c r="P2642" s="2">
        <v>9.2499999999999999E-2</v>
      </c>
      <c r="Q2642" s="2">
        <v>1.7299999999999999E-2</v>
      </c>
      <c r="T2642">
        <v>405</v>
      </c>
    </row>
    <row r="2643" spans="1:20" x14ac:dyDescent="0.35">
      <c r="A2643" t="s">
        <v>227</v>
      </c>
      <c r="B2643" t="s">
        <v>256</v>
      </c>
      <c r="C2643" s="2">
        <v>0.99780000000000002</v>
      </c>
      <c r="D2643" s="2">
        <v>0.94650000000000001</v>
      </c>
      <c r="E2643" s="2">
        <v>0.9627</v>
      </c>
      <c r="F2643" s="2">
        <v>0.83609999999999995</v>
      </c>
      <c r="G2643" s="2">
        <v>0.66220000000000001</v>
      </c>
      <c r="H2643" s="2">
        <v>0.61480000000000001</v>
      </c>
      <c r="I2643" s="2">
        <v>0.46850000000000003</v>
      </c>
      <c r="J2643" s="2">
        <v>0.53180000000000005</v>
      </c>
      <c r="K2643" s="2">
        <v>0.48159999999999997</v>
      </c>
      <c r="L2643" s="2">
        <v>0.41789999999999999</v>
      </c>
      <c r="M2643" s="2">
        <v>0.24</v>
      </c>
      <c r="N2643" s="2">
        <v>8.0600000000000005E-2</v>
      </c>
      <c r="O2643" s="2">
        <v>0.14560000000000001</v>
      </c>
      <c r="P2643" s="2">
        <v>5.8599999999999999E-2</v>
      </c>
      <c r="Q2643" s="2">
        <v>1.9E-2</v>
      </c>
      <c r="R2643" s="2">
        <v>6.9999999999999999E-4</v>
      </c>
      <c r="S2643" s="2">
        <v>1E-3</v>
      </c>
      <c r="T2643">
        <v>1803</v>
      </c>
    </row>
    <row r="2644" spans="1:20" x14ac:dyDescent="0.35">
      <c r="A2644" s="3" t="s">
        <v>227</v>
      </c>
      <c r="B2644" s="3" t="s">
        <v>232</v>
      </c>
      <c r="C2644" s="4">
        <v>1</v>
      </c>
      <c r="D2644" s="4">
        <v>0.8407</v>
      </c>
      <c r="E2644" s="4">
        <v>0.80300000000000005</v>
      </c>
      <c r="F2644" s="4">
        <v>0.79990000000000006</v>
      </c>
      <c r="G2644" s="4">
        <v>0.49</v>
      </c>
      <c r="H2644" s="4">
        <v>0.3664</v>
      </c>
      <c r="I2644" s="4">
        <v>0.41120000000000001</v>
      </c>
      <c r="J2644" s="4">
        <v>0.26219999999999999</v>
      </c>
      <c r="K2644" s="4">
        <v>0.49259999999999998</v>
      </c>
      <c r="L2644" s="4">
        <v>0.85350000000000004</v>
      </c>
      <c r="M2644" s="5"/>
      <c r="N2644" s="4">
        <v>0.32719999999999999</v>
      </c>
      <c r="O2644" s="5"/>
      <c r="P2644" s="5"/>
      <c r="Q2644" s="4">
        <v>0.26219999999999999</v>
      </c>
      <c r="R2644" s="5"/>
      <c r="S2644" s="5"/>
      <c r="T2644" s="5" t="s">
        <v>307</v>
      </c>
    </row>
    <row r="2645" spans="1:20" x14ac:dyDescent="0.35">
      <c r="A2645" t="s">
        <v>227</v>
      </c>
      <c r="B2645" t="s">
        <v>258</v>
      </c>
      <c r="C2645" s="2">
        <v>0.99660000000000004</v>
      </c>
      <c r="D2645" s="2">
        <v>0.96160000000000001</v>
      </c>
      <c r="E2645" s="2">
        <v>0.9546</v>
      </c>
      <c r="F2645" s="2">
        <v>0.87970000000000004</v>
      </c>
      <c r="G2645" s="2">
        <v>0.79769999999999996</v>
      </c>
      <c r="H2645" s="2">
        <v>0.71889999999999998</v>
      </c>
      <c r="I2645" s="2">
        <v>0.66810000000000003</v>
      </c>
      <c r="J2645" s="2">
        <v>0.49580000000000002</v>
      </c>
      <c r="K2645" s="2">
        <v>0.64190000000000003</v>
      </c>
      <c r="L2645" s="2">
        <v>0.50919999999999999</v>
      </c>
      <c r="M2645" s="2">
        <v>0.46829999999999999</v>
      </c>
      <c r="N2645" s="2">
        <v>0.1037</v>
      </c>
      <c r="O2645" s="2">
        <v>0.13270000000000001</v>
      </c>
      <c r="P2645" s="2">
        <v>0.16919999999999999</v>
      </c>
      <c r="Q2645" s="2">
        <v>1.46E-2</v>
      </c>
      <c r="R2645" s="2">
        <v>2E-3</v>
      </c>
      <c r="T2645">
        <v>525</v>
      </c>
    </row>
    <row r="2646" spans="1:20" x14ac:dyDescent="0.35">
      <c r="A2646" t="s">
        <v>228</v>
      </c>
      <c r="B2646" t="s">
        <v>228</v>
      </c>
      <c r="C2646" s="2">
        <v>0.99639999999999995</v>
      </c>
      <c r="D2646" s="2">
        <v>0.94510000000000005</v>
      </c>
      <c r="E2646" s="2">
        <v>0.93789999999999996</v>
      </c>
      <c r="F2646" s="2">
        <v>0.84630000000000005</v>
      </c>
      <c r="G2646" s="2">
        <v>0.69089999999999996</v>
      </c>
      <c r="H2646" s="2">
        <v>0.62309999999999999</v>
      </c>
      <c r="I2646" s="2">
        <v>0.54010000000000002</v>
      </c>
      <c r="J2646" s="2">
        <v>0.50590000000000002</v>
      </c>
      <c r="K2646" s="2">
        <v>0.50429999999999997</v>
      </c>
      <c r="L2646" s="2">
        <v>0.43940000000000001</v>
      </c>
      <c r="M2646" s="2">
        <v>0.26440000000000002</v>
      </c>
      <c r="N2646" s="2">
        <v>0.1739</v>
      </c>
      <c r="O2646" s="2">
        <v>0.14599999999999999</v>
      </c>
      <c r="P2646" s="2">
        <v>8.0500000000000002E-2</v>
      </c>
      <c r="Q2646" s="2">
        <v>1.8200000000000001E-2</v>
      </c>
      <c r="R2646" s="2">
        <v>8.0000000000000004E-4</v>
      </c>
      <c r="S2646" s="2">
        <v>6.9999999999999999E-4</v>
      </c>
      <c r="T2646">
        <v>2813</v>
      </c>
    </row>
    <row r="2648" spans="1:20" x14ac:dyDescent="0.35">
      <c r="A2648" s="1" t="s">
        <v>879</v>
      </c>
    </row>
    <row r="2649" spans="1:20" x14ac:dyDescent="0.35">
      <c r="A2649" t="s">
        <v>219</v>
      </c>
      <c r="B2649" t="s">
        <v>301</v>
      </c>
      <c r="C2649" t="s">
        <v>855</v>
      </c>
      <c r="D2649" t="s">
        <v>856</v>
      </c>
      <c r="E2649" t="s">
        <v>857</v>
      </c>
      <c r="F2649" t="s">
        <v>858</v>
      </c>
      <c r="G2649" t="s">
        <v>859</v>
      </c>
      <c r="H2649" t="s">
        <v>860</v>
      </c>
      <c r="I2649" t="s">
        <v>861</v>
      </c>
      <c r="J2649" t="s">
        <v>862</v>
      </c>
      <c r="K2649" t="s">
        <v>863</v>
      </c>
      <c r="L2649" t="s">
        <v>864</v>
      </c>
      <c r="M2649" t="s">
        <v>865</v>
      </c>
      <c r="N2649" t="s">
        <v>866</v>
      </c>
      <c r="O2649" t="s">
        <v>867</v>
      </c>
      <c r="P2649" t="s">
        <v>868</v>
      </c>
      <c r="Q2649" t="s">
        <v>869</v>
      </c>
      <c r="R2649" t="s">
        <v>282</v>
      </c>
      <c r="S2649" t="s">
        <v>870</v>
      </c>
      <c r="T2649" t="s">
        <v>226</v>
      </c>
    </row>
    <row r="2650" spans="1:20" x14ac:dyDescent="0.35">
      <c r="A2650" t="s">
        <v>227</v>
      </c>
      <c r="B2650" t="s">
        <v>343</v>
      </c>
      <c r="C2650" s="2">
        <v>0.99009999999999998</v>
      </c>
      <c r="D2650" s="2">
        <v>0.92779999999999996</v>
      </c>
      <c r="E2650" s="2">
        <v>0.82289999999999996</v>
      </c>
      <c r="F2650" s="2">
        <v>0.85950000000000004</v>
      </c>
      <c r="G2650" s="2">
        <v>0.69920000000000004</v>
      </c>
      <c r="H2650" s="2">
        <v>0.5625</v>
      </c>
      <c r="I2650" s="2">
        <v>0.68700000000000006</v>
      </c>
      <c r="J2650" s="2">
        <v>0.41060000000000002</v>
      </c>
      <c r="K2650" s="2">
        <v>0.4768</v>
      </c>
      <c r="L2650" s="2">
        <v>0.45479999999999998</v>
      </c>
      <c r="M2650" s="2">
        <v>0.18990000000000001</v>
      </c>
      <c r="N2650" s="2">
        <v>0.56620000000000004</v>
      </c>
      <c r="O2650" s="2">
        <v>0.1575</v>
      </c>
      <c r="P2650" s="2">
        <v>9.2499999999999999E-2</v>
      </c>
      <c r="Q2650" s="2">
        <v>1.7299999999999999E-2</v>
      </c>
      <c r="T2650">
        <v>405</v>
      </c>
    </row>
    <row r="2651" spans="1:20" x14ac:dyDescent="0.35">
      <c r="A2651" t="s">
        <v>227</v>
      </c>
      <c r="B2651" t="s">
        <v>344</v>
      </c>
      <c r="C2651" s="2">
        <v>0.99760000000000004</v>
      </c>
      <c r="D2651" s="2">
        <v>0.9486</v>
      </c>
      <c r="E2651" s="2">
        <v>0.96120000000000005</v>
      </c>
      <c r="F2651" s="2">
        <v>0.84360000000000002</v>
      </c>
      <c r="G2651" s="2">
        <v>0.68930000000000002</v>
      </c>
      <c r="H2651" s="2">
        <v>0.63549999999999995</v>
      </c>
      <c r="I2651" s="2">
        <v>0.51029999999999998</v>
      </c>
      <c r="J2651" s="2">
        <v>0.5252</v>
      </c>
      <c r="K2651" s="2">
        <v>0.50990000000000002</v>
      </c>
      <c r="L2651" s="2">
        <v>0.43630000000000002</v>
      </c>
      <c r="M2651" s="2">
        <v>0.27960000000000002</v>
      </c>
      <c r="N2651" s="2">
        <v>9.4100000000000003E-2</v>
      </c>
      <c r="O2651" s="2">
        <v>0.14369999999999999</v>
      </c>
      <c r="P2651" s="2">
        <v>7.8100000000000003E-2</v>
      </c>
      <c r="Q2651" s="2">
        <v>1.84E-2</v>
      </c>
      <c r="R2651" s="2">
        <v>8.9999999999999998E-4</v>
      </c>
      <c r="S2651" s="2">
        <v>8.0000000000000004E-4</v>
      </c>
      <c r="T2651">
        <v>2408</v>
      </c>
    </row>
    <row r="2652" spans="1:20" x14ac:dyDescent="0.35">
      <c r="A2652" t="s">
        <v>228</v>
      </c>
      <c r="B2652" t="s">
        <v>228</v>
      </c>
      <c r="C2652" s="2">
        <v>0.99639999999999995</v>
      </c>
      <c r="D2652" s="2">
        <v>0.94510000000000005</v>
      </c>
      <c r="E2652" s="2">
        <v>0.93789999999999996</v>
      </c>
      <c r="F2652" s="2">
        <v>0.84630000000000005</v>
      </c>
      <c r="G2652" s="2">
        <v>0.69089999999999996</v>
      </c>
      <c r="H2652" s="2">
        <v>0.62309999999999999</v>
      </c>
      <c r="I2652" s="2">
        <v>0.54010000000000002</v>
      </c>
      <c r="J2652" s="2">
        <v>0.50590000000000002</v>
      </c>
      <c r="K2652" s="2">
        <v>0.50429999999999997</v>
      </c>
      <c r="L2652" s="2">
        <v>0.43940000000000001</v>
      </c>
      <c r="M2652" s="2">
        <v>0.26440000000000002</v>
      </c>
      <c r="N2652" s="2">
        <v>0.1739</v>
      </c>
      <c r="O2652" s="2">
        <v>0.14599999999999999</v>
      </c>
      <c r="P2652" s="2">
        <v>8.0500000000000002E-2</v>
      </c>
      <c r="Q2652" s="2">
        <v>1.8200000000000001E-2</v>
      </c>
      <c r="R2652" s="2">
        <v>8.0000000000000004E-4</v>
      </c>
      <c r="S2652" s="2">
        <v>6.9999999999999999E-4</v>
      </c>
      <c r="T2652">
        <v>2813</v>
      </c>
    </row>
    <row r="2654" spans="1:20" x14ac:dyDescent="0.35">
      <c r="A2654" s="1" t="s">
        <v>880</v>
      </c>
    </row>
    <row r="2655" spans="1:20" x14ac:dyDescent="0.35">
      <c r="A2655" t="s">
        <v>219</v>
      </c>
      <c r="B2655" t="s">
        <v>301</v>
      </c>
      <c r="C2655" t="s">
        <v>855</v>
      </c>
      <c r="D2655" t="s">
        <v>856</v>
      </c>
      <c r="E2655" t="s">
        <v>857</v>
      </c>
      <c r="F2655" t="s">
        <v>858</v>
      </c>
      <c r="G2655" t="s">
        <v>859</v>
      </c>
      <c r="H2655" t="s">
        <v>860</v>
      </c>
      <c r="I2655" t="s">
        <v>861</v>
      </c>
      <c r="J2655" t="s">
        <v>862</v>
      </c>
      <c r="K2655" t="s">
        <v>863</v>
      </c>
      <c r="L2655" t="s">
        <v>864</v>
      </c>
      <c r="M2655" t="s">
        <v>865</v>
      </c>
      <c r="N2655" t="s">
        <v>866</v>
      </c>
      <c r="O2655" t="s">
        <v>867</v>
      </c>
      <c r="P2655" t="s">
        <v>868</v>
      </c>
      <c r="Q2655" t="s">
        <v>869</v>
      </c>
      <c r="R2655" t="s">
        <v>282</v>
      </c>
      <c r="S2655" t="s">
        <v>870</v>
      </c>
      <c r="T2655" t="s">
        <v>226</v>
      </c>
    </row>
    <row r="2656" spans="1:20" x14ac:dyDescent="0.35">
      <c r="A2656" t="s">
        <v>227</v>
      </c>
      <c r="B2656" t="s">
        <v>346</v>
      </c>
      <c r="C2656" s="2">
        <v>0.99709999999999999</v>
      </c>
      <c r="D2656" s="2">
        <v>0.94640000000000002</v>
      </c>
      <c r="E2656" s="2">
        <v>0.93869999999999998</v>
      </c>
      <c r="F2656" s="2">
        <v>0.85340000000000005</v>
      </c>
      <c r="G2656" s="2">
        <v>0.70809999999999995</v>
      </c>
      <c r="H2656" s="2">
        <v>0.6381</v>
      </c>
      <c r="I2656" s="2">
        <v>0.54379999999999995</v>
      </c>
      <c r="J2656" s="2">
        <v>0.50790000000000002</v>
      </c>
      <c r="K2656" s="2">
        <v>0.51910000000000001</v>
      </c>
      <c r="L2656" s="2">
        <v>0.45019999999999999</v>
      </c>
      <c r="M2656" s="2">
        <v>0.27889999999999998</v>
      </c>
      <c r="N2656" s="2">
        <v>0.18090000000000001</v>
      </c>
      <c r="O2656" s="2">
        <v>0.15359999999999999</v>
      </c>
      <c r="P2656" s="2">
        <v>8.2799999999999999E-2</v>
      </c>
      <c r="Q2656" s="2">
        <v>1.8499999999999999E-2</v>
      </c>
      <c r="R2656" s="2">
        <v>1E-4</v>
      </c>
      <c r="S2656" s="2">
        <v>6.9999999999999999E-4</v>
      </c>
      <c r="T2656">
        <v>1463</v>
      </c>
    </row>
    <row r="2657" spans="1:77" x14ac:dyDescent="0.35">
      <c r="A2657" t="s">
        <v>227</v>
      </c>
      <c r="B2657" t="s">
        <v>347</v>
      </c>
      <c r="C2657" s="2">
        <v>0.98529999999999995</v>
      </c>
      <c r="D2657" s="2">
        <v>0.92230000000000001</v>
      </c>
      <c r="E2657" s="2">
        <v>0.92920000000000003</v>
      </c>
      <c r="F2657" s="2">
        <v>0.76319999999999999</v>
      </c>
      <c r="G2657" s="2">
        <v>0.58550000000000002</v>
      </c>
      <c r="H2657" s="2">
        <v>0.4667</v>
      </c>
      <c r="I2657" s="2">
        <v>0.40849999999999997</v>
      </c>
      <c r="J2657" s="2">
        <v>0.48220000000000002</v>
      </c>
      <c r="K2657" s="2">
        <v>0.38400000000000001</v>
      </c>
      <c r="L2657" s="2">
        <v>0.3881</v>
      </c>
      <c r="M2657" s="2">
        <v>0.11600000000000001</v>
      </c>
      <c r="N2657" s="2">
        <v>9.2299999999999993E-2</v>
      </c>
      <c r="O2657" s="2">
        <v>0.1227</v>
      </c>
      <c r="P2657" s="2">
        <v>8.1699999999999995E-2</v>
      </c>
      <c r="Q2657" s="2">
        <v>1.7500000000000002E-2</v>
      </c>
      <c r="R2657" s="2">
        <v>2.2000000000000001E-3</v>
      </c>
      <c r="S2657" s="2">
        <v>6.9999999999999999E-4</v>
      </c>
      <c r="T2657">
        <v>585</v>
      </c>
    </row>
    <row r="2658" spans="1:77" x14ac:dyDescent="0.35">
      <c r="A2658" t="s">
        <v>227</v>
      </c>
      <c r="B2658" t="s">
        <v>348</v>
      </c>
      <c r="C2658" s="2">
        <v>0.99370000000000003</v>
      </c>
      <c r="D2658" s="2">
        <v>0.9415</v>
      </c>
      <c r="E2658" s="2">
        <v>0.93379999999999996</v>
      </c>
      <c r="F2658" s="2">
        <v>0.81330000000000002</v>
      </c>
      <c r="G2658" s="2">
        <v>0.57540000000000002</v>
      </c>
      <c r="H2658" s="2">
        <v>0.5464</v>
      </c>
      <c r="I2658" s="2">
        <v>0.55669999999999997</v>
      </c>
      <c r="J2658" s="2">
        <v>0.49669999999999997</v>
      </c>
      <c r="K2658" s="2">
        <v>0.4158</v>
      </c>
      <c r="L2658" s="2">
        <v>0.36059999999999998</v>
      </c>
      <c r="M2658" s="2">
        <v>0.19</v>
      </c>
      <c r="N2658" s="2">
        <v>0.14180000000000001</v>
      </c>
      <c r="O2658" s="2">
        <v>8.6999999999999994E-2</v>
      </c>
      <c r="P2658" s="2">
        <v>5.91E-2</v>
      </c>
      <c r="Q2658" s="2">
        <v>1.5900000000000001E-2</v>
      </c>
      <c r="R2658" s="2">
        <v>5.7999999999999996E-3</v>
      </c>
      <c r="T2658">
        <v>765</v>
      </c>
    </row>
    <row r="2659" spans="1:77" x14ac:dyDescent="0.35">
      <c r="A2659" t="s">
        <v>228</v>
      </c>
      <c r="B2659" t="s">
        <v>228</v>
      </c>
      <c r="C2659" s="2">
        <v>0.99639999999999995</v>
      </c>
      <c r="D2659" s="2">
        <v>0.94510000000000005</v>
      </c>
      <c r="E2659" s="2">
        <v>0.93789999999999996</v>
      </c>
      <c r="F2659" s="2">
        <v>0.84630000000000005</v>
      </c>
      <c r="G2659" s="2">
        <v>0.69089999999999996</v>
      </c>
      <c r="H2659" s="2">
        <v>0.62309999999999999</v>
      </c>
      <c r="I2659" s="2">
        <v>0.54010000000000002</v>
      </c>
      <c r="J2659" s="2">
        <v>0.50590000000000002</v>
      </c>
      <c r="K2659" s="2">
        <v>0.50429999999999997</v>
      </c>
      <c r="L2659" s="2">
        <v>0.43940000000000001</v>
      </c>
      <c r="M2659" s="2">
        <v>0.26440000000000002</v>
      </c>
      <c r="N2659" s="2">
        <v>0.1739</v>
      </c>
      <c r="O2659" s="2">
        <v>0.14599999999999999</v>
      </c>
      <c r="P2659" s="2">
        <v>8.0500000000000002E-2</v>
      </c>
      <c r="Q2659" s="2">
        <v>1.8200000000000001E-2</v>
      </c>
      <c r="R2659" s="2">
        <v>8.0000000000000004E-4</v>
      </c>
      <c r="S2659" s="2">
        <v>6.9999999999999999E-4</v>
      </c>
      <c r="T2659">
        <v>2813</v>
      </c>
    </row>
    <row r="2661" spans="1:77" x14ac:dyDescent="0.35">
      <c r="A2661" s="1" t="s">
        <v>881</v>
      </c>
    </row>
    <row r="2662" spans="1:77" x14ac:dyDescent="0.35">
      <c r="A2662" t="s">
        <v>219</v>
      </c>
      <c r="B2662" t="s">
        <v>301</v>
      </c>
      <c r="C2662" t="s">
        <v>855</v>
      </c>
      <c r="D2662" t="s">
        <v>856</v>
      </c>
      <c r="E2662" t="s">
        <v>857</v>
      </c>
      <c r="F2662" t="s">
        <v>858</v>
      </c>
      <c r="G2662" t="s">
        <v>859</v>
      </c>
      <c r="H2662" t="s">
        <v>860</v>
      </c>
      <c r="I2662" t="s">
        <v>861</v>
      </c>
      <c r="J2662" t="s">
        <v>862</v>
      </c>
      <c r="K2662" t="s">
        <v>863</v>
      </c>
      <c r="L2662" t="s">
        <v>864</v>
      </c>
      <c r="M2662" t="s">
        <v>865</v>
      </c>
      <c r="N2662" t="s">
        <v>866</v>
      </c>
      <c r="O2662" t="s">
        <v>867</v>
      </c>
      <c r="P2662" t="s">
        <v>868</v>
      </c>
      <c r="Q2662" t="s">
        <v>869</v>
      </c>
      <c r="R2662" t="s">
        <v>282</v>
      </c>
      <c r="S2662" t="s">
        <v>870</v>
      </c>
      <c r="T2662" t="s">
        <v>226</v>
      </c>
    </row>
    <row r="2663" spans="1:77" x14ac:dyDescent="0.35">
      <c r="A2663" t="s">
        <v>227</v>
      </c>
      <c r="B2663" t="s">
        <v>251</v>
      </c>
      <c r="C2663" s="2">
        <v>0.99539999999999995</v>
      </c>
      <c r="D2663" s="2">
        <v>0.9375</v>
      </c>
      <c r="E2663" s="2">
        <v>0.93230000000000002</v>
      </c>
      <c r="F2663" s="2">
        <v>0.81230000000000002</v>
      </c>
      <c r="G2663" s="2">
        <v>0.64749999999999996</v>
      </c>
      <c r="H2663" s="2">
        <v>0.51890000000000003</v>
      </c>
      <c r="I2663" s="2">
        <v>0.51029999999999998</v>
      </c>
      <c r="J2663" s="2">
        <v>0.47870000000000001</v>
      </c>
      <c r="K2663" s="2">
        <v>0.4279</v>
      </c>
      <c r="L2663" s="2">
        <v>0.40110000000000001</v>
      </c>
      <c r="M2663" s="2">
        <v>0.19869999999999999</v>
      </c>
      <c r="N2663" s="2">
        <v>0.17169999999999999</v>
      </c>
      <c r="O2663" s="2">
        <v>0.1396</v>
      </c>
      <c r="P2663" s="2">
        <v>5.5199999999999999E-2</v>
      </c>
      <c r="Q2663" s="2">
        <v>2.07E-2</v>
      </c>
      <c r="R2663" s="2">
        <v>5.9999999999999995E-4</v>
      </c>
      <c r="S2663" s="2">
        <v>8.9999999999999998E-4</v>
      </c>
      <c r="T2663">
        <v>2030</v>
      </c>
    </row>
    <row r="2664" spans="1:77" x14ac:dyDescent="0.35">
      <c r="A2664" t="s">
        <v>227</v>
      </c>
      <c r="B2664" t="s">
        <v>252</v>
      </c>
      <c r="C2664" s="2">
        <v>0.99839999999999995</v>
      </c>
      <c r="D2664" s="2">
        <v>0.95740000000000003</v>
      </c>
      <c r="E2664" s="2">
        <v>0.96409999999999996</v>
      </c>
      <c r="F2664" s="2">
        <v>0.9355</v>
      </c>
      <c r="G2664" s="2">
        <v>0.82969999999999999</v>
      </c>
      <c r="H2664" s="2">
        <v>0.91749999999999998</v>
      </c>
      <c r="I2664" s="2">
        <v>0.63460000000000005</v>
      </c>
      <c r="J2664" s="2">
        <v>0.58350000000000002</v>
      </c>
      <c r="K2664" s="2">
        <v>0.72470000000000001</v>
      </c>
      <c r="L2664" s="2">
        <v>0.5736</v>
      </c>
      <c r="M2664" s="2">
        <v>0.44769999999999999</v>
      </c>
      <c r="N2664" s="2">
        <v>0.1681</v>
      </c>
      <c r="O2664" s="2">
        <v>0.17560000000000001</v>
      </c>
      <c r="P2664" s="2">
        <v>0.16089999999999999</v>
      </c>
      <c r="Q2664" s="2">
        <v>1.46E-2</v>
      </c>
      <c r="R2664" s="2">
        <v>1.2999999999999999E-3</v>
      </c>
      <c r="T2664">
        <v>621</v>
      </c>
    </row>
    <row r="2665" spans="1:77" x14ac:dyDescent="0.35">
      <c r="A2665" t="s">
        <v>227</v>
      </c>
      <c r="B2665" t="s">
        <v>253</v>
      </c>
      <c r="C2665" s="2">
        <v>1</v>
      </c>
      <c r="D2665" s="2">
        <v>0.99319999999999997</v>
      </c>
      <c r="E2665" s="2">
        <v>0.89690000000000003</v>
      </c>
      <c r="F2665" s="2">
        <v>0.92769999999999997</v>
      </c>
      <c r="G2665" s="2">
        <v>0.69499999999999995</v>
      </c>
      <c r="H2665" s="2">
        <v>0.77300000000000002</v>
      </c>
      <c r="I2665" s="2">
        <v>0.53249999999999997</v>
      </c>
      <c r="J2665" s="2">
        <v>0.5514</v>
      </c>
      <c r="K2665" s="2">
        <v>0.5917</v>
      </c>
      <c r="L2665" s="2">
        <v>0.37759999999999999</v>
      </c>
      <c r="M2665" s="2">
        <v>0.36759999999999998</v>
      </c>
      <c r="N2665" s="2">
        <v>0.22170000000000001</v>
      </c>
      <c r="O2665" s="2">
        <v>0.10050000000000001</v>
      </c>
      <c r="P2665" s="2">
        <v>7.4800000000000005E-2</v>
      </c>
      <c r="T2665">
        <v>153</v>
      </c>
    </row>
    <row r="2666" spans="1:77" x14ac:dyDescent="0.35">
      <c r="A2666" s="3" t="s">
        <v>227</v>
      </c>
      <c r="B2666" s="3" t="s">
        <v>254</v>
      </c>
      <c r="C2666" s="4">
        <v>1</v>
      </c>
      <c r="D2666" s="4">
        <v>1</v>
      </c>
      <c r="E2666" s="4">
        <v>1</v>
      </c>
      <c r="F2666" s="4">
        <v>0.63400000000000001</v>
      </c>
      <c r="G2666" s="4">
        <v>0.1704</v>
      </c>
      <c r="H2666" s="4">
        <v>0.19650000000000001</v>
      </c>
      <c r="I2666" s="4">
        <v>0.57989999999999997</v>
      </c>
      <c r="J2666" s="4">
        <v>0.10920000000000001</v>
      </c>
      <c r="K2666" s="4">
        <v>0.26200000000000001</v>
      </c>
      <c r="L2666" s="4">
        <v>0.35460000000000003</v>
      </c>
      <c r="M2666" s="4">
        <v>5.1200000000000002E-2</v>
      </c>
      <c r="N2666" s="4">
        <v>0.40289999999999998</v>
      </c>
      <c r="O2666" s="4">
        <v>0.28179999999999999</v>
      </c>
      <c r="P2666" s="4">
        <v>4.6399999999999997E-2</v>
      </c>
      <c r="Q2666" s="5"/>
      <c r="R2666" s="5"/>
      <c r="S2666" s="5"/>
      <c r="T2666" s="5" t="s">
        <v>515</v>
      </c>
    </row>
    <row r="2667" spans="1:77" x14ac:dyDescent="0.35">
      <c r="A2667" t="s">
        <v>228</v>
      </c>
      <c r="B2667" t="s">
        <v>228</v>
      </c>
      <c r="C2667" s="2">
        <v>0.99639999999999995</v>
      </c>
      <c r="D2667" s="2">
        <v>0.94510000000000005</v>
      </c>
      <c r="E2667" s="2">
        <v>0.93789999999999996</v>
      </c>
      <c r="F2667" s="2">
        <v>0.84630000000000005</v>
      </c>
      <c r="G2667" s="2">
        <v>0.69089999999999996</v>
      </c>
      <c r="H2667" s="2">
        <v>0.62309999999999999</v>
      </c>
      <c r="I2667" s="2">
        <v>0.54010000000000002</v>
      </c>
      <c r="J2667" s="2">
        <v>0.50590000000000002</v>
      </c>
      <c r="K2667" s="2">
        <v>0.50429999999999997</v>
      </c>
      <c r="L2667" s="2">
        <v>0.43940000000000001</v>
      </c>
      <c r="M2667" s="2">
        <v>0.26440000000000002</v>
      </c>
      <c r="N2667" s="2">
        <v>0.1739</v>
      </c>
      <c r="O2667" s="2">
        <v>0.14599999999999999</v>
      </c>
      <c r="P2667" s="2">
        <v>8.0500000000000002E-2</v>
      </c>
      <c r="Q2667" s="2">
        <v>1.8200000000000001E-2</v>
      </c>
      <c r="R2667" s="2">
        <v>8.0000000000000004E-4</v>
      </c>
      <c r="S2667" s="2">
        <v>6.9999999999999999E-4</v>
      </c>
      <c r="T2667">
        <v>2813</v>
      </c>
    </row>
    <row r="2669" spans="1:77" x14ac:dyDescent="0.35">
      <c r="A2669" s="1" t="s">
        <v>112</v>
      </c>
    </row>
    <row r="2670" spans="1:77" x14ac:dyDescent="0.35">
      <c r="A2670" t="s">
        <v>219</v>
      </c>
      <c r="B2670" t="s">
        <v>882</v>
      </c>
      <c r="C2670" t="s">
        <v>883</v>
      </c>
      <c r="D2670" t="s">
        <v>884</v>
      </c>
      <c r="E2670" t="s">
        <v>885</v>
      </c>
      <c r="F2670" t="s">
        <v>886</v>
      </c>
      <c r="G2670" t="s">
        <v>887</v>
      </c>
      <c r="H2670" t="s">
        <v>888</v>
      </c>
      <c r="I2670" t="s">
        <v>889</v>
      </c>
      <c r="J2670" t="s">
        <v>890</v>
      </c>
      <c r="K2670" t="s">
        <v>891</v>
      </c>
      <c r="L2670" t="s">
        <v>892</v>
      </c>
      <c r="M2670" t="s">
        <v>893</v>
      </c>
      <c r="N2670" t="s">
        <v>894</v>
      </c>
      <c r="O2670" t="s">
        <v>895</v>
      </c>
      <c r="P2670" t="s">
        <v>896</v>
      </c>
      <c r="Q2670" t="s">
        <v>897</v>
      </c>
      <c r="R2670" t="s">
        <v>898</v>
      </c>
      <c r="S2670" t="s">
        <v>899</v>
      </c>
      <c r="T2670" t="s">
        <v>900</v>
      </c>
      <c r="U2670" t="s">
        <v>901</v>
      </c>
      <c r="V2670" t="s">
        <v>902</v>
      </c>
      <c r="W2670" t="s">
        <v>903</v>
      </c>
      <c r="X2670" t="s">
        <v>904</v>
      </c>
      <c r="Y2670" t="s">
        <v>905</v>
      </c>
      <c r="Z2670" t="s">
        <v>906</v>
      </c>
      <c r="AA2670" t="s">
        <v>907</v>
      </c>
      <c r="AB2670" t="s">
        <v>908</v>
      </c>
      <c r="AC2670" t="s">
        <v>909</v>
      </c>
      <c r="AD2670" t="s">
        <v>910</v>
      </c>
      <c r="AE2670" t="s">
        <v>911</v>
      </c>
      <c r="AF2670" t="s">
        <v>912</v>
      </c>
      <c r="AG2670" t="s">
        <v>913</v>
      </c>
      <c r="AH2670" t="s">
        <v>914</v>
      </c>
      <c r="AI2670" t="s">
        <v>915</v>
      </c>
      <c r="AJ2670" t="s">
        <v>916</v>
      </c>
      <c r="AK2670" t="s">
        <v>917</v>
      </c>
      <c r="AL2670" t="s">
        <v>918</v>
      </c>
      <c r="AM2670" t="s">
        <v>919</v>
      </c>
      <c r="AN2670" t="s">
        <v>920</v>
      </c>
      <c r="AO2670" t="s">
        <v>921</v>
      </c>
      <c r="AP2670" t="s">
        <v>922</v>
      </c>
      <c r="AQ2670" t="s">
        <v>923</v>
      </c>
      <c r="AR2670" t="s">
        <v>924</v>
      </c>
      <c r="AS2670" t="s">
        <v>925</v>
      </c>
      <c r="AT2670" t="s">
        <v>926</v>
      </c>
      <c r="AU2670" t="s">
        <v>927</v>
      </c>
      <c r="AV2670" t="s">
        <v>928</v>
      </c>
      <c r="AW2670" t="s">
        <v>929</v>
      </c>
      <c r="AX2670" t="s">
        <v>930</v>
      </c>
      <c r="AY2670" t="s">
        <v>931</v>
      </c>
      <c r="AZ2670" t="s">
        <v>932</v>
      </c>
      <c r="BA2670" t="s">
        <v>933</v>
      </c>
      <c r="BB2670" t="s">
        <v>934</v>
      </c>
      <c r="BC2670" t="s">
        <v>935</v>
      </c>
      <c r="BD2670" t="s">
        <v>936</v>
      </c>
      <c r="BE2670" t="s">
        <v>937</v>
      </c>
      <c r="BF2670" t="s">
        <v>938</v>
      </c>
      <c r="BG2670" t="s">
        <v>939</v>
      </c>
      <c r="BH2670" t="s">
        <v>940</v>
      </c>
      <c r="BI2670" t="s">
        <v>941</v>
      </c>
      <c r="BJ2670" t="s">
        <v>942</v>
      </c>
      <c r="BK2670" t="s">
        <v>943</v>
      </c>
      <c r="BL2670" t="s">
        <v>944</v>
      </c>
      <c r="BM2670" t="s">
        <v>945</v>
      </c>
      <c r="BN2670" t="s">
        <v>946</v>
      </c>
      <c r="BO2670" t="s">
        <v>947</v>
      </c>
      <c r="BP2670" t="s">
        <v>948</v>
      </c>
      <c r="BQ2670" t="s">
        <v>949</v>
      </c>
      <c r="BR2670" t="s">
        <v>950</v>
      </c>
      <c r="BS2670" t="s">
        <v>951</v>
      </c>
      <c r="BT2670" t="s">
        <v>952</v>
      </c>
      <c r="BU2670" t="s">
        <v>953</v>
      </c>
      <c r="BV2670" t="s">
        <v>954</v>
      </c>
      <c r="BW2670" t="s">
        <v>955</v>
      </c>
      <c r="BX2670" t="s">
        <v>956</v>
      </c>
      <c r="BY2670" t="s">
        <v>957</v>
      </c>
    </row>
    <row r="2671" spans="1:77" x14ac:dyDescent="0.35">
      <c r="A2671" t="s">
        <v>227</v>
      </c>
      <c r="B2671">
        <v>7868.72</v>
      </c>
      <c r="C2671">
        <v>6000</v>
      </c>
      <c r="D2671">
        <v>200</v>
      </c>
      <c r="E2671">
        <v>30000</v>
      </c>
      <c r="F2671" s="6">
        <v>2369</v>
      </c>
      <c r="G2671">
        <v>4052.31</v>
      </c>
      <c r="H2671">
        <v>3000</v>
      </c>
      <c r="I2671">
        <v>100</v>
      </c>
      <c r="J2671">
        <v>60000</v>
      </c>
      <c r="K2671" s="6">
        <v>1077</v>
      </c>
      <c r="L2671">
        <v>5938.14</v>
      </c>
      <c r="M2671">
        <v>5000</v>
      </c>
      <c r="N2671">
        <v>183</v>
      </c>
      <c r="O2671">
        <v>16000</v>
      </c>
      <c r="P2671" s="6">
        <v>345</v>
      </c>
      <c r="Q2671">
        <v>468.12</v>
      </c>
      <c r="R2671">
        <v>300</v>
      </c>
      <c r="S2671">
        <v>50</v>
      </c>
      <c r="T2671">
        <v>3000</v>
      </c>
      <c r="U2671" s="6">
        <v>1180</v>
      </c>
      <c r="V2671">
        <v>542.04</v>
      </c>
      <c r="W2671">
        <v>401</v>
      </c>
      <c r="X2671">
        <v>30</v>
      </c>
      <c r="Y2671">
        <v>3000</v>
      </c>
      <c r="Z2671" s="6">
        <v>1265</v>
      </c>
      <c r="AA2671">
        <v>868.78</v>
      </c>
      <c r="AB2671">
        <v>500</v>
      </c>
      <c r="AC2671">
        <v>100</v>
      </c>
      <c r="AD2671">
        <v>5000</v>
      </c>
      <c r="AE2671" s="6">
        <v>1926</v>
      </c>
      <c r="AF2671">
        <v>667.4</v>
      </c>
      <c r="AG2671">
        <v>500</v>
      </c>
      <c r="AH2671">
        <v>100</v>
      </c>
      <c r="AI2671">
        <v>5000</v>
      </c>
      <c r="AJ2671" s="6">
        <v>856</v>
      </c>
      <c r="AK2671">
        <v>2130.96</v>
      </c>
      <c r="AL2671">
        <v>2000</v>
      </c>
      <c r="AM2671">
        <v>300</v>
      </c>
      <c r="AN2671">
        <v>9100</v>
      </c>
      <c r="AO2671" s="6">
        <v>2431</v>
      </c>
      <c r="AP2671">
        <v>2285.5300000000002</v>
      </c>
      <c r="AQ2671">
        <v>1000</v>
      </c>
      <c r="AR2671">
        <v>50</v>
      </c>
      <c r="AS2671">
        <v>30000</v>
      </c>
      <c r="AT2671" s="6">
        <v>1520</v>
      </c>
      <c r="AU2671">
        <v>776.74</v>
      </c>
      <c r="AV2671">
        <v>500</v>
      </c>
      <c r="AW2671">
        <v>100</v>
      </c>
      <c r="AX2671">
        <v>3000</v>
      </c>
      <c r="AY2671" s="6">
        <v>266</v>
      </c>
      <c r="AZ2671">
        <v>615.85</v>
      </c>
      <c r="BA2671">
        <v>500</v>
      </c>
      <c r="BB2671">
        <v>50</v>
      </c>
      <c r="BC2671">
        <v>2800</v>
      </c>
      <c r="BD2671" s="6">
        <v>2479</v>
      </c>
      <c r="BE2671">
        <v>3040.04</v>
      </c>
      <c r="BF2671">
        <v>2000</v>
      </c>
      <c r="BG2671">
        <v>200</v>
      </c>
      <c r="BH2671">
        <v>10000</v>
      </c>
      <c r="BI2671" s="6">
        <v>132</v>
      </c>
      <c r="BJ2671">
        <v>4895.0200000000004</v>
      </c>
      <c r="BK2671">
        <v>2000</v>
      </c>
      <c r="BL2671">
        <v>100</v>
      </c>
      <c r="BM2671">
        <v>30000</v>
      </c>
      <c r="BN2671" s="6">
        <v>461</v>
      </c>
      <c r="BO2671">
        <v>1288.5999999999999</v>
      </c>
      <c r="BP2671">
        <v>600</v>
      </c>
      <c r="BQ2671">
        <v>50</v>
      </c>
      <c r="BR2671">
        <v>30000</v>
      </c>
      <c r="BS2671" s="6">
        <v>1296</v>
      </c>
      <c r="BT2671">
        <v>3251.2</v>
      </c>
      <c r="BU2671">
        <v>2500</v>
      </c>
      <c r="BV2671">
        <v>100</v>
      </c>
      <c r="BW2671">
        <v>10000</v>
      </c>
      <c r="BX2671" s="6">
        <v>124</v>
      </c>
      <c r="BY2671">
        <v>2479</v>
      </c>
    </row>
    <row r="2672" spans="1:77" x14ac:dyDescent="0.35">
      <c r="A2672" t="s">
        <v>228</v>
      </c>
      <c r="B2672">
        <v>7868.72</v>
      </c>
      <c r="C2672">
        <v>6000</v>
      </c>
      <c r="D2672">
        <v>200</v>
      </c>
      <c r="E2672">
        <v>30000</v>
      </c>
      <c r="F2672" s="6">
        <v>2369</v>
      </c>
      <c r="G2672">
        <v>4052.31</v>
      </c>
      <c r="H2672">
        <v>3000</v>
      </c>
      <c r="I2672">
        <v>100</v>
      </c>
      <c r="J2672">
        <v>60000</v>
      </c>
      <c r="K2672" s="6">
        <v>1077</v>
      </c>
      <c r="L2672">
        <v>5938.14</v>
      </c>
      <c r="M2672">
        <v>5000</v>
      </c>
      <c r="N2672">
        <v>183</v>
      </c>
      <c r="O2672">
        <v>16000</v>
      </c>
      <c r="P2672" s="6">
        <v>345</v>
      </c>
      <c r="Q2672">
        <v>468.12</v>
      </c>
      <c r="R2672">
        <v>300</v>
      </c>
      <c r="S2672">
        <v>50</v>
      </c>
      <c r="T2672">
        <v>3000</v>
      </c>
      <c r="U2672" s="6">
        <v>1180</v>
      </c>
      <c r="V2672">
        <v>542.04</v>
      </c>
      <c r="W2672">
        <v>401</v>
      </c>
      <c r="X2672">
        <v>30</v>
      </c>
      <c r="Y2672">
        <v>3000</v>
      </c>
      <c r="Z2672" s="6">
        <v>1265</v>
      </c>
      <c r="AA2672">
        <v>868.78</v>
      </c>
      <c r="AB2672">
        <v>500</v>
      </c>
      <c r="AC2672">
        <v>100</v>
      </c>
      <c r="AD2672">
        <v>5000</v>
      </c>
      <c r="AE2672" s="6">
        <v>1926</v>
      </c>
      <c r="AF2672">
        <v>667.4</v>
      </c>
      <c r="AG2672">
        <v>500</v>
      </c>
      <c r="AH2672">
        <v>100</v>
      </c>
      <c r="AI2672">
        <v>5000</v>
      </c>
      <c r="AJ2672" s="6">
        <v>856</v>
      </c>
      <c r="AK2672">
        <v>2130.96</v>
      </c>
      <c r="AL2672">
        <v>2000</v>
      </c>
      <c r="AM2672">
        <v>300</v>
      </c>
      <c r="AN2672">
        <v>9100</v>
      </c>
      <c r="AO2672" s="6">
        <v>2431</v>
      </c>
      <c r="AP2672">
        <v>2285.5300000000002</v>
      </c>
      <c r="AQ2672">
        <v>1000</v>
      </c>
      <c r="AR2672">
        <v>50</v>
      </c>
      <c r="AS2672">
        <v>30000</v>
      </c>
      <c r="AT2672" s="6">
        <v>1520</v>
      </c>
      <c r="AU2672">
        <v>776.74</v>
      </c>
      <c r="AV2672">
        <v>500</v>
      </c>
      <c r="AW2672">
        <v>100</v>
      </c>
      <c r="AX2672">
        <v>3000</v>
      </c>
      <c r="AY2672" s="6">
        <v>266</v>
      </c>
      <c r="AZ2672">
        <v>615.85</v>
      </c>
      <c r="BA2672">
        <v>500</v>
      </c>
      <c r="BB2672">
        <v>50</v>
      </c>
      <c r="BC2672">
        <v>2800</v>
      </c>
      <c r="BD2672" s="6">
        <v>2479</v>
      </c>
      <c r="BE2672">
        <v>3040.04</v>
      </c>
      <c r="BF2672">
        <v>2000</v>
      </c>
      <c r="BG2672">
        <v>200</v>
      </c>
      <c r="BH2672">
        <v>10000</v>
      </c>
      <c r="BI2672" s="6">
        <v>132</v>
      </c>
      <c r="BJ2672">
        <v>4895.0200000000004</v>
      </c>
      <c r="BK2672">
        <v>2000</v>
      </c>
      <c r="BL2672">
        <v>100</v>
      </c>
      <c r="BM2672">
        <v>30000</v>
      </c>
      <c r="BN2672" s="6">
        <v>461</v>
      </c>
      <c r="BO2672">
        <v>1288.5999999999999</v>
      </c>
      <c r="BP2672">
        <v>600</v>
      </c>
      <c r="BQ2672">
        <v>50</v>
      </c>
      <c r="BR2672">
        <v>30000</v>
      </c>
      <c r="BS2672" s="6">
        <v>1296</v>
      </c>
      <c r="BT2672">
        <v>3251.2</v>
      </c>
      <c r="BU2672">
        <v>2500</v>
      </c>
      <c r="BV2672">
        <v>100</v>
      </c>
      <c r="BW2672">
        <v>10000</v>
      </c>
      <c r="BX2672" s="6">
        <v>124</v>
      </c>
      <c r="BY2672">
        <v>2479</v>
      </c>
    </row>
    <row r="2674" spans="1:78" x14ac:dyDescent="0.35">
      <c r="A2674" s="1" t="s">
        <v>958</v>
      </c>
    </row>
    <row r="2675" spans="1:78" x14ac:dyDescent="0.35">
      <c r="A2675" t="s">
        <v>219</v>
      </c>
      <c r="B2675" t="s">
        <v>301</v>
      </c>
      <c r="C2675" t="s">
        <v>882</v>
      </c>
      <c r="D2675" t="s">
        <v>883</v>
      </c>
      <c r="E2675" t="s">
        <v>884</v>
      </c>
      <c r="F2675" t="s">
        <v>885</v>
      </c>
      <c r="G2675" t="s">
        <v>886</v>
      </c>
      <c r="H2675" t="s">
        <v>887</v>
      </c>
      <c r="I2675" t="s">
        <v>888</v>
      </c>
      <c r="J2675" t="s">
        <v>889</v>
      </c>
      <c r="K2675" t="s">
        <v>890</v>
      </c>
      <c r="L2675" t="s">
        <v>891</v>
      </c>
      <c r="M2675" t="s">
        <v>892</v>
      </c>
      <c r="N2675" t="s">
        <v>893</v>
      </c>
      <c r="O2675" t="s">
        <v>894</v>
      </c>
      <c r="P2675" t="s">
        <v>895</v>
      </c>
      <c r="Q2675" t="s">
        <v>896</v>
      </c>
      <c r="R2675" t="s">
        <v>897</v>
      </c>
      <c r="S2675" t="s">
        <v>898</v>
      </c>
      <c r="T2675" t="s">
        <v>899</v>
      </c>
      <c r="U2675" t="s">
        <v>900</v>
      </c>
      <c r="V2675" t="s">
        <v>901</v>
      </c>
      <c r="W2675" t="s">
        <v>902</v>
      </c>
      <c r="X2675" t="s">
        <v>903</v>
      </c>
      <c r="Y2675" t="s">
        <v>904</v>
      </c>
      <c r="Z2675" t="s">
        <v>905</v>
      </c>
      <c r="AA2675" t="s">
        <v>906</v>
      </c>
      <c r="AB2675" t="s">
        <v>907</v>
      </c>
      <c r="AC2675" t="s">
        <v>908</v>
      </c>
      <c r="AD2675" t="s">
        <v>909</v>
      </c>
      <c r="AE2675" t="s">
        <v>910</v>
      </c>
      <c r="AF2675" t="s">
        <v>911</v>
      </c>
      <c r="AG2675" t="s">
        <v>912</v>
      </c>
      <c r="AH2675" t="s">
        <v>913</v>
      </c>
      <c r="AI2675" t="s">
        <v>914</v>
      </c>
      <c r="AJ2675" t="s">
        <v>915</v>
      </c>
      <c r="AK2675" t="s">
        <v>916</v>
      </c>
      <c r="AL2675" t="s">
        <v>917</v>
      </c>
      <c r="AM2675" t="s">
        <v>918</v>
      </c>
      <c r="AN2675" t="s">
        <v>919</v>
      </c>
      <c r="AO2675" t="s">
        <v>920</v>
      </c>
      <c r="AP2675" t="s">
        <v>921</v>
      </c>
      <c r="AQ2675" t="s">
        <v>922</v>
      </c>
      <c r="AR2675" t="s">
        <v>923</v>
      </c>
      <c r="AS2675" t="s">
        <v>924</v>
      </c>
      <c r="AT2675" t="s">
        <v>925</v>
      </c>
      <c r="AU2675" t="s">
        <v>926</v>
      </c>
      <c r="AV2675" t="s">
        <v>927</v>
      </c>
      <c r="AW2675" t="s">
        <v>928</v>
      </c>
      <c r="AX2675" t="s">
        <v>929</v>
      </c>
      <c r="AY2675" t="s">
        <v>930</v>
      </c>
      <c r="AZ2675" t="s">
        <v>931</v>
      </c>
      <c r="BA2675" t="s">
        <v>932</v>
      </c>
      <c r="BB2675" t="s">
        <v>933</v>
      </c>
      <c r="BC2675" t="s">
        <v>934</v>
      </c>
      <c r="BD2675" t="s">
        <v>935</v>
      </c>
      <c r="BE2675" t="s">
        <v>936</v>
      </c>
      <c r="BF2675" t="s">
        <v>937</v>
      </c>
      <c r="BG2675" t="s">
        <v>938</v>
      </c>
      <c r="BH2675" t="s">
        <v>939</v>
      </c>
      <c r="BI2675" t="s">
        <v>940</v>
      </c>
      <c r="BJ2675" t="s">
        <v>941</v>
      </c>
      <c r="BK2675" t="s">
        <v>942</v>
      </c>
      <c r="BL2675" t="s">
        <v>943</v>
      </c>
      <c r="BM2675" t="s">
        <v>944</v>
      </c>
      <c r="BN2675" t="s">
        <v>945</v>
      </c>
      <c r="BO2675" t="s">
        <v>946</v>
      </c>
      <c r="BP2675" t="s">
        <v>947</v>
      </c>
      <c r="BQ2675" t="s">
        <v>948</v>
      </c>
      <c r="BR2675" t="s">
        <v>949</v>
      </c>
      <c r="BS2675" t="s">
        <v>950</v>
      </c>
      <c r="BT2675" t="s">
        <v>951</v>
      </c>
      <c r="BU2675" t="s">
        <v>952</v>
      </c>
      <c r="BV2675" t="s">
        <v>953</v>
      </c>
      <c r="BW2675" t="s">
        <v>954</v>
      </c>
      <c r="BX2675" t="s">
        <v>955</v>
      </c>
      <c r="BY2675" t="s">
        <v>956</v>
      </c>
      <c r="BZ2675" t="s">
        <v>957</v>
      </c>
    </row>
    <row r="2676" spans="1:78" x14ac:dyDescent="0.35">
      <c r="A2676" t="s">
        <v>227</v>
      </c>
      <c r="B2676" t="s">
        <v>238</v>
      </c>
      <c r="C2676">
        <v>7629.91</v>
      </c>
      <c r="D2676">
        <v>6000</v>
      </c>
      <c r="E2676">
        <v>200</v>
      </c>
      <c r="F2676">
        <v>30000</v>
      </c>
      <c r="G2676" s="6">
        <v>838</v>
      </c>
      <c r="H2676">
        <v>3958.84</v>
      </c>
      <c r="I2676">
        <v>2500</v>
      </c>
      <c r="J2676">
        <v>100</v>
      </c>
      <c r="K2676">
        <v>30000</v>
      </c>
      <c r="L2676" s="6">
        <v>305</v>
      </c>
      <c r="M2676">
        <v>5423.24</v>
      </c>
      <c r="N2676">
        <v>5000</v>
      </c>
      <c r="O2676">
        <v>400</v>
      </c>
      <c r="P2676">
        <v>16000</v>
      </c>
      <c r="Q2676" s="6">
        <v>138</v>
      </c>
      <c r="R2676">
        <v>432.66</v>
      </c>
      <c r="S2676">
        <v>300</v>
      </c>
      <c r="T2676">
        <v>50</v>
      </c>
      <c r="U2676">
        <v>3000</v>
      </c>
      <c r="V2676" s="6">
        <v>412</v>
      </c>
      <c r="W2676">
        <v>526.05999999999995</v>
      </c>
      <c r="X2676">
        <v>400</v>
      </c>
      <c r="Y2676">
        <v>50</v>
      </c>
      <c r="Z2676">
        <v>3000</v>
      </c>
      <c r="AA2676" s="6">
        <v>419</v>
      </c>
      <c r="AB2676">
        <v>836.12</v>
      </c>
      <c r="AC2676">
        <v>500</v>
      </c>
      <c r="AD2676">
        <v>100</v>
      </c>
      <c r="AE2676">
        <v>5000</v>
      </c>
      <c r="AF2676" s="6">
        <v>656</v>
      </c>
      <c r="AG2676">
        <v>601.01</v>
      </c>
      <c r="AH2676">
        <v>400</v>
      </c>
      <c r="AI2676">
        <v>100</v>
      </c>
      <c r="AJ2676">
        <v>5000</v>
      </c>
      <c r="AK2676" s="6">
        <v>291</v>
      </c>
      <c r="AL2676">
        <v>2220.19</v>
      </c>
      <c r="AM2676">
        <v>2000</v>
      </c>
      <c r="AN2676">
        <v>300</v>
      </c>
      <c r="AO2676">
        <v>9000</v>
      </c>
      <c r="AP2676" s="6">
        <v>872</v>
      </c>
      <c r="AQ2676">
        <v>2579.89</v>
      </c>
      <c r="AR2676">
        <v>1000</v>
      </c>
      <c r="AS2676">
        <v>50</v>
      </c>
      <c r="AT2676">
        <v>30000</v>
      </c>
      <c r="AU2676" s="6">
        <v>509</v>
      </c>
      <c r="AV2676">
        <v>716.58</v>
      </c>
      <c r="AW2676">
        <v>500</v>
      </c>
      <c r="AX2676">
        <v>100</v>
      </c>
      <c r="AY2676">
        <v>3000</v>
      </c>
      <c r="AZ2676" s="6">
        <v>116</v>
      </c>
      <c r="BA2676">
        <v>658.79</v>
      </c>
      <c r="BB2676">
        <v>550</v>
      </c>
      <c r="BC2676">
        <v>50</v>
      </c>
      <c r="BD2676">
        <v>2800</v>
      </c>
      <c r="BE2676" s="6">
        <v>881</v>
      </c>
      <c r="BF2676">
        <v>2618.7199999999998</v>
      </c>
      <c r="BG2676">
        <v>2500</v>
      </c>
      <c r="BH2676">
        <v>200</v>
      </c>
      <c r="BI2676">
        <v>10000</v>
      </c>
      <c r="BJ2676" s="6">
        <v>46</v>
      </c>
      <c r="BK2676">
        <v>5711.46</v>
      </c>
      <c r="BL2676">
        <v>1800</v>
      </c>
      <c r="BM2676">
        <v>100</v>
      </c>
      <c r="BN2676">
        <v>30000</v>
      </c>
      <c r="BO2676" s="6">
        <v>115</v>
      </c>
      <c r="BP2676">
        <v>1235.8499999999999</v>
      </c>
      <c r="BQ2676">
        <v>550</v>
      </c>
      <c r="BR2676">
        <v>50</v>
      </c>
      <c r="BS2676">
        <v>20000</v>
      </c>
      <c r="BT2676" s="6">
        <v>470</v>
      </c>
      <c r="BU2676">
        <v>2574.9899999999998</v>
      </c>
      <c r="BV2676">
        <v>2000</v>
      </c>
      <c r="BW2676">
        <v>200</v>
      </c>
      <c r="BX2676">
        <v>10000</v>
      </c>
      <c r="BY2676" s="6">
        <v>60</v>
      </c>
      <c r="BZ2676">
        <v>881</v>
      </c>
    </row>
    <row r="2677" spans="1:78" x14ac:dyDescent="0.35">
      <c r="A2677" t="s">
        <v>227</v>
      </c>
      <c r="B2677" t="s">
        <v>237</v>
      </c>
      <c r="C2677">
        <v>8007.93</v>
      </c>
      <c r="D2677">
        <v>6000</v>
      </c>
      <c r="E2677">
        <v>200</v>
      </c>
      <c r="F2677">
        <v>30000</v>
      </c>
      <c r="G2677" s="6">
        <v>1531</v>
      </c>
      <c r="H2677">
        <v>4093.45</v>
      </c>
      <c r="I2677">
        <v>3000</v>
      </c>
      <c r="J2677">
        <v>100</v>
      </c>
      <c r="K2677">
        <v>60000</v>
      </c>
      <c r="L2677" s="6">
        <v>772</v>
      </c>
      <c r="M2677">
        <v>6331.29</v>
      </c>
      <c r="N2677">
        <v>5500</v>
      </c>
      <c r="O2677">
        <v>183</v>
      </c>
      <c r="P2677">
        <v>15000</v>
      </c>
      <c r="Q2677" s="6">
        <v>207</v>
      </c>
      <c r="R2677">
        <v>487.15</v>
      </c>
      <c r="S2677">
        <v>300</v>
      </c>
      <c r="T2677">
        <v>50</v>
      </c>
      <c r="U2677">
        <v>3000</v>
      </c>
      <c r="V2677" s="6">
        <v>768</v>
      </c>
      <c r="W2677">
        <v>550.85</v>
      </c>
      <c r="X2677">
        <v>500</v>
      </c>
      <c r="Y2677">
        <v>30</v>
      </c>
      <c r="Z2677">
        <v>3000</v>
      </c>
      <c r="AA2677" s="6">
        <v>846</v>
      </c>
      <c r="AB2677">
        <v>887.06</v>
      </c>
      <c r="AC2677">
        <v>600</v>
      </c>
      <c r="AD2677">
        <v>100</v>
      </c>
      <c r="AE2677">
        <v>5000</v>
      </c>
      <c r="AF2677" s="6">
        <v>1270</v>
      </c>
      <c r="AG2677">
        <v>706.52</v>
      </c>
      <c r="AH2677">
        <v>500</v>
      </c>
      <c r="AI2677">
        <v>100</v>
      </c>
      <c r="AJ2677">
        <v>5000</v>
      </c>
      <c r="AK2677" s="6">
        <v>565</v>
      </c>
      <c r="AL2677">
        <v>2076.86</v>
      </c>
      <c r="AM2677">
        <v>1900</v>
      </c>
      <c r="AN2677">
        <v>300</v>
      </c>
      <c r="AO2677">
        <v>9100</v>
      </c>
      <c r="AP2677" s="6">
        <v>1559</v>
      </c>
      <c r="AQ2677">
        <v>2128.2600000000002</v>
      </c>
      <c r="AR2677">
        <v>1000</v>
      </c>
      <c r="AS2677">
        <v>50</v>
      </c>
      <c r="AT2677">
        <v>30000</v>
      </c>
      <c r="AU2677" s="6">
        <v>1011</v>
      </c>
      <c r="AV2677">
        <v>832.2</v>
      </c>
      <c r="AW2677">
        <v>500</v>
      </c>
      <c r="AX2677">
        <v>100</v>
      </c>
      <c r="AY2677">
        <v>3000</v>
      </c>
      <c r="AZ2677" s="6">
        <v>150</v>
      </c>
      <c r="BA2677">
        <v>591.1</v>
      </c>
      <c r="BB2677">
        <v>500</v>
      </c>
      <c r="BC2677">
        <v>50</v>
      </c>
      <c r="BD2677">
        <v>2800</v>
      </c>
      <c r="BE2677" s="6">
        <v>1598</v>
      </c>
      <c r="BF2677">
        <v>3290.94</v>
      </c>
      <c r="BG2677">
        <v>2000</v>
      </c>
      <c r="BH2677">
        <v>300</v>
      </c>
      <c r="BI2677">
        <v>10000</v>
      </c>
      <c r="BJ2677" s="6">
        <v>86</v>
      </c>
      <c r="BK2677">
        <v>4613.67</v>
      </c>
      <c r="BL2677">
        <v>2000</v>
      </c>
      <c r="BM2677">
        <v>100</v>
      </c>
      <c r="BN2677">
        <v>30000</v>
      </c>
      <c r="BO2677" s="6">
        <v>346</v>
      </c>
      <c r="BP2677">
        <v>1321.26</v>
      </c>
      <c r="BQ2677">
        <v>600</v>
      </c>
      <c r="BR2677">
        <v>50</v>
      </c>
      <c r="BS2677">
        <v>30000</v>
      </c>
      <c r="BT2677" s="6">
        <v>826</v>
      </c>
      <c r="BU2677">
        <v>4010.61</v>
      </c>
      <c r="BV2677">
        <v>3000</v>
      </c>
      <c r="BW2677">
        <v>100</v>
      </c>
      <c r="BX2677">
        <v>10000</v>
      </c>
      <c r="BY2677" s="6">
        <v>64</v>
      </c>
      <c r="BZ2677">
        <v>1598</v>
      </c>
    </row>
    <row r="2678" spans="1:78" x14ac:dyDescent="0.35">
      <c r="A2678" t="s">
        <v>228</v>
      </c>
      <c r="B2678" t="s">
        <v>228</v>
      </c>
      <c r="C2678">
        <v>7868.72</v>
      </c>
      <c r="D2678">
        <v>6000</v>
      </c>
      <c r="E2678">
        <v>200</v>
      </c>
      <c r="F2678">
        <v>30000</v>
      </c>
      <c r="G2678" s="6">
        <v>2369</v>
      </c>
      <c r="H2678">
        <v>4052.31</v>
      </c>
      <c r="I2678">
        <v>3000</v>
      </c>
      <c r="J2678">
        <v>100</v>
      </c>
      <c r="K2678">
        <v>60000</v>
      </c>
      <c r="L2678" s="6">
        <v>1077</v>
      </c>
      <c r="M2678">
        <v>5938.14</v>
      </c>
      <c r="N2678">
        <v>5000</v>
      </c>
      <c r="O2678">
        <v>183</v>
      </c>
      <c r="P2678">
        <v>16000</v>
      </c>
      <c r="Q2678" s="6">
        <v>345</v>
      </c>
      <c r="R2678">
        <v>468.12</v>
      </c>
      <c r="S2678">
        <v>300</v>
      </c>
      <c r="T2678">
        <v>50</v>
      </c>
      <c r="U2678">
        <v>3000</v>
      </c>
      <c r="V2678" s="6">
        <v>1180</v>
      </c>
      <c r="W2678">
        <v>542.04</v>
      </c>
      <c r="X2678">
        <v>401</v>
      </c>
      <c r="Y2678">
        <v>30</v>
      </c>
      <c r="Z2678">
        <v>3000</v>
      </c>
      <c r="AA2678" s="6">
        <v>1265</v>
      </c>
      <c r="AB2678">
        <v>868.78</v>
      </c>
      <c r="AC2678">
        <v>500</v>
      </c>
      <c r="AD2678">
        <v>100</v>
      </c>
      <c r="AE2678">
        <v>5000</v>
      </c>
      <c r="AF2678" s="6">
        <v>1926</v>
      </c>
      <c r="AG2678">
        <v>667.4</v>
      </c>
      <c r="AH2678">
        <v>500</v>
      </c>
      <c r="AI2678">
        <v>100</v>
      </c>
      <c r="AJ2678">
        <v>5000</v>
      </c>
      <c r="AK2678" s="6">
        <v>856</v>
      </c>
      <c r="AL2678">
        <v>2130.96</v>
      </c>
      <c r="AM2678">
        <v>2000</v>
      </c>
      <c r="AN2678">
        <v>300</v>
      </c>
      <c r="AO2678">
        <v>9100</v>
      </c>
      <c r="AP2678" s="6">
        <v>2431</v>
      </c>
      <c r="AQ2678">
        <v>2285.5300000000002</v>
      </c>
      <c r="AR2678">
        <v>1000</v>
      </c>
      <c r="AS2678">
        <v>50</v>
      </c>
      <c r="AT2678">
        <v>30000</v>
      </c>
      <c r="AU2678" s="6">
        <v>1520</v>
      </c>
      <c r="AV2678">
        <v>776.74</v>
      </c>
      <c r="AW2678">
        <v>500</v>
      </c>
      <c r="AX2678">
        <v>100</v>
      </c>
      <c r="AY2678">
        <v>3000</v>
      </c>
      <c r="AZ2678" s="6">
        <v>266</v>
      </c>
      <c r="BA2678">
        <v>615.85</v>
      </c>
      <c r="BB2678">
        <v>500</v>
      </c>
      <c r="BC2678">
        <v>50</v>
      </c>
      <c r="BD2678">
        <v>2800</v>
      </c>
      <c r="BE2678" s="6">
        <v>2479</v>
      </c>
      <c r="BF2678">
        <v>3040.04</v>
      </c>
      <c r="BG2678">
        <v>2000</v>
      </c>
      <c r="BH2678">
        <v>200</v>
      </c>
      <c r="BI2678">
        <v>10000</v>
      </c>
      <c r="BJ2678" s="6">
        <v>132</v>
      </c>
      <c r="BK2678">
        <v>4895.0200000000004</v>
      </c>
      <c r="BL2678">
        <v>2000</v>
      </c>
      <c r="BM2678">
        <v>100</v>
      </c>
      <c r="BN2678">
        <v>30000</v>
      </c>
      <c r="BO2678" s="6">
        <v>461</v>
      </c>
      <c r="BP2678">
        <v>1288.5999999999999</v>
      </c>
      <c r="BQ2678">
        <v>600</v>
      </c>
      <c r="BR2678">
        <v>50</v>
      </c>
      <c r="BS2678">
        <v>30000</v>
      </c>
      <c r="BT2678" s="6">
        <v>1296</v>
      </c>
      <c r="BU2678">
        <v>3251.2</v>
      </c>
      <c r="BV2678">
        <v>2500</v>
      </c>
      <c r="BW2678">
        <v>100</v>
      </c>
      <c r="BX2678">
        <v>10000</v>
      </c>
      <c r="BY2678" s="6">
        <v>124</v>
      </c>
      <c r="BZ2678">
        <v>2479</v>
      </c>
    </row>
    <row r="2680" spans="1:78" x14ac:dyDescent="0.35">
      <c r="A2680" s="1" t="s">
        <v>959</v>
      </c>
    </row>
    <row r="2681" spans="1:78" x14ac:dyDescent="0.35">
      <c r="A2681" t="s">
        <v>219</v>
      </c>
      <c r="B2681" t="s">
        <v>301</v>
      </c>
      <c r="C2681" t="s">
        <v>882</v>
      </c>
      <c r="D2681" t="s">
        <v>883</v>
      </c>
      <c r="E2681" t="s">
        <v>884</v>
      </c>
      <c r="F2681" t="s">
        <v>885</v>
      </c>
      <c r="G2681" t="s">
        <v>886</v>
      </c>
      <c r="H2681" t="s">
        <v>887</v>
      </c>
      <c r="I2681" t="s">
        <v>888</v>
      </c>
      <c r="J2681" t="s">
        <v>889</v>
      </c>
      <c r="K2681" t="s">
        <v>890</v>
      </c>
      <c r="L2681" t="s">
        <v>891</v>
      </c>
      <c r="M2681" t="s">
        <v>892</v>
      </c>
      <c r="N2681" t="s">
        <v>893</v>
      </c>
      <c r="O2681" t="s">
        <v>894</v>
      </c>
      <c r="P2681" t="s">
        <v>895</v>
      </c>
      <c r="Q2681" t="s">
        <v>896</v>
      </c>
      <c r="R2681" t="s">
        <v>897</v>
      </c>
      <c r="S2681" t="s">
        <v>898</v>
      </c>
      <c r="T2681" t="s">
        <v>899</v>
      </c>
      <c r="U2681" t="s">
        <v>900</v>
      </c>
      <c r="V2681" t="s">
        <v>901</v>
      </c>
      <c r="W2681" t="s">
        <v>902</v>
      </c>
      <c r="X2681" t="s">
        <v>903</v>
      </c>
      <c r="Y2681" t="s">
        <v>904</v>
      </c>
      <c r="Z2681" t="s">
        <v>905</v>
      </c>
      <c r="AA2681" t="s">
        <v>906</v>
      </c>
      <c r="AB2681" t="s">
        <v>907</v>
      </c>
      <c r="AC2681" t="s">
        <v>908</v>
      </c>
      <c r="AD2681" t="s">
        <v>909</v>
      </c>
      <c r="AE2681" t="s">
        <v>910</v>
      </c>
      <c r="AF2681" t="s">
        <v>911</v>
      </c>
      <c r="AG2681" t="s">
        <v>912</v>
      </c>
      <c r="AH2681" t="s">
        <v>913</v>
      </c>
      <c r="AI2681" t="s">
        <v>914</v>
      </c>
      <c r="AJ2681" t="s">
        <v>915</v>
      </c>
      <c r="AK2681" t="s">
        <v>916</v>
      </c>
      <c r="AL2681" t="s">
        <v>917</v>
      </c>
      <c r="AM2681" t="s">
        <v>918</v>
      </c>
      <c r="AN2681" t="s">
        <v>919</v>
      </c>
      <c r="AO2681" t="s">
        <v>920</v>
      </c>
      <c r="AP2681" t="s">
        <v>921</v>
      </c>
      <c r="AQ2681" t="s">
        <v>922</v>
      </c>
      <c r="AR2681" t="s">
        <v>923</v>
      </c>
      <c r="AS2681" t="s">
        <v>924</v>
      </c>
      <c r="AT2681" t="s">
        <v>925</v>
      </c>
      <c r="AU2681" t="s">
        <v>926</v>
      </c>
      <c r="AV2681" t="s">
        <v>927</v>
      </c>
      <c r="AW2681" t="s">
        <v>928</v>
      </c>
      <c r="AX2681" t="s">
        <v>929</v>
      </c>
      <c r="AY2681" t="s">
        <v>930</v>
      </c>
      <c r="AZ2681" t="s">
        <v>931</v>
      </c>
      <c r="BA2681" t="s">
        <v>932</v>
      </c>
      <c r="BB2681" t="s">
        <v>933</v>
      </c>
      <c r="BC2681" t="s">
        <v>934</v>
      </c>
      <c r="BD2681" t="s">
        <v>935</v>
      </c>
      <c r="BE2681" t="s">
        <v>936</v>
      </c>
      <c r="BF2681" t="s">
        <v>937</v>
      </c>
      <c r="BG2681" t="s">
        <v>938</v>
      </c>
      <c r="BH2681" t="s">
        <v>939</v>
      </c>
      <c r="BI2681" t="s">
        <v>940</v>
      </c>
      <c r="BJ2681" t="s">
        <v>941</v>
      </c>
      <c r="BK2681" t="s">
        <v>942</v>
      </c>
      <c r="BL2681" t="s">
        <v>943</v>
      </c>
      <c r="BM2681" t="s">
        <v>944</v>
      </c>
      <c r="BN2681" t="s">
        <v>945</v>
      </c>
      <c r="BO2681" t="s">
        <v>946</v>
      </c>
      <c r="BP2681" t="s">
        <v>947</v>
      </c>
      <c r="BQ2681" t="s">
        <v>948</v>
      </c>
      <c r="BR2681" t="s">
        <v>949</v>
      </c>
      <c r="BS2681" t="s">
        <v>950</v>
      </c>
      <c r="BT2681" t="s">
        <v>951</v>
      </c>
      <c r="BU2681" t="s">
        <v>952</v>
      </c>
      <c r="BV2681" t="s">
        <v>953</v>
      </c>
      <c r="BW2681" t="s">
        <v>954</v>
      </c>
      <c r="BX2681" t="s">
        <v>955</v>
      </c>
      <c r="BY2681" t="s">
        <v>956</v>
      </c>
      <c r="BZ2681" t="s">
        <v>957</v>
      </c>
    </row>
    <row r="2682" spans="1:78" x14ac:dyDescent="0.35">
      <c r="A2682" t="s">
        <v>227</v>
      </c>
      <c r="B2682" t="s">
        <v>235</v>
      </c>
      <c r="C2682">
        <v>6476.66</v>
      </c>
      <c r="D2682">
        <v>5000</v>
      </c>
      <c r="E2682">
        <v>200</v>
      </c>
      <c r="F2682">
        <v>30000</v>
      </c>
      <c r="G2682" s="6">
        <v>829</v>
      </c>
      <c r="H2682">
        <v>4334.9399999999996</v>
      </c>
      <c r="I2682">
        <v>3000</v>
      </c>
      <c r="J2682">
        <v>120</v>
      </c>
      <c r="K2682">
        <v>30000</v>
      </c>
      <c r="L2682" s="6">
        <v>367</v>
      </c>
      <c r="M2682">
        <v>4122.54</v>
      </c>
      <c r="N2682">
        <v>4000</v>
      </c>
      <c r="O2682">
        <v>300</v>
      </c>
      <c r="P2682">
        <v>15000</v>
      </c>
      <c r="Q2682" s="6">
        <v>85</v>
      </c>
      <c r="R2682">
        <v>547.82000000000005</v>
      </c>
      <c r="S2682">
        <v>360</v>
      </c>
      <c r="T2682">
        <v>50</v>
      </c>
      <c r="U2682">
        <v>3000</v>
      </c>
      <c r="V2682" s="6">
        <v>319</v>
      </c>
      <c r="W2682">
        <v>633.29</v>
      </c>
      <c r="X2682">
        <v>500</v>
      </c>
      <c r="Y2682">
        <v>30</v>
      </c>
      <c r="Z2682">
        <v>3000</v>
      </c>
      <c r="AA2682" s="6">
        <v>423</v>
      </c>
      <c r="AB2682">
        <v>929.05</v>
      </c>
      <c r="AC2682">
        <v>600</v>
      </c>
      <c r="AD2682">
        <v>100</v>
      </c>
      <c r="AE2682">
        <v>5000</v>
      </c>
      <c r="AF2682" s="6">
        <v>657</v>
      </c>
      <c r="AG2682">
        <v>739.31</v>
      </c>
      <c r="AH2682">
        <v>500</v>
      </c>
      <c r="AI2682">
        <v>100</v>
      </c>
      <c r="AJ2682">
        <v>5000</v>
      </c>
      <c r="AK2682" s="6">
        <v>289</v>
      </c>
      <c r="AL2682">
        <v>1981.37</v>
      </c>
      <c r="AM2682">
        <v>1500</v>
      </c>
      <c r="AN2682">
        <v>300</v>
      </c>
      <c r="AO2682">
        <v>9100</v>
      </c>
      <c r="AP2682" s="6">
        <v>847</v>
      </c>
      <c r="AQ2682">
        <v>2452.42</v>
      </c>
      <c r="AR2682">
        <v>1000</v>
      </c>
      <c r="AS2682">
        <v>50</v>
      </c>
      <c r="AT2682">
        <v>30000</v>
      </c>
      <c r="AU2682" s="6">
        <v>531</v>
      </c>
      <c r="AV2682">
        <v>822.65</v>
      </c>
      <c r="AW2682">
        <v>500</v>
      </c>
      <c r="AX2682">
        <v>100</v>
      </c>
      <c r="AY2682">
        <v>3000</v>
      </c>
      <c r="AZ2682" s="6">
        <v>154</v>
      </c>
      <c r="BA2682">
        <v>664.26</v>
      </c>
      <c r="BB2682">
        <v>600</v>
      </c>
      <c r="BC2682">
        <v>75</v>
      </c>
      <c r="BD2682">
        <v>2800</v>
      </c>
      <c r="BE2682" s="6">
        <v>859</v>
      </c>
      <c r="BF2682">
        <v>2708.42</v>
      </c>
      <c r="BG2682">
        <v>1500</v>
      </c>
      <c r="BH2682">
        <v>400</v>
      </c>
      <c r="BI2682">
        <v>10000</v>
      </c>
      <c r="BJ2682" s="6">
        <v>43</v>
      </c>
      <c r="BK2682">
        <v>3750.64</v>
      </c>
      <c r="BL2682">
        <v>1500</v>
      </c>
      <c r="BM2682">
        <v>100</v>
      </c>
      <c r="BN2682">
        <v>30000</v>
      </c>
      <c r="BO2682" s="6">
        <v>113</v>
      </c>
      <c r="BP2682">
        <v>1098.45</v>
      </c>
      <c r="BQ2682">
        <v>500</v>
      </c>
      <c r="BR2682">
        <v>50</v>
      </c>
      <c r="BS2682">
        <v>20000</v>
      </c>
      <c r="BT2682" s="6">
        <v>498</v>
      </c>
      <c r="BU2682">
        <v>3737.37</v>
      </c>
      <c r="BV2682">
        <v>2050</v>
      </c>
      <c r="BW2682">
        <v>200</v>
      </c>
      <c r="BX2682">
        <v>10000</v>
      </c>
      <c r="BY2682" s="6">
        <v>50</v>
      </c>
      <c r="BZ2682">
        <v>859</v>
      </c>
    </row>
    <row r="2683" spans="1:78" x14ac:dyDescent="0.35">
      <c r="A2683" t="s">
        <v>227</v>
      </c>
      <c r="B2683" t="s">
        <v>234</v>
      </c>
      <c r="C2683">
        <v>8450.2000000000007</v>
      </c>
      <c r="D2683">
        <v>6000</v>
      </c>
      <c r="E2683">
        <v>200</v>
      </c>
      <c r="F2683">
        <v>30000</v>
      </c>
      <c r="G2683" s="6">
        <v>1540</v>
      </c>
      <c r="H2683">
        <v>3932.66</v>
      </c>
      <c r="I2683">
        <v>3000</v>
      </c>
      <c r="J2683">
        <v>100</v>
      </c>
      <c r="K2683">
        <v>60000</v>
      </c>
      <c r="L2683" s="6">
        <v>710</v>
      </c>
      <c r="M2683">
        <v>6370.58</v>
      </c>
      <c r="N2683">
        <v>6000</v>
      </c>
      <c r="O2683">
        <v>183</v>
      </c>
      <c r="P2683">
        <v>16000</v>
      </c>
      <c r="Q2683" s="6">
        <v>260</v>
      </c>
      <c r="R2683">
        <v>447.42</v>
      </c>
      <c r="S2683">
        <v>300</v>
      </c>
      <c r="T2683">
        <v>50</v>
      </c>
      <c r="U2683">
        <v>3000</v>
      </c>
      <c r="V2683" s="6">
        <v>861</v>
      </c>
      <c r="W2683">
        <v>503.91</v>
      </c>
      <c r="X2683">
        <v>300</v>
      </c>
      <c r="Y2683">
        <v>50</v>
      </c>
      <c r="Z2683">
        <v>3000</v>
      </c>
      <c r="AA2683" s="6">
        <v>842</v>
      </c>
      <c r="AB2683">
        <v>843.14</v>
      </c>
      <c r="AC2683">
        <v>500</v>
      </c>
      <c r="AD2683">
        <v>100</v>
      </c>
      <c r="AE2683">
        <v>5000</v>
      </c>
      <c r="AF2683" s="6">
        <v>1269</v>
      </c>
      <c r="AG2683">
        <v>635.15</v>
      </c>
      <c r="AH2683">
        <v>500</v>
      </c>
      <c r="AI2683">
        <v>100</v>
      </c>
      <c r="AJ2683">
        <v>5000</v>
      </c>
      <c r="AK2683" s="6">
        <v>567</v>
      </c>
      <c r="AL2683">
        <v>2193.3200000000002</v>
      </c>
      <c r="AM2683">
        <v>2000</v>
      </c>
      <c r="AN2683">
        <v>300</v>
      </c>
      <c r="AO2683">
        <v>9000</v>
      </c>
      <c r="AP2683" s="6">
        <v>1584</v>
      </c>
      <c r="AQ2683">
        <v>2210.52</v>
      </c>
      <c r="AR2683">
        <v>1000</v>
      </c>
      <c r="AS2683">
        <v>50</v>
      </c>
      <c r="AT2683">
        <v>30000</v>
      </c>
      <c r="AU2683" s="6">
        <v>989</v>
      </c>
      <c r="AV2683">
        <v>728.15</v>
      </c>
      <c r="AW2683">
        <v>500</v>
      </c>
      <c r="AX2683">
        <v>100</v>
      </c>
      <c r="AY2683">
        <v>3000</v>
      </c>
      <c r="AZ2683" s="6">
        <v>112</v>
      </c>
      <c r="BA2683">
        <v>595.92999999999995</v>
      </c>
      <c r="BB2683">
        <v>500</v>
      </c>
      <c r="BC2683">
        <v>50</v>
      </c>
      <c r="BD2683">
        <v>2800</v>
      </c>
      <c r="BE2683" s="6">
        <v>1620</v>
      </c>
      <c r="BF2683">
        <v>3171.49</v>
      </c>
      <c r="BG2683">
        <v>2000</v>
      </c>
      <c r="BH2683">
        <v>200</v>
      </c>
      <c r="BI2683">
        <v>10000</v>
      </c>
      <c r="BJ2683" s="6">
        <v>89</v>
      </c>
      <c r="BK2683">
        <v>5175.09</v>
      </c>
      <c r="BL2683">
        <v>2000</v>
      </c>
      <c r="BM2683">
        <v>100</v>
      </c>
      <c r="BN2683">
        <v>30000</v>
      </c>
      <c r="BO2683" s="6">
        <v>348</v>
      </c>
      <c r="BP2683">
        <v>1388.14</v>
      </c>
      <c r="BQ2683">
        <v>700</v>
      </c>
      <c r="BR2683">
        <v>50</v>
      </c>
      <c r="BS2683">
        <v>30000</v>
      </c>
      <c r="BT2683" s="6">
        <v>798</v>
      </c>
      <c r="BU2683">
        <v>2990.02</v>
      </c>
      <c r="BV2683">
        <v>2500</v>
      </c>
      <c r="BW2683">
        <v>100</v>
      </c>
      <c r="BX2683">
        <v>10000</v>
      </c>
      <c r="BY2683" s="6">
        <v>74</v>
      </c>
      <c r="BZ2683">
        <v>1620</v>
      </c>
    </row>
    <row r="2684" spans="1:78" x14ac:dyDescent="0.35">
      <c r="A2684" t="s">
        <v>228</v>
      </c>
      <c r="B2684" t="s">
        <v>228</v>
      </c>
      <c r="C2684">
        <v>7868.72</v>
      </c>
      <c r="D2684">
        <v>6000</v>
      </c>
      <c r="E2684">
        <v>200</v>
      </c>
      <c r="F2684">
        <v>30000</v>
      </c>
      <c r="G2684" s="6">
        <v>2369</v>
      </c>
      <c r="H2684">
        <v>4052.31</v>
      </c>
      <c r="I2684">
        <v>3000</v>
      </c>
      <c r="J2684">
        <v>100</v>
      </c>
      <c r="K2684">
        <v>60000</v>
      </c>
      <c r="L2684" s="6">
        <v>1077</v>
      </c>
      <c r="M2684">
        <v>5938.14</v>
      </c>
      <c r="N2684">
        <v>5000</v>
      </c>
      <c r="O2684">
        <v>183</v>
      </c>
      <c r="P2684">
        <v>16000</v>
      </c>
      <c r="Q2684" s="6">
        <v>345</v>
      </c>
      <c r="R2684">
        <v>468.12</v>
      </c>
      <c r="S2684">
        <v>300</v>
      </c>
      <c r="T2684">
        <v>50</v>
      </c>
      <c r="U2684">
        <v>3000</v>
      </c>
      <c r="V2684" s="6">
        <v>1180</v>
      </c>
      <c r="W2684">
        <v>542.04</v>
      </c>
      <c r="X2684">
        <v>401</v>
      </c>
      <c r="Y2684">
        <v>30</v>
      </c>
      <c r="Z2684">
        <v>3000</v>
      </c>
      <c r="AA2684" s="6">
        <v>1265</v>
      </c>
      <c r="AB2684">
        <v>868.78</v>
      </c>
      <c r="AC2684">
        <v>500</v>
      </c>
      <c r="AD2684">
        <v>100</v>
      </c>
      <c r="AE2684">
        <v>5000</v>
      </c>
      <c r="AF2684" s="6">
        <v>1926</v>
      </c>
      <c r="AG2684">
        <v>667.4</v>
      </c>
      <c r="AH2684">
        <v>500</v>
      </c>
      <c r="AI2684">
        <v>100</v>
      </c>
      <c r="AJ2684">
        <v>5000</v>
      </c>
      <c r="AK2684" s="6">
        <v>856</v>
      </c>
      <c r="AL2684">
        <v>2130.96</v>
      </c>
      <c r="AM2684">
        <v>2000</v>
      </c>
      <c r="AN2684">
        <v>300</v>
      </c>
      <c r="AO2684">
        <v>9100</v>
      </c>
      <c r="AP2684" s="6">
        <v>2431</v>
      </c>
      <c r="AQ2684">
        <v>2285.5300000000002</v>
      </c>
      <c r="AR2684">
        <v>1000</v>
      </c>
      <c r="AS2684">
        <v>50</v>
      </c>
      <c r="AT2684">
        <v>30000</v>
      </c>
      <c r="AU2684" s="6">
        <v>1520</v>
      </c>
      <c r="AV2684">
        <v>776.74</v>
      </c>
      <c r="AW2684">
        <v>500</v>
      </c>
      <c r="AX2684">
        <v>100</v>
      </c>
      <c r="AY2684">
        <v>3000</v>
      </c>
      <c r="AZ2684" s="6">
        <v>266</v>
      </c>
      <c r="BA2684">
        <v>615.85</v>
      </c>
      <c r="BB2684">
        <v>500</v>
      </c>
      <c r="BC2684">
        <v>50</v>
      </c>
      <c r="BD2684">
        <v>2800</v>
      </c>
      <c r="BE2684" s="6">
        <v>2479</v>
      </c>
      <c r="BF2684">
        <v>3040.04</v>
      </c>
      <c r="BG2684">
        <v>2000</v>
      </c>
      <c r="BH2684">
        <v>200</v>
      </c>
      <c r="BI2684">
        <v>10000</v>
      </c>
      <c r="BJ2684" s="6">
        <v>132</v>
      </c>
      <c r="BK2684">
        <v>4895.0200000000004</v>
      </c>
      <c r="BL2684">
        <v>2000</v>
      </c>
      <c r="BM2684">
        <v>100</v>
      </c>
      <c r="BN2684">
        <v>30000</v>
      </c>
      <c r="BO2684" s="6">
        <v>461</v>
      </c>
      <c r="BP2684">
        <v>1288.5999999999999</v>
      </c>
      <c r="BQ2684">
        <v>600</v>
      </c>
      <c r="BR2684">
        <v>50</v>
      </c>
      <c r="BS2684">
        <v>30000</v>
      </c>
      <c r="BT2684" s="6">
        <v>1296</v>
      </c>
      <c r="BU2684">
        <v>3251.2</v>
      </c>
      <c r="BV2684">
        <v>2500</v>
      </c>
      <c r="BW2684">
        <v>100</v>
      </c>
      <c r="BX2684">
        <v>10000</v>
      </c>
      <c r="BY2684" s="6">
        <v>124</v>
      </c>
      <c r="BZ2684">
        <v>2479</v>
      </c>
    </row>
    <row r="2686" spans="1:78" x14ac:dyDescent="0.35">
      <c r="A2686" s="1" t="s">
        <v>960</v>
      </c>
    </row>
    <row r="2687" spans="1:78" x14ac:dyDescent="0.35">
      <c r="A2687" t="s">
        <v>219</v>
      </c>
      <c r="B2687" t="s">
        <v>301</v>
      </c>
      <c r="C2687" t="s">
        <v>882</v>
      </c>
      <c r="D2687" t="s">
        <v>883</v>
      </c>
      <c r="E2687" t="s">
        <v>884</v>
      </c>
      <c r="F2687" t="s">
        <v>885</v>
      </c>
      <c r="G2687" t="s">
        <v>886</v>
      </c>
      <c r="H2687" t="s">
        <v>887</v>
      </c>
      <c r="I2687" t="s">
        <v>888</v>
      </c>
      <c r="J2687" t="s">
        <v>889</v>
      </c>
      <c r="K2687" t="s">
        <v>890</v>
      </c>
      <c r="L2687" t="s">
        <v>891</v>
      </c>
      <c r="M2687" t="s">
        <v>892</v>
      </c>
      <c r="N2687" t="s">
        <v>893</v>
      </c>
      <c r="O2687" t="s">
        <v>894</v>
      </c>
      <c r="P2687" t="s">
        <v>895</v>
      </c>
      <c r="Q2687" t="s">
        <v>896</v>
      </c>
      <c r="R2687" t="s">
        <v>897</v>
      </c>
      <c r="S2687" t="s">
        <v>898</v>
      </c>
      <c r="T2687" t="s">
        <v>899</v>
      </c>
      <c r="U2687" t="s">
        <v>900</v>
      </c>
      <c r="V2687" t="s">
        <v>901</v>
      </c>
      <c r="W2687" t="s">
        <v>902</v>
      </c>
      <c r="X2687" t="s">
        <v>903</v>
      </c>
      <c r="Y2687" t="s">
        <v>904</v>
      </c>
      <c r="Z2687" t="s">
        <v>905</v>
      </c>
      <c r="AA2687" t="s">
        <v>906</v>
      </c>
      <c r="AB2687" t="s">
        <v>907</v>
      </c>
      <c r="AC2687" t="s">
        <v>908</v>
      </c>
      <c r="AD2687" t="s">
        <v>909</v>
      </c>
      <c r="AE2687" t="s">
        <v>910</v>
      </c>
      <c r="AF2687" t="s">
        <v>911</v>
      </c>
      <c r="AG2687" t="s">
        <v>912</v>
      </c>
      <c r="AH2687" t="s">
        <v>913</v>
      </c>
      <c r="AI2687" t="s">
        <v>914</v>
      </c>
      <c r="AJ2687" t="s">
        <v>915</v>
      </c>
      <c r="AK2687" t="s">
        <v>916</v>
      </c>
      <c r="AL2687" t="s">
        <v>917</v>
      </c>
      <c r="AM2687" t="s">
        <v>918</v>
      </c>
      <c r="AN2687" t="s">
        <v>919</v>
      </c>
      <c r="AO2687" t="s">
        <v>920</v>
      </c>
      <c r="AP2687" t="s">
        <v>921</v>
      </c>
      <c r="AQ2687" t="s">
        <v>922</v>
      </c>
      <c r="AR2687" t="s">
        <v>923</v>
      </c>
      <c r="AS2687" t="s">
        <v>924</v>
      </c>
      <c r="AT2687" t="s">
        <v>925</v>
      </c>
      <c r="AU2687" t="s">
        <v>926</v>
      </c>
      <c r="AV2687" t="s">
        <v>927</v>
      </c>
      <c r="AW2687" t="s">
        <v>928</v>
      </c>
      <c r="AX2687" t="s">
        <v>929</v>
      </c>
      <c r="AY2687" t="s">
        <v>930</v>
      </c>
      <c r="AZ2687" t="s">
        <v>931</v>
      </c>
      <c r="BA2687" t="s">
        <v>932</v>
      </c>
      <c r="BB2687" t="s">
        <v>933</v>
      </c>
      <c r="BC2687" t="s">
        <v>934</v>
      </c>
      <c r="BD2687" t="s">
        <v>935</v>
      </c>
      <c r="BE2687" t="s">
        <v>936</v>
      </c>
      <c r="BF2687" t="s">
        <v>937</v>
      </c>
      <c r="BG2687" t="s">
        <v>938</v>
      </c>
      <c r="BH2687" t="s">
        <v>939</v>
      </c>
      <c r="BI2687" t="s">
        <v>940</v>
      </c>
      <c r="BJ2687" t="s">
        <v>941</v>
      </c>
      <c r="BK2687" t="s">
        <v>942</v>
      </c>
      <c r="BL2687" t="s">
        <v>943</v>
      </c>
      <c r="BM2687" t="s">
        <v>944</v>
      </c>
      <c r="BN2687" t="s">
        <v>945</v>
      </c>
      <c r="BO2687" t="s">
        <v>946</v>
      </c>
      <c r="BP2687" t="s">
        <v>947</v>
      </c>
      <c r="BQ2687" t="s">
        <v>948</v>
      </c>
      <c r="BR2687" t="s">
        <v>949</v>
      </c>
      <c r="BS2687" t="s">
        <v>950</v>
      </c>
      <c r="BT2687" t="s">
        <v>951</v>
      </c>
      <c r="BU2687" t="s">
        <v>952</v>
      </c>
      <c r="BV2687" t="s">
        <v>953</v>
      </c>
      <c r="BW2687" t="s">
        <v>954</v>
      </c>
      <c r="BX2687" t="s">
        <v>955</v>
      </c>
      <c r="BY2687" t="s">
        <v>956</v>
      </c>
      <c r="BZ2687" t="s">
        <v>957</v>
      </c>
    </row>
    <row r="2688" spans="1:78" x14ac:dyDescent="0.35">
      <c r="A2688" t="s">
        <v>227</v>
      </c>
      <c r="B2688" t="s">
        <v>240</v>
      </c>
      <c r="C2688">
        <v>9180.83</v>
      </c>
      <c r="D2688">
        <v>7000</v>
      </c>
      <c r="E2688">
        <v>200</v>
      </c>
      <c r="F2688">
        <v>30000</v>
      </c>
      <c r="G2688" s="6">
        <v>1497</v>
      </c>
      <c r="H2688">
        <v>4293.6099999999997</v>
      </c>
      <c r="I2688">
        <v>3000</v>
      </c>
      <c r="J2688">
        <v>100</v>
      </c>
      <c r="K2688">
        <v>30000</v>
      </c>
      <c r="L2688" s="6">
        <v>755</v>
      </c>
      <c r="M2688">
        <v>6211.92</v>
      </c>
      <c r="N2688">
        <v>5500</v>
      </c>
      <c r="O2688">
        <v>183</v>
      </c>
      <c r="P2688">
        <v>16000</v>
      </c>
      <c r="Q2688" s="6">
        <v>234</v>
      </c>
      <c r="R2688">
        <v>510.74</v>
      </c>
      <c r="S2688">
        <v>350</v>
      </c>
      <c r="T2688">
        <v>50</v>
      </c>
      <c r="U2688">
        <v>3000</v>
      </c>
      <c r="V2688" s="6">
        <v>795</v>
      </c>
      <c r="W2688">
        <v>578.19000000000005</v>
      </c>
      <c r="X2688">
        <v>500</v>
      </c>
      <c r="Y2688">
        <v>50</v>
      </c>
      <c r="Z2688">
        <v>3000</v>
      </c>
      <c r="AA2688" s="6">
        <v>915</v>
      </c>
      <c r="AB2688">
        <v>922.56</v>
      </c>
      <c r="AC2688">
        <v>600</v>
      </c>
      <c r="AD2688">
        <v>100</v>
      </c>
      <c r="AE2688">
        <v>5000</v>
      </c>
      <c r="AF2688" s="6">
        <v>1276</v>
      </c>
      <c r="AG2688">
        <v>745.17</v>
      </c>
      <c r="AH2688">
        <v>500</v>
      </c>
      <c r="AI2688">
        <v>100</v>
      </c>
      <c r="AJ2688">
        <v>5000</v>
      </c>
      <c r="AK2688" s="6">
        <v>586</v>
      </c>
      <c r="AL2688">
        <v>2327.13</v>
      </c>
      <c r="AM2688">
        <v>2000</v>
      </c>
      <c r="AN2688">
        <v>300</v>
      </c>
      <c r="AO2688">
        <v>9000</v>
      </c>
      <c r="AP2688" s="6">
        <v>1546</v>
      </c>
      <c r="AQ2688">
        <v>2557.59</v>
      </c>
      <c r="AR2688">
        <v>1000</v>
      </c>
      <c r="AS2688">
        <v>50</v>
      </c>
      <c r="AT2688">
        <v>30000</v>
      </c>
      <c r="AU2688" s="6">
        <v>1046</v>
      </c>
      <c r="AV2688">
        <v>841.07</v>
      </c>
      <c r="AW2688">
        <v>500</v>
      </c>
      <c r="AX2688">
        <v>100</v>
      </c>
      <c r="AY2688">
        <v>3000</v>
      </c>
      <c r="AZ2688" s="6">
        <v>182</v>
      </c>
      <c r="BA2688">
        <v>673.61</v>
      </c>
      <c r="BB2688">
        <v>600</v>
      </c>
      <c r="BC2688">
        <v>100</v>
      </c>
      <c r="BD2688">
        <v>2500</v>
      </c>
      <c r="BE2688" s="6">
        <v>1560</v>
      </c>
      <c r="BF2688">
        <v>3144.29</v>
      </c>
      <c r="BG2688">
        <v>2000</v>
      </c>
      <c r="BH2688">
        <v>200</v>
      </c>
      <c r="BI2688">
        <v>10000</v>
      </c>
      <c r="BJ2688" s="6">
        <v>112</v>
      </c>
      <c r="BK2688">
        <v>5930.16</v>
      </c>
      <c r="BL2688">
        <v>2500</v>
      </c>
      <c r="BM2688">
        <v>100</v>
      </c>
      <c r="BN2688">
        <v>30000</v>
      </c>
      <c r="BO2688" s="6">
        <v>340</v>
      </c>
      <c r="BP2688">
        <v>1380.78</v>
      </c>
      <c r="BQ2688">
        <v>700</v>
      </c>
      <c r="BR2688">
        <v>50</v>
      </c>
      <c r="BS2688">
        <v>30000</v>
      </c>
      <c r="BT2688" s="6">
        <v>895</v>
      </c>
      <c r="BU2688">
        <v>3512.92</v>
      </c>
      <c r="BV2688">
        <v>2595</v>
      </c>
      <c r="BW2688">
        <v>100</v>
      </c>
      <c r="BX2688">
        <v>10000</v>
      </c>
      <c r="BY2688" s="6">
        <v>82</v>
      </c>
      <c r="BZ2688">
        <v>1560</v>
      </c>
    </row>
    <row r="2689" spans="1:78" x14ac:dyDescent="0.35">
      <c r="A2689" t="s">
        <v>227</v>
      </c>
      <c r="B2689" t="s">
        <v>241</v>
      </c>
      <c r="C2689">
        <v>4560.3500000000004</v>
      </c>
      <c r="D2689">
        <v>3000</v>
      </c>
      <c r="E2689">
        <v>200</v>
      </c>
      <c r="F2689">
        <v>30000</v>
      </c>
      <c r="G2689" s="6">
        <v>739</v>
      </c>
      <c r="H2689">
        <v>2900.2</v>
      </c>
      <c r="I2689">
        <v>2000</v>
      </c>
      <c r="J2689">
        <v>100</v>
      </c>
      <c r="K2689">
        <v>60000</v>
      </c>
      <c r="L2689" s="6">
        <v>229</v>
      </c>
      <c r="M2689">
        <v>5249.82</v>
      </c>
      <c r="N2689">
        <v>5000</v>
      </c>
      <c r="O2689">
        <v>400</v>
      </c>
      <c r="P2689">
        <v>15000</v>
      </c>
      <c r="Q2689" s="6">
        <v>88</v>
      </c>
      <c r="R2689">
        <v>323.19</v>
      </c>
      <c r="S2689">
        <v>200</v>
      </c>
      <c r="T2689">
        <v>50</v>
      </c>
      <c r="U2689">
        <v>3000</v>
      </c>
      <c r="V2689" s="6">
        <v>319</v>
      </c>
      <c r="W2689">
        <v>365.71</v>
      </c>
      <c r="X2689">
        <v>300</v>
      </c>
      <c r="Y2689">
        <v>30</v>
      </c>
      <c r="Z2689">
        <v>1000</v>
      </c>
      <c r="AA2689" s="6">
        <v>248</v>
      </c>
      <c r="AB2689">
        <v>626.38</v>
      </c>
      <c r="AC2689">
        <v>400</v>
      </c>
      <c r="AD2689">
        <v>100</v>
      </c>
      <c r="AE2689">
        <v>5000</v>
      </c>
      <c r="AF2689" s="6">
        <v>523</v>
      </c>
      <c r="AG2689">
        <v>442.44</v>
      </c>
      <c r="AH2689">
        <v>270</v>
      </c>
      <c r="AI2689">
        <v>100</v>
      </c>
      <c r="AJ2689">
        <v>3200</v>
      </c>
      <c r="AK2689" s="6">
        <v>201</v>
      </c>
      <c r="AL2689">
        <v>1537.43</v>
      </c>
      <c r="AM2689">
        <v>1400</v>
      </c>
      <c r="AN2689">
        <v>300</v>
      </c>
      <c r="AO2689">
        <v>9000</v>
      </c>
      <c r="AP2689" s="6">
        <v>744</v>
      </c>
      <c r="AQ2689">
        <v>1288.07</v>
      </c>
      <c r="AR2689">
        <v>400</v>
      </c>
      <c r="AS2689">
        <v>50</v>
      </c>
      <c r="AT2689">
        <v>30000</v>
      </c>
      <c r="AU2689" s="6">
        <v>368</v>
      </c>
      <c r="AV2689">
        <v>581.26</v>
      </c>
      <c r="AW2689">
        <v>500</v>
      </c>
      <c r="AX2689">
        <v>100</v>
      </c>
      <c r="AY2689">
        <v>2000</v>
      </c>
      <c r="AZ2689" s="6">
        <v>47</v>
      </c>
      <c r="BA2689">
        <v>377.41</v>
      </c>
      <c r="BB2689">
        <v>300</v>
      </c>
      <c r="BC2689">
        <v>50</v>
      </c>
      <c r="BD2689">
        <v>2800</v>
      </c>
      <c r="BE2689" s="6">
        <v>764</v>
      </c>
      <c r="BF2689">
        <v>3085.93</v>
      </c>
      <c r="BG2689">
        <v>2000</v>
      </c>
      <c r="BH2689">
        <v>1000</v>
      </c>
      <c r="BI2689">
        <v>7000</v>
      </c>
      <c r="BJ2689" s="6">
        <v>10</v>
      </c>
      <c r="BK2689">
        <v>1726.28</v>
      </c>
      <c r="BL2689">
        <v>1000</v>
      </c>
      <c r="BM2689">
        <v>100</v>
      </c>
      <c r="BN2689">
        <v>28000</v>
      </c>
      <c r="BO2689" s="6">
        <v>79</v>
      </c>
      <c r="BP2689">
        <v>990.28</v>
      </c>
      <c r="BQ2689">
        <v>500</v>
      </c>
      <c r="BR2689">
        <v>50</v>
      </c>
      <c r="BS2689">
        <v>10000</v>
      </c>
      <c r="BT2689" s="6">
        <v>312</v>
      </c>
      <c r="BU2689">
        <v>1995.93</v>
      </c>
      <c r="BV2689">
        <v>1000</v>
      </c>
      <c r="BW2689">
        <v>400</v>
      </c>
      <c r="BX2689">
        <v>5550</v>
      </c>
      <c r="BY2689" s="6">
        <v>37</v>
      </c>
      <c r="BZ2689">
        <v>764</v>
      </c>
    </row>
    <row r="2690" spans="1:78" x14ac:dyDescent="0.35">
      <c r="A2690" t="s">
        <v>227</v>
      </c>
      <c r="B2690" t="s">
        <v>242</v>
      </c>
      <c r="C2690">
        <v>10143.59</v>
      </c>
      <c r="D2690">
        <v>9000</v>
      </c>
      <c r="E2690">
        <v>2000</v>
      </c>
      <c r="F2690">
        <v>30000</v>
      </c>
      <c r="G2690" s="6">
        <v>133</v>
      </c>
      <c r="H2690">
        <v>4803.1000000000004</v>
      </c>
      <c r="I2690">
        <v>4000</v>
      </c>
      <c r="J2690">
        <v>100</v>
      </c>
      <c r="K2690">
        <v>24000</v>
      </c>
      <c r="L2690" s="6">
        <v>93</v>
      </c>
      <c r="M2690">
        <v>6196.64</v>
      </c>
      <c r="N2690">
        <v>5000</v>
      </c>
      <c r="O2690">
        <v>289</v>
      </c>
      <c r="P2690">
        <v>16000</v>
      </c>
      <c r="Q2690" s="6">
        <v>23</v>
      </c>
      <c r="R2690">
        <v>630.41999999999996</v>
      </c>
      <c r="S2690">
        <v>500</v>
      </c>
      <c r="T2690">
        <v>100</v>
      </c>
      <c r="U2690">
        <v>3000</v>
      </c>
      <c r="V2690" s="6">
        <v>66</v>
      </c>
      <c r="W2690">
        <v>613.59</v>
      </c>
      <c r="X2690">
        <v>500</v>
      </c>
      <c r="Y2690">
        <v>100</v>
      </c>
      <c r="Z2690">
        <v>3000</v>
      </c>
      <c r="AA2690" s="6">
        <v>102</v>
      </c>
      <c r="AB2690">
        <v>1238.05</v>
      </c>
      <c r="AC2690">
        <v>1000</v>
      </c>
      <c r="AD2690">
        <v>200</v>
      </c>
      <c r="AE2690">
        <v>5000</v>
      </c>
      <c r="AF2690" s="6">
        <v>127</v>
      </c>
      <c r="AG2690">
        <v>646.86</v>
      </c>
      <c r="AH2690">
        <v>500</v>
      </c>
      <c r="AI2690">
        <v>100</v>
      </c>
      <c r="AJ2690">
        <v>5000</v>
      </c>
      <c r="AK2690" s="6">
        <v>69</v>
      </c>
      <c r="AL2690">
        <v>2878.92</v>
      </c>
      <c r="AM2690">
        <v>3000</v>
      </c>
      <c r="AN2690">
        <v>500</v>
      </c>
      <c r="AO2690">
        <v>9100</v>
      </c>
      <c r="AP2690" s="6">
        <v>141</v>
      </c>
      <c r="AQ2690">
        <v>2923.01</v>
      </c>
      <c r="AR2690">
        <v>2000</v>
      </c>
      <c r="AS2690">
        <v>150</v>
      </c>
      <c r="AT2690">
        <v>30000</v>
      </c>
      <c r="AU2690" s="6">
        <v>106</v>
      </c>
      <c r="AV2690">
        <v>712.52</v>
      </c>
      <c r="AW2690">
        <v>500</v>
      </c>
      <c r="AX2690">
        <v>100</v>
      </c>
      <c r="AY2690">
        <v>3000</v>
      </c>
      <c r="AZ2690" s="6">
        <v>37</v>
      </c>
      <c r="BA2690">
        <v>1075.47</v>
      </c>
      <c r="BB2690">
        <v>1000</v>
      </c>
      <c r="BC2690">
        <v>240</v>
      </c>
      <c r="BD2690">
        <v>2800</v>
      </c>
      <c r="BE2690" s="6">
        <v>155</v>
      </c>
      <c r="BF2690">
        <v>1336.91</v>
      </c>
      <c r="BG2690">
        <v>1000</v>
      </c>
      <c r="BH2690">
        <v>1000</v>
      </c>
      <c r="BI2690">
        <v>5000</v>
      </c>
      <c r="BJ2690" s="6">
        <v>10</v>
      </c>
      <c r="BK2690">
        <v>3123.81</v>
      </c>
      <c r="BL2690">
        <v>2000</v>
      </c>
      <c r="BM2690">
        <v>300</v>
      </c>
      <c r="BN2690">
        <v>25000</v>
      </c>
      <c r="BO2690" s="6">
        <v>42</v>
      </c>
      <c r="BP2690">
        <v>1249.01</v>
      </c>
      <c r="BQ2690">
        <v>500</v>
      </c>
      <c r="BR2690">
        <v>100</v>
      </c>
      <c r="BS2690">
        <v>9000</v>
      </c>
      <c r="BT2690" s="6">
        <v>89</v>
      </c>
      <c r="BU2690">
        <v>6274.97</v>
      </c>
      <c r="BV2690">
        <v>9000</v>
      </c>
      <c r="BW2690">
        <v>600</v>
      </c>
      <c r="BX2690">
        <v>9000</v>
      </c>
      <c r="BY2690" s="6">
        <v>5</v>
      </c>
      <c r="BZ2690">
        <v>155</v>
      </c>
    </row>
    <row r="2691" spans="1:78" x14ac:dyDescent="0.35">
      <c r="A2691" t="s">
        <v>228</v>
      </c>
      <c r="B2691" t="s">
        <v>228</v>
      </c>
      <c r="C2691">
        <v>7868.72</v>
      </c>
      <c r="D2691">
        <v>6000</v>
      </c>
      <c r="E2691">
        <v>200</v>
      </c>
      <c r="F2691">
        <v>30000</v>
      </c>
      <c r="G2691" s="6">
        <v>2369</v>
      </c>
      <c r="H2691">
        <v>4052.31</v>
      </c>
      <c r="I2691">
        <v>3000</v>
      </c>
      <c r="J2691">
        <v>100</v>
      </c>
      <c r="K2691">
        <v>60000</v>
      </c>
      <c r="L2691" s="6">
        <v>1077</v>
      </c>
      <c r="M2691">
        <v>5938.14</v>
      </c>
      <c r="N2691">
        <v>5000</v>
      </c>
      <c r="O2691">
        <v>183</v>
      </c>
      <c r="P2691">
        <v>16000</v>
      </c>
      <c r="Q2691" s="6">
        <v>345</v>
      </c>
      <c r="R2691">
        <v>468.12</v>
      </c>
      <c r="S2691">
        <v>300</v>
      </c>
      <c r="T2691">
        <v>50</v>
      </c>
      <c r="U2691">
        <v>3000</v>
      </c>
      <c r="V2691" s="6">
        <v>1180</v>
      </c>
      <c r="W2691">
        <v>542.04</v>
      </c>
      <c r="X2691">
        <v>401</v>
      </c>
      <c r="Y2691">
        <v>30</v>
      </c>
      <c r="Z2691">
        <v>3000</v>
      </c>
      <c r="AA2691" s="6">
        <v>1265</v>
      </c>
      <c r="AB2691">
        <v>868.78</v>
      </c>
      <c r="AC2691">
        <v>500</v>
      </c>
      <c r="AD2691">
        <v>100</v>
      </c>
      <c r="AE2691">
        <v>5000</v>
      </c>
      <c r="AF2691" s="6">
        <v>1926</v>
      </c>
      <c r="AG2691">
        <v>667.4</v>
      </c>
      <c r="AH2691">
        <v>500</v>
      </c>
      <c r="AI2691">
        <v>100</v>
      </c>
      <c r="AJ2691">
        <v>5000</v>
      </c>
      <c r="AK2691" s="6">
        <v>856</v>
      </c>
      <c r="AL2691">
        <v>2130.96</v>
      </c>
      <c r="AM2691">
        <v>2000</v>
      </c>
      <c r="AN2691">
        <v>300</v>
      </c>
      <c r="AO2691">
        <v>9100</v>
      </c>
      <c r="AP2691" s="6">
        <v>2431</v>
      </c>
      <c r="AQ2691">
        <v>2285.5300000000002</v>
      </c>
      <c r="AR2691">
        <v>1000</v>
      </c>
      <c r="AS2691">
        <v>50</v>
      </c>
      <c r="AT2691">
        <v>30000</v>
      </c>
      <c r="AU2691" s="6">
        <v>1520</v>
      </c>
      <c r="AV2691">
        <v>776.74</v>
      </c>
      <c r="AW2691">
        <v>500</v>
      </c>
      <c r="AX2691">
        <v>100</v>
      </c>
      <c r="AY2691">
        <v>3000</v>
      </c>
      <c r="AZ2691" s="6">
        <v>266</v>
      </c>
      <c r="BA2691">
        <v>615.85</v>
      </c>
      <c r="BB2691">
        <v>500</v>
      </c>
      <c r="BC2691">
        <v>50</v>
      </c>
      <c r="BD2691">
        <v>2800</v>
      </c>
      <c r="BE2691" s="6">
        <v>2479</v>
      </c>
      <c r="BF2691">
        <v>3040.04</v>
      </c>
      <c r="BG2691">
        <v>2000</v>
      </c>
      <c r="BH2691">
        <v>200</v>
      </c>
      <c r="BI2691">
        <v>10000</v>
      </c>
      <c r="BJ2691" s="6">
        <v>132</v>
      </c>
      <c r="BK2691">
        <v>4895.0200000000004</v>
      </c>
      <c r="BL2691">
        <v>2000</v>
      </c>
      <c r="BM2691">
        <v>100</v>
      </c>
      <c r="BN2691">
        <v>30000</v>
      </c>
      <c r="BO2691" s="6">
        <v>461</v>
      </c>
      <c r="BP2691">
        <v>1288.5999999999999</v>
      </c>
      <c r="BQ2691">
        <v>600</v>
      </c>
      <c r="BR2691">
        <v>50</v>
      </c>
      <c r="BS2691">
        <v>30000</v>
      </c>
      <c r="BT2691" s="6">
        <v>1296</v>
      </c>
      <c r="BU2691">
        <v>3251.2</v>
      </c>
      <c r="BV2691">
        <v>2500</v>
      </c>
      <c r="BW2691">
        <v>100</v>
      </c>
      <c r="BX2691">
        <v>10000</v>
      </c>
      <c r="BY2691" s="6">
        <v>124</v>
      </c>
      <c r="BZ2691">
        <v>2479</v>
      </c>
    </row>
    <row r="2693" spans="1:78" x14ac:dyDescent="0.35">
      <c r="A2693" s="1" t="s">
        <v>961</v>
      </c>
    </row>
    <row r="2694" spans="1:78" x14ac:dyDescent="0.35">
      <c r="A2694" t="s">
        <v>219</v>
      </c>
      <c r="B2694" t="s">
        <v>301</v>
      </c>
      <c r="C2694" t="s">
        <v>882</v>
      </c>
      <c r="D2694" t="s">
        <v>883</v>
      </c>
      <c r="E2694" t="s">
        <v>884</v>
      </c>
      <c r="F2694" t="s">
        <v>885</v>
      </c>
      <c r="G2694" t="s">
        <v>886</v>
      </c>
      <c r="H2694" t="s">
        <v>887</v>
      </c>
      <c r="I2694" t="s">
        <v>888</v>
      </c>
      <c r="J2694" t="s">
        <v>889</v>
      </c>
      <c r="K2694" t="s">
        <v>890</v>
      </c>
      <c r="L2694" t="s">
        <v>891</v>
      </c>
      <c r="M2694" t="s">
        <v>892</v>
      </c>
      <c r="N2694" t="s">
        <v>893</v>
      </c>
      <c r="O2694" t="s">
        <v>894</v>
      </c>
      <c r="P2694" t="s">
        <v>895</v>
      </c>
      <c r="Q2694" t="s">
        <v>896</v>
      </c>
      <c r="R2694" t="s">
        <v>897</v>
      </c>
      <c r="S2694" t="s">
        <v>898</v>
      </c>
      <c r="T2694" t="s">
        <v>899</v>
      </c>
      <c r="U2694" t="s">
        <v>900</v>
      </c>
      <c r="V2694" t="s">
        <v>901</v>
      </c>
      <c r="W2694" t="s">
        <v>902</v>
      </c>
      <c r="X2694" t="s">
        <v>903</v>
      </c>
      <c r="Y2694" t="s">
        <v>904</v>
      </c>
      <c r="Z2694" t="s">
        <v>905</v>
      </c>
      <c r="AA2694" t="s">
        <v>906</v>
      </c>
      <c r="AB2694" t="s">
        <v>907</v>
      </c>
      <c r="AC2694" t="s">
        <v>908</v>
      </c>
      <c r="AD2694" t="s">
        <v>909</v>
      </c>
      <c r="AE2694" t="s">
        <v>910</v>
      </c>
      <c r="AF2694" t="s">
        <v>911</v>
      </c>
      <c r="AG2694" t="s">
        <v>912</v>
      </c>
      <c r="AH2694" t="s">
        <v>913</v>
      </c>
      <c r="AI2694" t="s">
        <v>914</v>
      </c>
      <c r="AJ2694" t="s">
        <v>915</v>
      </c>
      <c r="AK2694" t="s">
        <v>916</v>
      </c>
      <c r="AL2694" t="s">
        <v>917</v>
      </c>
      <c r="AM2694" t="s">
        <v>918</v>
      </c>
      <c r="AN2694" t="s">
        <v>919</v>
      </c>
      <c r="AO2694" t="s">
        <v>920</v>
      </c>
      <c r="AP2694" t="s">
        <v>921</v>
      </c>
      <c r="AQ2694" t="s">
        <v>922</v>
      </c>
      <c r="AR2694" t="s">
        <v>923</v>
      </c>
      <c r="AS2694" t="s">
        <v>924</v>
      </c>
      <c r="AT2694" t="s">
        <v>925</v>
      </c>
      <c r="AU2694" t="s">
        <v>926</v>
      </c>
      <c r="AV2694" t="s">
        <v>927</v>
      </c>
      <c r="AW2694" t="s">
        <v>928</v>
      </c>
      <c r="AX2694" t="s">
        <v>929</v>
      </c>
      <c r="AY2694" t="s">
        <v>930</v>
      </c>
      <c r="AZ2694" t="s">
        <v>931</v>
      </c>
      <c r="BA2694" t="s">
        <v>932</v>
      </c>
      <c r="BB2694" t="s">
        <v>933</v>
      </c>
      <c r="BC2694" t="s">
        <v>934</v>
      </c>
      <c r="BD2694" t="s">
        <v>935</v>
      </c>
      <c r="BE2694" t="s">
        <v>936</v>
      </c>
      <c r="BF2694" t="s">
        <v>937</v>
      </c>
      <c r="BG2694" t="s">
        <v>938</v>
      </c>
      <c r="BH2694" t="s">
        <v>939</v>
      </c>
      <c r="BI2694" t="s">
        <v>940</v>
      </c>
      <c r="BJ2694" t="s">
        <v>941</v>
      </c>
      <c r="BK2694" t="s">
        <v>942</v>
      </c>
      <c r="BL2694" t="s">
        <v>943</v>
      </c>
      <c r="BM2694" t="s">
        <v>944</v>
      </c>
      <c r="BN2694" t="s">
        <v>945</v>
      </c>
      <c r="BO2694" t="s">
        <v>946</v>
      </c>
      <c r="BP2694" t="s">
        <v>947</v>
      </c>
      <c r="BQ2694" t="s">
        <v>948</v>
      </c>
      <c r="BR2694" t="s">
        <v>949</v>
      </c>
      <c r="BS2694" t="s">
        <v>950</v>
      </c>
      <c r="BT2694" t="s">
        <v>951</v>
      </c>
      <c r="BU2694" t="s">
        <v>952</v>
      </c>
      <c r="BV2694" t="s">
        <v>953</v>
      </c>
      <c r="BW2694" t="s">
        <v>954</v>
      </c>
      <c r="BX2694" t="s">
        <v>955</v>
      </c>
      <c r="BY2694" t="s">
        <v>956</v>
      </c>
      <c r="BZ2694" t="s">
        <v>957</v>
      </c>
    </row>
    <row r="2695" spans="1:78" x14ac:dyDescent="0.35">
      <c r="A2695" t="s">
        <v>227</v>
      </c>
      <c r="B2695" t="s">
        <v>263</v>
      </c>
      <c r="C2695">
        <v>8218.7900000000009</v>
      </c>
      <c r="D2695">
        <v>6000</v>
      </c>
      <c r="E2695">
        <v>200</v>
      </c>
      <c r="F2695">
        <v>30000</v>
      </c>
      <c r="G2695" s="6">
        <v>504</v>
      </c>
      <c r="H2695">
        <v>4258.04</v>
      </c>
      <c r="I2695">
        <v>3000</v>
      </c>
      <c r="J2695">
        <v>100</v>
      </c>
      <c r="K2695">
        <v>60000</v>
      </c>
      <c r="L2695" s="6">
        <v>232</v>
      </c>
      <c r="M2695">
        <v>6599.67</v>
      </c>
      <c r="N2695">
        <v>6000</v>
      </c>
      <c r="O2695">
        <v>500</v>
      </c>
      <c r="P2695">
        <v>15000</v>
      </c>
      <c r="Q2695" s="6">
        <v>70</v>
      </c>
      <c r="R2695">
        <v>435.87</v>
      </c>
      <c r="S2695">
        <v>300</v>
      </c>
      <c r="T2695">
        <v>50</v>
      </c>
      <c r="U2695">
        <v>2000</v>
      </c>
      <c r="V2695" s="6">
        <v>238</v>
      </c>
      <c r="W2695">
        <v>607.80999999999995</v>
      </c>
      <c r="X2695">
        <v>500</v>
      </c>
      <c r="Y2695">
        <v>50</v>
      </c>
      <c r="Z2695">
        <v>3000</v>
      </c>
      <c r="AA2695" s="6">
        <v>162</v>
      </c>
      <c r="AB2695">
        <v>863.23</v>
      </c>
      <c r="AC2695">
        <v>600</v>
      </c>
      <c r="AD2695">
        <v>100</v>
      </c>
      <c r="AE2695">
        <v>5000</v>
      </c>
      <c r="AF2695" s="6">
        <v>377</v>
      </c>
      <c r="AG2695">
        <v>645.55999999999995</v>
      </c>
      <c r="AH2695">
        <v>500</v>
      </c>
      <c r="AI2695">
        <v>100</v>
      </c>
      <c r="AJ2695">
        <v>5000</v>
      </c>
      <c r="AK2695" s="6">
        <v>187</v>
      </c>
      <c r="AL2695">
        <v>2153.71</v>
      </c>
      <c r="AM2695">
        <v>1800</v>
      </c>
      <c r="AN2695">
        <v>300</v>
      </c>
      <c r="AO2695">
        <v>9000</v>
      </c>
      <c r="AP2695" s="6">
        <v>499</v>
      </c>
      <c r="AQ2695">
        <v>2389.94</v>
      </c>
      <c r="AR2695">
        <v>1000</v>
      </c>
      <c r="AS2695">
        <v>50</v>
      </c>
      <c r="AT2695">
        <v>30000</v>
      </c>
      <c r="AU2695" s="6">
        <v>326</v>
      </c>
      <c r="AV2695">
        <v>710.56</v>
      </c>
      <c r="AW2695">
        <v>500</v>
      </c>
      <c r="AX2695">
        <v>100</v>
      </c>
      <c r="AY2695">
        <v>3000</v>
      </c>
      <c r="AZ2695" s="6">
        <v>59</v>
      </c>
      <c r="BA2695">
        <v>607.89</v>
      </c>
      <c r="BB2695">
        <v>500</v>
      </c>
      <c r="BC2695">
        <v>50</v>
      </c>
      <c r="BD2695">
        <v>2800</v>
      </c>
      <c r="BE2695" s="6">
        <v>515</v>
      </c>
      <c r="BF2695">
        <v>2991.7</v>
      </c>
      <c r="BG2695">
        <v>2500</v>
      </c>
      <c r="BH2695">
        <v>1000</v>
      </c>
      <c r="BI2695">
        <v>10000</v>
      </c>
      <c r="BJ2695" s="6">
        <v>19</v>
      </c>
      <c r="BK2695">
        <v>3861.75</v>
      </c>
      <c r="BL2695">
        <v>2000</v>
      </c>
      <c r="BM2695">
        <v>300</v>
      </c>
      <c r="BN2695">
        <v>30000</v>
      </c>
      <c r="BO2695" s="6">
        <v>103</v>
      </c>
      <c r="BP2695">
        <v>1273.6300000000001</v>
      </c>
      <c r="BQ2695">
        <v>700</v>
      </c>
      <c r="BR2695">
        <v>50</v>
      </c>
      <c r="BS2695">
        <v>16000</v>
      </c>
      <c r="BT2695" s="6">
        <v>259</v>
      </c>
      <c r="BU2695">
        <v>2887.15</v>
      </c>
      <c r="BV2695">
        <v>2050</v>
      </c>
      <c r="BW2695">
        <v>200</v>
      </c>
      <c r="BX2695">
        <v>9000</v>
      </c>
      <c r="BY2695" s="6">
        <v>22</v>
      </c>
      <c r="BZ2695">
        <v>515</v>
      </c>
    </row>
    <row r="2696" spans="1:78" x14ac:dyDescent="0.35">
      <c r="A2696" t="s">
        <v>227</v>
      </c>
      <c r="B2696" t="s">
        <v>262</v>
      </c>
      <c r="C2696">
        <v>5600.94</v>
      </c>
      <c r="D2696">
        <v>4000</v>
      </c>
      <c r="E2696">
        <v>200</v>
      </c>
      <c r="F2696">
        <v>30000</v>
      </c>
      <c r="G2696" s="6">
        <v>959</v>
      </c>
      <c r="H2696">
        <v>3192.79</v>
      </c>
      <c r="I2696">
        <v>2000</v>
      </c>
      <c r="J2696">
        <v>100</v>
      </c>
      <c r="K2696">
        <v>20000</v>
      </c>
      <c r="L2696" s="6">
        <v>366</v>
      </c>
      <c r="M2696">
        <v>5257.14</v>
      </c>
      <c r="N2696">
        <v>5000</v>
      </c>
      <c r="O2696">
        <v>300</v>
      </c>
      <c r="P2696">
        <v>16000</v>
      </c>
      <c r="Q2696" s="6">
        <v>142</v>
      </c>
      <c r="R2696">
        <v>345.67</v>
      </c>
      <c r="S2696">
        <v>200</v>
      </c>
      <c r="T2696">
        <v>50</v>
      </c>
      <c r="U2696">
        <v>3000</v>
      </c>
      <c r="V2696" s="6">
        <v>444</v>
      </c>
      <c r="W2696">
        <v>410.46</v>
      </c>
      <c r="X2696">
        <v>300</v>
      </c>
      <c r="Y2696">
        <v>30</v>
      </c>
      <c r="Z2696">
        <v>3000</v>
      </c>
      <c r="AA2696" s="6">
        <v>542</v>
      </c>
      <c r="AB2696">
        <v>713.32</v>
      </c>
      <c r="AC2696">
        <v>500</v>
      </c>
      <c r="AD2696">
        <v>100</v>
      </c>
      <c r="AE2696">
        <v>5000</v>
      </c>
      <c r="AF2696" s="6">
        <v>767</v>
      </c>
      <c r="AG2696">
        <v>517.65</v>
      </c>
      <c r="AH2696">
        <v>400</v>
      </c>
      <c r="AI2696">
        <v>100</v>
      </c>
      <c r="AJ2696">
        <v>5000</v>
      </c>
      <c r="AK2696" s="6">
        <v>294</v>
      </c>
      <c r="AL2696">
        <v>1765.76</v>
      </c>
      <c r="AM2696">
        <v>1500</v>
      </c>
      <c r="AN2696">
        <v>300</v>
      </c>
      <c r="AO2696">
        <v>9000</v>
      </c>
      <c r="AP2696" s="6">
        <v>985</v>
      </c>
      <c r="AQ2696">
        <v>1363.93</v>
      </c>
      <c r="AR2696">
        <v>500</v>
      </c>
      <c r="AS2696">
        <v>50</v>
      </c>
      <c r="AT2696">
        <v>30000</v>
      </c>
      <c r="AU2696" s="6">
        <v>547</v>
      </c>
      <c r="AV2696">
        <v>795.8</v>
      </c>
      <c r="AW2696">
        <v>500</v>
      </c>
      <c r="AX2696">
        <v>100</v>
      </c>
      <c r="AY2696">
        <v>3000</v>
      </c>
      <c r="AZ2696" s="6">
        <v>76</v>
      </c>
      <c r="BA2696">
        <v>479.56</v>
      </c>
      <c r="BB2696">
        <v>400</v>
      </c>
      <c r="BC2696">
        <v>50</v>
      </c>
      <c r="BD2696">
        <v>2800</v>
      </c>
      <c r="BE2696" s="6">
        <v>1011</v>
      </c>
      <c r="BF2696">
        <v>3002.38</v>
      </c>
      <c r="BG2696">
        <v>2000</v>
      </c>
      <c r="BH2696">
        <v>400</v>
      </c>
      <c r="BI2696">
        <v>10000</v>
      </c>
      <c r="BJ2696" s="6">
        <v>41</v>
      </c>
      <c r="BK2696">
        <v>3338.86</v>
      </c>
      <c r="BL2696">
        <v>1800</v>
      </c>
      <c r="BM2696">
        <v>100</v>
      </c>
      <c r="BN2696">
        <v>28000</v>
      </c>
      <c r="BO2696" s="6">
        <v>146</v>
      </c>
      <c r="BP2696">
        <v>1130.54</v>
      </c>
      <c r="BQ2696">
        <v>500</v>
      </c>
      <c r="BR2696">
        <v>50</v>
      </c>
      <c r="BS2696">
        <v>10000</v>
      </c>
      <c r="BT2696" s="6">
        <v>491</v>
      </c>
      <c r="BU2696">
        <v>2229.39</v>
      </c>
      <c r="BV2696">
        <v>1200</v>
      </c>
      <c r="BW2696">
        <v>100</v>
      </c>
      <c r="BX2696">
        <v>10000</v>
      </c>
      <c r="BY2696" s="6">
        <v>52</v>
      </c>
      <c r="BZ2696">
        <v>1011</v>
      </c>
    </row>
    <row r="2697" spans="1:78" x14ac:dyDescent="0.35">
      <c r="A2697" t="s">
        <v>227</v>
      </c>
      <c r="B2697" t="s">
        <v>261</v>
      </c>
      <c r="C2697">
        <v>9650.9500000000007</v>
      </c>
      <c r="D2697">
        <v>8000</v>
      </c>
      <c r="E2697">
        <v>300</v>
      </c>
      <c r="F2697">
        <v>30000</v>
      </c>
      <c r="G2697" s="6">
        <v>904</v>
      </c>
      <c r="H2697">
        <v>4496.3999999999996</v>
      </c>
      <c r="I2697">
        <v>3000</v>
      </c>
      <c r="J2697">
        <v>100</v>
      </c>
      <c r="K2697">
        <v>30000</v>
      </c>
      <c r="L2697" s="6">
        <v>477</v>
      </c>
      <c r="M2697">
        <v>6376.1</v>
      </c>
      <c r="N2697">
        <v>5700</v>
      </c>
      <c r="O2697">
        <v>183</v>
      </c>
      <c r="P2697">
        <v>16000</v>
      </c>
      <c r="Q2697" s="6">
        <v>133</v>
      </c>
      <c r="R2697">
        <v>568.44000000000005</v>
      </c>
      <c r="S2697">
        <v>400</v>
      </c>
      <c r="T2697">
        <v>50</v>
      </c>
      <c r="U2697">
        <v>3000</v>
      </c>
      <c r="V2697" s="6">
        <v>497</v>
      </c>
      <c r="W2697">
        <v>628.9</v>
      </c>
      <c r="X2697">
        <v>500</v>
      </c>
      <c r="Y2697">
        <v>50</v>
      </c>
      <c r="Z2697">
        <v>3000</v>
      </c>
      <c r="AA2697" s="6">
        <v>560</v>
      </c>
      <c r="AB2697">
        <v>998.13</v>
      </c>
      <c r="AC2697">
        <v>700</v>
      </c>
      <c r="AD2697">
        <v>100</v>
      </c>
      <c r="AE2697">
        <v>5000</v>
      </c>
      <c r="AF2697" s="6">
        <v>780</v>
      </c>
      <c r="AG2697">
        <v>765.94</v>
      </c>
      <c r="AH2697">
        <v>500</v>
      </c>
      <c r="AI2697">
        <v>100</v>
      </c>
      <c r="AJ2697">
        <v>5000</v>
      </c>
      <c r="AK2697" s="6">
        <v>374</v>
      </c>
      <c r="AL2697">
        <v>2434.65</v>
      </c>
      <c r="AM2697">
        <v>2100</v>
      </c>
      <c r="AN2697">
        <v>300</v>
      </c>
      <c r="AO2697">
        <v>9100</v>
      </c>
      <c r="AP2697" s="6">
        <v>945</v>
      </c>
      <c r="AQ2697">
        <v>2890.4</v>
      </c>
      <c r="AR2697">
        <v>2000</v>
      </c>
      <c r="AS2697">
        <v>50</v>
      </c>
      <c r="AT2697">
        <v>30000</v>
      </c>
      <c r="AU2697" s="6">
        <v>645</v>
      </c>
      <c r="AV2697">
        <v>792.57</v>
      </c>
      <c r="AW2697">
        <v>500</v>
      </c>
      <c r="AX2697">
        <v>100</v>
      </c>
      <c r="AY2697">
        <v>3000</v>
      </c>
      <c r="AZ2697" s="6">
        <v>131</v>
      </c>
      <c r="BA2697">
        <v>736.54</v>
      </c>
      <c r="BB2697">
        <v>650</v>
      </c>
      <c r="BC2697">
        <v>100</v>
      </c>
      <c r="BD2697">
        <v>2500</v>
      </c>
      <c r="BE2697" s="6">
        <v>951</v>
      </c>
      <c r="BF2697">
        <v>3064.59</v>
      </c>
      <c r="BG2697">
        <v>2000</v>
      </c>
      <c r="BH2697">
        <v>200</v>
      </c>
      <c r="BI2697">
        <v>10000</v>
      </c>
      <c r="BJ2697" s="6">
        <v>72</v>
      </c>
      <c r="BK2697">
        <v>6319.12</v>
      </c>
      <c r="BL2697">
        <v>2000</v>
      </c>
      <c r="BM2697">
        <v>100</v>
      </c>
      <c r="BN2697">
        <v>30000</v>
      </c>
      <c r="BO2697" s="6">
        <v>211</v>
      </c>
      <c r="BP2697">
        <v>1409.98</v>
      </c>
      <c r="BQ2697">
        <v>600</v>
      </c>
      <c r="BR2697">
        <v>50</v>
      </c>
      <c r="BS2697">
        <v>30000</v>
      </c>
      <c r="BT2697" s="6">
        <v>544</v>
      </c>
      <c r="BU2697">
        <v>4557.32</v>
      </c>
      <c r="BV2697">
        <v>3500</v>
      </c>
      <c r="BW2697">
        <v>200</v>
      </c>
      <c r="BX2697">
        <v>10000</v>
      </c>
      <c r="BY2697" s="6">
        <v>48</v>
      </c>
      <c r="BZ2697">
        <v>951</v>
      </c>
    </row>
    <row r="2698" spans="1:78" x14ac:dyDescent="0.35">
      <c r="A2698" s="3" t="s">
        <v>227</v>
      </c>
      <c r="B2698" s="3" t="s">
        <v>232</v>
      </c>
      <c r="C2698" s="5">
        <v>6500</v>
      </c>
      <c r="D2698" s="5">
        <v>3000</v>
      </c>
      <c r="E2698" s="5">
        <v>3000</v>
      </c>
      <c r="F2698" s="5">
        <v>10000</v>
      </c>
      <c r="G2698" s="5">
        <v>2</v>
      </c>
      <c r="H2698" s="5">
        <v>3100</v>
      </c>
      <c r="I2698" s="5">
        <v>200</v>
      </c>
      <c r="J2698" s="5">
        <v>200</v>
      </c>
      <c r="K2698" s="5">
        <v>6000</v>
      </c>
      <c r="L2698" s="5">
        <v>2</v>
      </c>
      <c r="M2698" s="5"/>
      <c r="N2698" s="5"/>
      <c r="O2698" s="5"/>
      <c r="P2698" s="5"/>
      <c r="Q2698" s="5"/>
      <c r="R2698" s="5">
        <v>1800</v>
      </c>
      <c r="S2698" s="5">
        <v>1800</v>
      </c>
      <c r="T2698" s="5">
        <v>1800</v>
      </c>
      <c r="U2698" s="5">
        <v>1800</v>
      </c>
      <c r="V2698" s="5">
        <v>1</v>
      </c>
      <c r="W2698" s="5">
        <v>350</v>
      </c>
      <c r="X2698" s="5">
        <v>350</v>
      </c>
      <c r="Y2698" s="5">
        <v>350</v>
      </c>
      <c r="Z2698" s="5">
        <v>350</v>
      </c>
      <c r="AA2698" s="5">
        <v>1</v>
      </c>
      <c r="AB2698" s="5">
        <v>800</v>
      </c>
      <c r="AC2698" s="5">
        <v>600</v>
      </c>
      <c r="AD2698" s="5">
        <v>600</v>
      </c>
      <c r="AE2698" s="5">
        <v>1000</v>
      </c>
      <c r="AF2698" s="5">
        <v>2</v>
      </c>
      <c r="AG2698" s="5">
        <v>1500</v>
      </c>
      <c r="AH2698" s="5">
        <v>1500</v>
      </c>
      <c r="AI2698" s="5">
        <v>1500</v>
      </c>
      <c r="AJ2698" s="5">
        <v>1500</v>
      </c>
      <c r="AK2698" s="5">
        <v>1</v>
      </c>
      <c r="AL2698" s="5">
        <v>1462.5</v>
      </c>
      <c r="AM2698" s="5">
        <v>1425</v>
      </c>
      <c r="AN2698" s="5">
        <v>1425</v>
      </c>
      <c r="AO2698" s="5">
        <v>1500</v>
      </c>
      <c r="AP2698" s="5">
        <v>2</v>
      </c>
      <c r="AQ2698" s="5">
        <v>1210</v>
      </c>
      <c r="AR2698" s="5">
        <v>920</v>
      </c>
      <c r="AS2698" s="5">
        <v>920</v>
      </c>
      <c r="AT2698" s="5">
        <v>1500</v>
      </c>
      <c r="AU2698" s="5">
        <v>2</v>
      </c>
      <c r="AV2698" s="5"/>
      <c r="AW2698" s="5"/>
      <c r="AX2698" s="5"/>
      <c r="AY2698" s="5"/>
      <c r="AZ2698" s="5"/>
      <c r="BA2698" s="5">
        <v>425</v>
      </c>
      <c r="BB2698" s="5">
        <v>300</v>
      </c>
      <c r="BC2698" s="5">
        <v>300</v>
      </c>
      <c r="BD2698" s="5">
        <v>550</v>
      </c>
      <c r="BE2698" s="5">
        <v>2</v>
      </c>
      <c r="BF2698" s="5"/>
      <c r="BG2698" s="5"/>
      <c r="BH2698" s="5"/>
      <c r="BI2698" s="5"/>
      <c r="BJ2698" s="5"/>
      <c r="BK2698" s="5">
        <v>900</v>
      </c>
      <c r="BL2698" s="5">
        <v>900</v>
      </c>
      <c r="BM2698" s="5">
        <v>900</v>
      </c>
      <c r="BN2698" s="5">
        <v>900</v>
      </c>
      <c r="BO2698" s="5">
        <v>1</v>
      </c>
      <c r="BP2698" s="5">
        <v>750</v>
      </c>
      <c r="BQ2698" s="5">
        <v>500</v>
      </c>
      <c r="BR2698" s="5">
        <v>500</v>
      </c>
      <c r="BS2698" s="5">
        <v>1000</v>
      </c>
      <c r="BT2698" s="5">
        <v>2</v>
      </c>
      <c r="BU2698" s="5">
        <v>1497.5</v>
      </c>
      <c r="BV2698" s="5">
        <v>400</v>
      </c>
      <c r="BW2698" s="5">
        <v>400</v>
      </c>
      <c r="BX2698" s="5">
        <v>2595</v>
      </c>
      <c r="BY2698" s="5">
        <v>2</v>
      </c>
      <c r="BZ2698" s="5">
        <v>2</v>
      </c>
    </row>
    <row r="2699" spans="1:78" x14ac:dyDescent="0.35">
      <c r="A2699" t="s">
        <v>228</v>
      </c>
      <c r="B2699" t="s">
        <v>228</v>
      </c>
      <c r="C2699">
        <v>7868.72</v>
      </c>
      <c r="D2699">
        <v>6000</v>
      </c>
      <c r="E2699">
        <v>200</v>
      </c>
      <c r="F2699">
        <v>30000</v>
      </c>
      <c r="G2699" s="6">
        <v>2369</v>
      </c>
      <c r="H2699">
        <v>4052.31</v>
      </c>
      <c r="I2699">
        <v>3000</v>
      </c>
      <c r="J2699">
        <v>100</v>
      </c>
      <c r="K2699">
        <v>60000</v>
      </c>
      <c r="L2699" s="6">
        <v>1077</v>
      </c>
      <c r="M2699">
        <v>5938.14</v>
      </c>
      <c r="N2699">
        <v>5000</v>
      </c>
      <c r="O2699">
        <v>183</v>
      </c>
      <c r="P2699">
        <v>16000</v>
      </c>
      <c r="Q2699" s="6">
        <v>345</v>
      </c>
      <c r="R2699">
        <v>468.12</v>
      </c>
      <c r="S2699">
        <v>300</v>
      </c>
      <c r="T2699">
        <v>50</v>
      </c>
      <c r="U2699">
        <v>3000</v>
      </c>
      <c r="V2699" s="6">
        <v>1180</v>
      </c>
      <c r="W2699">
        <v>542.04</v>
      </c>
      <c r="X2699">
        <v>401</v>
      </c>
      <c r="Y2699">
        <v>30</v>
      </c>
      <c r="Z2699">
        <v>3000</v>
      </c>
      <c r="AA2699" s="6">
        <v>1265</v>
      </c>
      <c r="AB2699">
        <v>868.78</v>
      </c>
      <c r="AC2699">
        <v>500</v>
      </c>
      <c r="AD2699">
        <v>100</v>
      </c>
      <c r="AE2699">
        <v>5000</v>
      </c>
      <c r="AF2699" s="6">
        <v>1926</v>
      </c>
      <c r="AG2699">
        <v>667.4</v>
      </c>
      <c r="AH2699">
        <v>500</v>
      </c>
      <c r="AI2699">
        <v>100</v>
      </c>
      <c r="AJ2699">
        <v>5000</v>
      </c>
      <c r="AK2699" s="6">
        <v>856</v>
      </c>
      <c r="AL2699">
        <v>2130.96</v>
      </c>
      <c r="AM2699">
        <v>2000</v>
      </c>
      <c r="AN2699">
        <v>300</v>
      </c>
      <c r="AO2699">
        <v>9100</v>
      </c>
      <c r="AP2699" s="6">
        <v>2431</v>
      </c>
      <c r="AQ2699">
        <v>2285.5300000000002</v>
      </c>
      <c r="AR2699">
        <v>1000</v>
      </c>
      <c r="AS2699">
        <v>50</v>
      </c>
      <c r="AT2699">
        <v>30000</v>
      </c>
      <c r="AU2699" s="6">
        <v>1520</v>
      </c>
      <c r="AV2699">
        <v>776.74</v>
      </c>
      <c r="AW2699">
        <v>500</v>
      </c>
      <c r="AX2699">
        <v>100</v>
      </c>
      <c r="AY2699">
        <v>3000</v>
      </c>
      <c r="AZ2699" s="6">
        <v>266</v>
      </c>
      <c r="BA2699">
        <v>615.85</v>
      </c>
      <c r="BB2699">
        <v>500</v>
      </c>
      <c r="BC2699">
        <v>50</v>
      </c>
      <c r="BD2699">
        <v>2800</v>
      </c>
      <c r="BE2699" s="6">
        <v>2479</v>
      </c>
      <c r="BF2699">
        <v>3040.04</v>
      </c>
      <c r="BG2699">
        <v>2000</v>
      </c>
      <c r="BH2699">
        <v>200</v>
      </c>
      <c r="BI2699">
        <v>10000</v>
      </c>
      <c r="BJ2699" s="6">
        <v>132</v>
      </c>
      <c r="BK2699">
        <v>4895.0200000000004</v>
      </c>
      <c r="BL2699">
        <v>2000</v>
      </c>
      <c r="BM2699">
        <v>100</v>
      </c>
      <c r="BN2699">
        <v>30000</v>
      </c>
      <c r="BO2699" s="6">
        <v>461</v>
      </c>
      <c r="BP2699">
        <v>1288.5999999999999</v>
      </c>
      <c r="BQ2699">
        <v>600</v>
      </c>
      <c r="BR2699">
        <v>50</v>
      </c>
      <c r="BS2699">
        <v>30000</v>
      </c>
      <c r="BT2699" s="6">
        <v>1296</v>
      </c>
      <c r="BU2699">
        <v>3251.2</v>
      </c>
      <c r="BV2699">
        <v>2500</v>
      </c>
      <c r="BW2699">
        <v>100</v>
      </c>
      <c r="BX2699">
        <v>10000</v>
      </c>
      <c r="BY2699" s="6">
        <v>124</v>
      </c>
      <c r="BZ2699">
        <v>2479</v>
      </c>
    </row>
    <row r="2701" spans="1:78" x14ac:dyDescent="0.35">
      <c r="A2701" s="1" t="s">
        <v>962</v>
      </c>
    </row>
    <row r="2702" spans="1:78" x14ac:dyDescent="0.35">
      <c r="A2702" t="s">
        <v>219</v>
      </c>
      <c r="B2702" t="s">
        <v>301</v>
      </c>
      <c r="C2702" t="s">
        <v>882</v>
      </c>
      <c r="D2702" t="s">
        <v>883</v>
      </c>
      <c r="E2702" t="s">
        <v>884</v>
      </c>
      <c r="F2702" t="s">
        <v>885</v>
      </c>
      <c r="G2702" t="s">
        <v>886</v>
      </c>
      <c r="H2702" t="s">
        <v>887</v>
      </c>
      <c r="I2702" t="s">
        <v>888</v>
      </c>
      <c r="J2702" t="s">
        <v>889</v>
      </c>
      <c r="K2702" t="s">
        <v>890</v>
      </c>
      <c r="L2702" t="s">
        <v>891</v>
      </c>
      <c r="M2702" t="s">
        <v>892</v>
      </c>
      <c r="N2702" t="s">
        <v>893</v>
      </c>
      <c r="O2702" t="s">
        <v>894</v>
      </c>
      <c r="P2702" t="s">
        <v>895</v>
      </c>
      <c r="Q2702" t="s">
        <v>896</v>
      </c>
      <c r="R2702" t="s">
        <v>897</v>
      </c>
      <c r="S2702" t="s">
        <v>898</v>
      </c>
      <c r="T2702" t="s">
        <v>899</v>
      </c>
      <c r="U2702" t="s">
        <v>900</v>
      </c>
      <c r="V2702" t="s">
        <v>901</v>
      </c>
      <c r="W2702" t="s">
        <v>902</v>
      </c>
      <c r="X2702" t="s">
        <v>903</v>
      </c>
      <c r="Y2702" t="s">
        <v>904</v>
      </c>
      <c r="Z2702" t="s">
        <v>905</v>
      </c>
      <c r="AA2702" t="s">
        <v>906</v>
      </c>
      <c r="AB2702" t="s">
        <v>907</v>
      </c>
      <c r="AC2702" t="s">
        <v>908</v>
      </c>
      <c r="AD2702" t="s">
        <v>909</v>
      </c>
      <c r="AE2702" t="s">
        <v>910</v>
      </c>
      <c r="AF2702" t="s">
        <v>911</v>
      </c>
      <c r="AG2702" t="s">
        <v>912</v>
      </c>
      <c r="AH2702" t="s">
        <v>913</v>
      </c>
      <c r="AI2702" t="s">
        <v>914</v>
      </c>
      <c r="AJ2702" t="s">
        <v>915</v>
      </c>
      <c r="AK2702" t="s">
        <v>916</v>
      </c>
      <c r="AL2702" t="s">
        <v>917</v>
      </c>
      <c r="AM2702" t="s">
        <v>918</v>
      </c>
      <c r="AN2702" t="s">
        <v>919</v>
      </c>
      <c r="AO2702" t="s">
        <v>920</v>
      </c>
      <c r="AP2702" t="s">
        <v>921</v>
      </c>
      <c r="AQ2702" t="s">
        <v>922</v>
      </c>
      <c r="AR2702" t="s">
        <v>923</v>
      </c>
      <c r="AS2702" t="s">
        <v>924</v>
      </c>
      <c r="AT2702" t="s">
        <v>925</v>
      </c>
      <c r="AU2702" t="s">
        <v>926</v>
      </c>
      <c r="AV2702" t="s">
        <v>927</v>
      </c>
      <c r="AW2702" t="s">
        <v>928</v>
      </c>
      <c r="AX2702" t="s">
        <v>929</v>
      </c>
      <c r="AY2702" t="s">
        <v>930</v>
      </c>
      <c r="AZ2702" t="s">
        <v>931</v>
      </c>
      <c r="BA2702" t="s">
        <v>932</v>
      </c>
      <c r="BB2702" t="s">
        <v>933</v>
      </c>
      <c r="BC2702" t="s">
        <v>934</v>
      </c>
      <c r="BD2702" t="s">
        <v>935</v>
      </c>
      <c r="BE2702" t="s">
        <v>936</v>
      </c>
      <c r="BF2702" t="s">
        <v>937</v>
      </c>
      <c r="BG2702" t="s">
        <v>938</v>
      </c>
      <c r="BH2702" t="s">
        <v>939</v>
      </c>
      <c r="BI2702" t="s">
        <v>940</v>
      </c>
      <c r="BJ2702" t="s">
        <v>941</v>
      </c>
      <c r="BK2702" t="s">
        <v>942</v>
      </c>
      <c r="BL2702" t="s">
        <v>943</v>
      </c>
      <c r="BM2702" t="s">
        <v>944</v>
      </c>
      <c r="BN2702" t="s">
        <v>945</v>
      </c>
      <c r="BO2702" t="s">
        <v>946</v>
      </c>
      <c r="BP2702" t="s">
        <v>947</v>
      </c>
      <c r="BQ2702" t="s">
        <v>948</v>
      </c>
      <c r="BR2702" t="s">
        <v>949</v>
      </c>
      <c r="BS2702" t="s">
        <v>950</v>
      </c>
      <c r="BT2702" t="s">
        <v>951</v>
      </c>
      <c r="BU2702" t="s">
        <v>952</v>
      </c>
      <c r="BV2702" t="s">
        <v>953</v>
      </c>
      <c r="BW2702" t="s">
        <v>954</v>
      </c>
      <c r="BX2702" t="s">
        <v>955</v>
      </c>
      <c r="BY2702" t="s">
        <v>956</v>
      </c>
      <c r="BZ2702" t="s">
        <v>957</v>
      </c>
    </row>
    <row r="2703" spans="1:78" x14ac:dyDescent="0.35">
      <c r="A2703" t="s">
        <v>227</v>
      </c>
      <c r="B2703" t="s">
        <v>248</v>
      </c>
      <c r="C2703">
        <v>4615.26</v>
      </c>
      <c r="D2703">
        <v>3000</v>
      </c>
      <c r="E2703">
        <v>200</v>
      </c>
      <c r="F2703">
        <v>26000</v>
      </c>
      <c r="G2703" s="6">
        <v>648</v>
      </c>
      <c r="H2703">
        <v>2344.35</v>
      </c>
      <c r="I2703">
        <v>1400</v>
      </c>
      <c r="J2703">
        <v>100</v>
      </c>
      <c r="K2703">
        <v>10000</v>
      </c>
      <c r="L2703" s="6">
        <v>127</v>
      </c>
      <c r="M2703">
        <v>4012.26</v>
      </c>
      <c r="N2703">
        <v>3500</v>
      </c>
      <c r="O2703">
        <v>183</v>
      </c>
      <c r="P2703">
        <v>12000</v>
      </c>
      <c r="Q2703" s="6">
        <v>68</v>
      </c>
      <c r="R2703">
        <v>254.26</v>
      </c>
      <c r="S2703">
        <v>200</v>
      </c>
      <c r="T2703">
        <v>50</v>
      </c>
      <c r="U2703">
        <v>1800</v>
      </c>
      <c r="V2703" s="6">
        <v>257</v>
      </c>
      <c r="W2703">
        <v>345.64</v>
      </c>
      <c r="X2703">
        <v>300</v>
      </c>
      <c r="Y2703">
        <v>50</v>
      </c>
      <c r="Z2703">
        <v>1500</v>
      </c>
      <c r="AA2703" s="6">
        <v>165</v>
      </c>
      <c r="AB2703">
        <v>513.36</v>
      </c>
      <c r="AC2703">
        <v>320</v>
      </c>
      <c r="AD2703">
        <v>100</v>
      </c>
      <c r="AE2703">
        <v>5000</v>
      </c>
      <c r="AF2703" s="6">
        <v>463</v>
      </c>
      <c r="AG2703">
        <v>423.38</v>
      </c>
      <c r="AH2703">
        <v>250</v>
      </c>
      <c r="AI2703">
        <v>100</v>
      </c>
      <c r="AJ2703">
        <v>4000</v>
      </c>
      <c r="AK2703" s="6">
        <v>162</v>
      </c>
      <c r="AL2703">
        <v>1667.98</v>
      </c>
      <c r="AM2703">
        <v>1500</v>
      </c>
      <c r="AN2703">
        <v>300</v>
      </c>
      <c r="AO2703">
        <v>8000</v>
      </c>
      <c r="AP2703" s="6">
        <v>669</v>
      </c>
      <c r="AQ2703">
        <v>801.89</v>
      </c>
      <c r="AR2703">
        <v>400</v>
      </c>
      <c r="AS2703">
        <v>50</v>
      </c>
      <c r="AT2703">
        <v>20000</v>
      </c>
      <c r="AU2703" s="6">
        <v>285</v>
      </c>
      <c r="AV2703">
        <v>707.76</v>
      </c>
      <c r="AW2703">
        <v>500</v>
      </c>
      <c r="AX2703">
        <v>100</v>
      </c>
      <c r="AY2703">
        <v>2000</v>
      </c>
      <c r="AZ2703" s="6">
        <v>54</v>
      </c>
      <c r="BA2703">
        <v>417.36</v>
      </c>
      <c r="BB2703">
        <v>350</v>
      </c>
      <c r="BC2703">
        <v>50</v>
      </c>
      <c r="BD2703">
        <v>2800</v>
      </c>
      <c r="BE2703" s="6">
        <v>673</v>
      </c>
      <c r="BF2703">
        <v>2271.3000000000002</v>
      </c>
      <c r="BG2703">
        <v>3000</v>
      </c>
      <c r="BH2703">
        <v>700</v>
      </c>
      <c r="BI2703">
        <v>7000</v>
      </c>
      <c r="BJ2703" s="6">
        <v>10</v>
      </c>
      <c r="BK2703">
        <v>2934.67</v>
      </c>
      <c r="BL2703">
        <v>2000</v>
      </c>
      <c r="BM2703">
        <v>100</v>
      </c>
      <c r="BN2703">
        <v>10000</v>
      </c>
      <c r="BO2703" s="6">
        <v>17</v>
      </c>
      <c r="BP2703">
        <v>715.14</v>
      </c>
      <c r="BQ2703">
        <v>400</v>
      </c>
      <c r="BR2703">
        <v>50</v>
      </c>
      <c r="BS2703">
        <v>20000</v>
      </c>
      <c r="BT2703" s="6">
        <v>299</v>
      </c>
      <c r="BU2703">
        <v>1817.01</v>
      </c>
      <c r="BV2703">
        <v>1500</v>
      </c>
      <c r="BW2703">
        <v>300</v>
      </c>
      <c r="BX2703">
        <v>6000</v>
      </c>
      <c r="BY2703" s="6">
        <v>37</v>
      </c>
      <c r="BZ2703">
        <v>673</v>
      </c>
    </row>
    <row r="2704" spans="1:78" x14ac:dyDescent="0.35">
      <c r="A2704" t="s">
        <v>227</v>
      </c>
      <c r="B2704" t="s">
        <v>249</v>
      </c>
      <c r="C2704">
        <v>8692.69</v>
      </c>
      <c r="D2704">
        <v>7000</v>
      </c>
      <c r="E2704">
        <v>200</v>
      </c>
      <c r="F2704">
        <v>30000</v>
      </c>
      <c r="G2704" s="6">
        <v>450</v>
      </c>
      <c r="H2704">
        <v>3761.67</v>
      </c>
      <c r="I2704">
        <v>3000</v>
      </c>
      <c r="J2704">
        <v>100</v>
      </c>
      <c r="K2704">
        <v>30000</v>
      </c>
      <c r="L2704" s="6">
        <v>195</v>
      </c>
      <c r="M2704">
        <v>7064.14</v>
      </c>
      <c r="N2704">
        <v>6000</v>
      </c>
      <c r="O2704">
        <v>289</v>
      </c>
      <c r="P2704">
        <v>16000</v>
      </c>
      <c r="Q2704" s="6">
        <v>54</v>
      </c>
      <c r="R2704">
        <v>492.36</v>
      </c>
      <c r="S2704">
        <v>300</v>
      </c>
      <c r="T2704">
        <v>50</v>
      </c>
      <c r="U2704">
        <v>3000</v>
      </c>
      <c r="V2704" s="6">
        <v>223</v>
      </c>
      <c r="W2704">
        <v>542.44000000000005</v>
      </c>
      <c r="X2704">
        <v>500</v>
      </c>
      <c r="Y2704">
        <v>50</v>
      </c>
      <c r="Z2704">
        <v>3000</v>
      </c>
      <c r="AA2704" s="6">
        <v>260</v>
      </c>
      <c r="AB2704">
        <v>865.36</v>
      </c>
      <c r="AC2704">
        <v>500</v>
      </c>
      <c r="AD2704">
        <v>100</v>
      </c>
      <c r="AE2704">
        <v>5000</v>
      </c>
      <c r="AF2704" s="6">
        <v>372</v>
      </c>
      <c r="AG2704">
        <v>660.68</v>
      </c>
      <c r="AH2704">
        <v>500</v>
      </c>
      <c r="AI2704">
        <v>100</v>
      </c>
      <c r="AJ2704">
        <v>5000</v>
      </c>
      <c r="AK2704" s="6">
        <v>168</v>
      </c>
      <c r="AL2704">
        <v>2426.08</v>
      </c>
      <c r="AM2704">
        <v>2000</v>
      </c>
      <c r="AN2704">
        <v>300</v>
      </c>
      <c r="AO2704">
        <v>7500</v>
      </c>
      <c r="AP2704" s="6">
        <v>479</v>
      </c>
      <c r="AQ2704">
        <v>2487.0100000000002</v>
      </c>
      <c r="AR2704">
        <v>1000</v>
      </c>
      <c r="AS2704">
        <v>50</v>
      </c>
      <c r="AT2704">
        <v>30000</v>
      </c>
      <c r="AU2704" s="6">
        <v>306</v>
      </c>
      <c r="AV2704">
        <v>884.02</v>
      </c>
      <c r="AW2704">
        <v>650</v>
      </c>
      <c r="AX2704">
        <v>100</v>
      </c>
      <c r="AY2704">
        <v>3000</v>
      </c>
      <c r="AZ2704" s="6">
        <v>62</v>
      </c>
      <c r="BA2704">
        <v>771.07</v>
      </c>
      <c r="BB2704">
        <v>650</v>
      </c>
      <c r="BC2704">
        <v>100</v>
      </c>
      <c r="BD2704">
        <v>2800</v>
      </c>
      <c r="BE2704" s="6">
        <v>476</v>
      </c>
      <c r="BF2704">
        <v>2282.1999999999998</v>
      </c>
      <c r="BG2704">
        <v>2000</v>
      </c>
      <c r="BH2704">
        <v>200</v>
      </c>
      <c r="BI2704">
        <v>10000</v>
      </c>
      <c r="BJ2704" s="6">
        <v>32</v>
      </c>
      <c r="BK2704">
        <v>6510.59</v>
      </c>
      <c r="BL2704">
        <v>1500</v>
      </c>
      <c r="BM2704">
        <v>100</v>
      </c>
      <c r="BN2704">
        <v>30000</v>
      </c>
      <c r="BO2704" s="6">
        <v>74</v>
      </c>
      <c r="BP2704">
        <v>1335.61</v>
      </c>
      <c r="BQ2704">
        <v>700</v>
      </c>
      <c r="BR2704">
        <v>50</v>
      </c>
      <c r="BS2704">
        <v>20000</v>
      </c>
      <c r="BT2704" s="6">
        <v>277</v>
      </c>
      <c r="BU2704">
        <v>3390.97</v>
      </c>
      <c r="BV2704">
        <v>2595</v>
      </c>
      <c r="BW2704">
        <v>200</v>
      </c>
      <c r="BX2704">
        <v>10000</v>
      </c>
      <c r="BY2704" s="6">
        <v>27</v>
      </c>
      <c r="BZ2704">
        <v>479</v>
      </c>
    </row>
    <row r="2705" spans="1:78" x14ac:dyDescent="0.35">
      <c r="A2705" t="s">
        <v>227</v>
      </c>
      <c r="B2705" t="s">
        <v>247</v>
      </c>
      <c r="C2705">
        <v>9184.5499999999993</v>
      </c>
      <c r="D2705">
        <v>7000</v>
      </c>
      <c r="E2705">
        <v>200</v>
      </c>
      <c r="F2705">
        <v>30000</v>
      </c>
      <c r="G2705" s="6">
        <v>1271</v>
      </c>
      <c r="H2705">
        <v>4422.72</v>
      </c>
      <c r="I2705">
        <v>3000</v>
      </c>
      <c r="J2705">
        <v>100</v>
      </c>
      <c r="K2705">
        <v>60000</v>
      </c>
      <c r="L2705" s="6">
        <v>755</v>
      </c>
      <c r="M2705">
        <v>6417.9</v>
      </c>
      <c r="N2705">
        <v>6000</v>
      </c>
      <c r="O2705">
        <v>300</v>
      </c>
      <c r="P2705">
        <v>16000</v>
      </c>
      <c r="Q2705" s="6">
        <v>223</v>
      </c>
      <c r="R2705">
        <v>536.12</v>
      </c>
      <c r="S2705">
        <v>360</v>
      </c>
      <c r="T2705">
        <v>50</v>
      </c>
      <c r="U2705">
        <v>3000</v>
      </c>
      <c r="V2705" s="6">
        <v>700</v>
      </c>
      <c r="W2705">
        <v>581.62</v>
      </c>
      <c r="X2705">
        <v>500</v>
      </c>
      <c r="Y2705">
        <v>30</v>
      </c>
      <c r="Z2705">
        <v>3000</v>
      </c>
      <c r="AA2705" s="6">
        <v>840</v>
      </c>
      <c r="AB2705">
        <v>1006.18</v>
      </c>
      <c r="AC2705">
        <v>800</v>
      </c>
      <c r="AD2705">
        <v>100</v>
      </c>
      <c r="AE2705">
        <v>5000</v>
      </c>
      <c r="AF2705" s="6">
        <v>1091</v>
      </c>
      <c r="AG2705">
        <v>738.14</v>
      </c>
      <c r="AH2705">
        <v>500</v>
      </c>
      <c r="AI2705">
        <v>100</v>
      </c>
      <c r="AJ2705">
        <v>5000</v>
      </c>
      <c r="AK2705" s="6">
        <v>526</v>
      </c>
      <c r="AL2705">
        <v>2260.71</v>
      </c>
      <c r="AM2705">
        <v>2000</v>
      </c>
      <c r="AN2705">
        <v>300</v>
      </c>
      <c r="AO2705">
        <v>9100</v>
      </c>
      <c r="AP2705" s="6">
        <v>1283</v>
      </c>
      <c r="AQ2705">
        <v>2664.41</v>
      </c>
      <c r="AR2705">
        <v>1000</v>
      </c>
      <c r="AS2705">
        <v>50</v>
      </c>
      <c r="AT2705">
        <v>30000</v>
      </c>
      <c r="AU2705" s="6">
        <v>929</v>
      </c>
      <c r="AV2705">
        <v>757.73</v>
      </c>
      <c r="AW2705">
        <v>500</v>
      </c>
      <c r="AX2705">
        <v>100</v>
      </c>
      <c r="AY2705">
        <v>3000</v>
      </c>
      <c r="AZ2705" s="6">
        <v>150</v>
      </c>
      <c r="BA2705">
        <v>657.37</v>
      </c>
      <c r="BB2705">
        <v>600</v>
      </c>
      <c r="BC2705">
        <v>50</v>
      </c>
      <c r="BD2705">
        <v>2500</v>
      </c>
      <c r="BE2705" s="6">
        <v>1330</v>
      </c>
      <c r="BF2705">
        <v>3366.88</v>
      </c>
      <c r="BG2705">
        <v>2000</v>
      </c>
      <c r="BH2705">
        <v>300</v>
      </c>
      <c r="BI2705">
        <v>10000</v>
      </c>
      <c r="BJ2705" s="6">
        <v>90</v>
      </c>
      <c r="BK2705">
        <v>4636.38</v>
      </c>
      <c r="BL2705">
        <v>2000</v>
      </c>
      <c r="BM2705">
        <v>100</v>
      </c>
      <c r="BN2705">
        <v>30000</v>
      </c>
      <c r="BO2705" s="6">
        <v>370</v>
      </c>
      <c r="BP2705">
        <v>1501.19</v>
      </c>
      <c r="BQ2705">
        <v>850</v>
      </c>
      <c r="BR2705">
        <v>50</v>
      </c>
      <c r="BS2705">
        <v>30000</v>
      </c>
      <c r="BT2705" s="6">
        <v>720</v>
      </c>
      <c r="BU2705">
        <v>4014.72</v>
      </c>
      <c r="BV2705">
        <v>3000</v>
      </c>
      <c r="BW2705">
        <v>100</v>
      </c>
      <c r="BX2705">
        <v>10000</v>
      </c>
      <c r="BY2705" s="6">
        <v>60</v>
      </c>
      <c r="BZ2705">
        <v>1330</v>
      </c>
    </row>
    <row r="2706" spans="1:78" x14ac:dyDescent="0.35">
      <c r="A2706" t="s">
        <v>228</v>
      </c>
      <c r="B2706" t="s">
        <v>228</v>
      </c>
      <c r="C2706">
        <v>7868.72</v>
      </c>
      <c r="D2706">
        <v>6000</v>
      </c>
      <c r="E2706">
        <v>200</v>
      </c>
      <c r="F2706">
        <v>30000</v>
      </c>
      <c r="G2706" s="6">
        <v>2369</v>
      </c>
      <c r="H2706">
        <v>4052.31</v>
      </c>
      <c r="I2706">
        <v>3000</v>
      </c>
      <c r="J2706">
        <v>100</v>
      </c>
      <c r="K2706">
        <v>60000</v>
      </c>
      <c r="L2706" s="6">
        <v>1077</v>
      </c>
      <c r="M2706">
        <v>5938.14</v>
      </c>
      <c r="N2706">
        <v>5000</v>
      </c>
      <c r="O2706">
        <v>183</v>
      </c>
      <c r="P2706">
        <v>16000</v>
      </c>
      <c r="Q2706" s="6">
        <v>345</v>
      </c>
      <c r="R2706">
        <v>468.12</v>
      </c>
      <c r="S2706">
        <v>300</v>
      </c>
      <c r="T2706">
        <v>50</v>
      </c>
      <c r="U2706">
        <v>3000</v>
      </c>
      <c r="V2706" s="6">
        <v>1180</v>
      </c>
      <c r="W2706">
        <v>542.04</v>
      </c>
      <c r="X2706">
        <v>401</v>
      </c>
      <c r="Y2706">
        <v>30</v>
      </c>
      <c r="Z2706">
        <v>3000</v>
      </c>
      <c r="AA2706" s="6">
        <v>1265</v>
      </c>
      <c r="AB2706">
        <v>868.78</v>
      </c>
      <c r="AC2706">
        <v>500</v>
      </c>
      <c r="AD2706">
        <v>100</v>
      </c>
      <c r="AE2706">
        <v>5000</v>
      </c>
      <c r="AF2706" s="6">
        <v>1926</v>
      </c>
      <c r="AG2706">
        <v>667.4</v>
      </c>
      <c r="AH2706">
        <v>500</v>
      </c>
      <c r="AI2706">
        <v>100</v>
      </c>
      <c r="AJ2706">
        <v>5000</v>
      </c>
      <c r="AK2706" s="6">
        <v>856</v>
      </c>
      <c r="AL2706">
        <v>2130.96</v>
      </c>
      <c r="AM2706">
        <v>2000</v>
      </c>
      <c r="AN2706">
        <v>300</v>
      </c>
      <c r="AO2706">
        <v>9100</v>
      </c>
      <c r="AP2706" s="6">
        <v>2431</v>
      </c>
      <c r="AQ2706">
        <v>2285.5300000000002</v>
      </c>
      <c r="AR2706">
        <v>1000</v>
      </c>
      <c r="AS2706">
        <v>50</v>
      </c>
      <c r="AT2706">
        <v>30000</v>
      </c>
      <c r="AU2706" s="6">
        <v>1520</v>
      </c>
      <c r="AV2706">
        <v>776.74</v>
      </c>
      <c r="AW2706">
        <v>500</v>
      </c>
      <c r="AX2706">
        <v>100</v>
      </c>
      <c r="AY2706">
        <v>3000</v>
      </c>
      <c r="AZ2706" s="6">
        <v>266</v>
      </c>
      <c r="BA2706">
        <v>615.85</v>
      </c>
      <c r="BB2706">
        <v>500</v>
      </c>
      <c r="BC2706">
        <v>50</v>
      </c>
      <c r="BD2706">
        <v>2800</v>
      </c>
      <c r="BE2706" s="6">
        <v>2479</v>
      </c>
      <c r="BF2706">
        <v>3040.04</v>
      </c>
      <c r="BG2706">
        <v>2000</v>
      </c>
      <c r="BH2706">
        <v>200</v>
      </c>
      <c r="BI2706">
        <v>10000</v>
      </c>
      <c r="BJ2706" s="6">
        <v>132</v>
      </c>
      <c r="BK2706">
        <v>4895.0200000000004</v>
      </c>
      <c r="BL2706">
        <v>2000</v>
      </c>
      <c r="BM2706">
        <v>100</v>
      </c>
      <c r="BN2706">
        <v>30000</v>
      </c>
      <c r="BO2706" s="6">
        <v>461</v>
      </c>
      <c r="BP2706">
        <v>1288.5999999999999</v>
      </c>
      <c r="BQ2706">
        <v>600</v>
      </c>
      <c r="BR2706">
        <v>50</v>
      </c>
      <c r="BS2706">
        <v>30000</v>
      </c>
      <c r="BT2706" s="6">
        <v>1296</v>
      </c>
      <c r="BU2706">
        <v>3251.2</v>
      </c>
      <c r="BV2706">
        <v>2500</v>
      </c>
      <c r="BW2706">
        <v>100</v>
      </c>
      <c r="BX2706">
        <v>10000</v>
      </c>
      <c r="BY2706" s="6">
        <v>124</v>
      </c>
      <c r="BZ2706">
        <v>2479</v>
      </c>
    </row>
    <row r="2708" spans="1:78" x14ac:dyDescent="0.35">
      <c r="A2708" s="1" t="s">
        <v>963</v>
      </c>
    </row>
    <row r="2709" spans="1:78" x14ac:dyDescent="0.35">
      <c r="A2709" t="s">
        <v>219</v>
      </c>
      <c r="B2709" t="s">
        <v>301</v>
      </c>
      <c r="C2709" t="s">
        <v>882</v>
      </c>
      <c r="D2709" t="s">
        <v>883</v>
      </c>
      <c r="E2709" t="s">
        <v>884</v>
      </c>
      <c r="F2709" t="s">
        <v>885</v>
      </c>
      <c r="G2709" t="s">
        <v>886</v>
      </c>
      <c r="H2709" t="s">
        <v>887</v>
      </c>
      <c r="I2709" t="s">
        <v>888</v>
      </c>
      <c r="J2709" t="s">
        <v>889</v>
      </c>
      <c r="K2709" t="s">
        <v>890</v>
      </c>
      <c r="L2709" t="s">
        <v>891</v>
      </c>
      <c r="M2709" t="s">
        <v>892</v>
      </c>
      <c r="N2709" t="s">
        <v>893</v>
      </c>
      <c r="O2709" t="s">
        <v>894</v>
      </c>
      <c r="P2709" t="s">
        <v>895</v>
      </c>
      <c r="Q2709" t="s">
        <v>896</v>
      </c>
      <c r="R2709" t="s">
        <v>897</v>
      </c>
      <c r="S2709" t="s">
        <v>898</v>
      </c>
      <c r="T2709" t="s">
        <v>899</v>
      </c>
      <c r="U2709" t="s">
        <v>900</v>
      </c>
      <c r="V2709" t="s">
        <v>901</v>
      </c>
      <c r="W2709" t="s">
        <v>902</v>
      </c>
      <c r="X2709" t="s">
        <v>903</v>
      </c>
      <c r="Y2709" t="s">
        <v>904</v>
      </c>
      <c r="Z2709" t="s">
        <v>905</v>
      </c>
      <c r="AA2709" t="s">
        <v>906</v>
      </c>
      <c r="AB2709" t="s">
        <v>907</v>
      </c>
      <c r="AC2709" t="s">
        <v>908</v>
      </c>
      <c r="AD2709" t="s">
        <v>909</v>
      </c>
      <c r="AE2709" t="s">
        <v>910</v>
      </c>
      <c r="AF2709" t="s">
        <v>911</v>
      </c>
      <c r="AG2709" t="s">
        <v>912</v>
      </c>
      <c r="AH2709" t="s">
        <v>913</v>
      </c>
      <c r="AI2709" t="s">
        <v>914</v>
      </c>
      <c r="AJ2709" t="s">
        <v>915</v>
      </c>
      <c r="AK2709" t="s">
        <v>916</v>
      </c>
      <c r="AL2709" t="s">
        <v>917</v>
      </c>
      <c r="AM2709" t="s">
        <v>918</v>
      </c>
      <c r="AN2709" t="s">
        <v>919</v>
      </c>
      <c r="AO2709" t="s">
        <v>920</v>
      </c>
      <c r="AP2709" t="s">
        <v>921</v>
      </c>
      <c r="AQ2709" t="s">
        <v>922</v>
      </c>
      <c r="AR2709" t="s">
        <v>923</v>
      </c>
      <c r="AS2709" t="s">
        <v>924</v>
      </c>
      <c r="AT2709" t="s">
        <v>925</v>
      </c>
      <c r="AU2709" t="s">
        <v>926</v>
      </c>
      <c r="AV2709" t="s">
        <v>927</v>
      </c>
      <c r="AW2709" t="s">
        <v>928</v>
      </c>
      <c r="AX2709" t="s">
        <v>929</v>
      </c>
      <c r="AY2709" t="s">
        <v>930</v>
      </c>
      <c r="AZ2709" t="s">
        <v>931</v>
      </c>
      <c r="BA2709" t="s">
        <v>932</v>
      </c>
      <c r="BB2709" t="s">
        <v>933</v>
      </c>
      <c r="BC2709" t="s">
        <v>934</v>
      </c>
      <c r="BD2709" t="s">
        <v>935</v>
      </c>
      <c r="BE2709" t="s">
        <v>936</v>
      </c>
      <c r="BF2709" t="s">
        <v>937</v>
      </c>
      <c r="BG2709" t="s">
        <v>938</v>
      </c>
      <c r="BH2709" t="s">
        <v>939</v>
      </c>
      <c r="BI2709" t="s">
        <v>940</v>
      </c>
      <c r="BJ2709" t="s">
        <v>941</v>
      </c>
      <c r="BK2709" t="s">
        <v>942</v>
      </c>
      <c r="BL2709" t="s">
        <v>943</v>
      </c>
      <c r="BM2709" t="s">
        <v>944</v>
      </c>
      <c r="BN2709" t="s">
        <v>945</v>
      </c>
      <c r="BO2709" t="s">
        <v>946</v>
      </c>
      <c r="BP2709" t="s">
        <v>947</v>
      </c>
      <c r="BQ2709" t="s">
        <v>948</v>
      </c>
      <c r="BR2709" t="s">
        <v>949</v>
      </c>
      <c r="BS2709" t="s">
        <v>950</v>
      </c>
      <c r="BT2709" t="s">
        <v>951</v>
      </c>
      <c r="BU2709" t="s">
        <v>952</v>
      </c>
      <c r="BV2709" t="s">
        <v>953</v>
      </c>
      <c r="BW2709" t="s">
        <v>954</v>
      </c>
      <c r="BX2709" t="s">
        <v>955</v>
      </c>
      <c r="BY2709" t="s">
        <v>956</v>
      </c>
      <c r="BZ2709" t="s">
        <v>957</v>
      </c>
    </row>
    <row r="2710" spans="1:78" x14ac:dyDescent="0.35">
      <c r="A2710" t="s">
        <v>227</v>
      </c>
      <c r="B2710" t="s">
        <v>245</v>
      </c>
      <c r="C2710">
        <v>10433.26</v>
      </c>
      <c r="D2710">
        <v>9000</v>
      </c>
      <c r="E2710">
        <v>500</v>
      </c>
      <c r="F2710">
        <v>30000</v>
      </c>
      <c r="G2710" s="6">
        <v>667</v>
      </c>
      <c r="H2710">
        <v>4343.66</v>
      </c>
      <c r="I2710">
        <v>3000</v>
      </c>
      <c r="J2710">
        <v>100</v>
      </c>
      <c r="K2710">
        <v>30000</v>
      </c>
      <c r="L2710" s="6">
        <v>456</v>
      </c>
      <c r="M2710">
        <v>6105.3</v>
      </c>
      <c r="N2710">
        <v>5000</v>
      </c>
      <c r="O2710">
        <v>289</v>
      </c>
      <c r="P2710">
        <v>16000</v>
      </c>
      <c r="Q2710" s="6">
        <v>110</v>
      </c>
      <c r="R2710">
        <v>570.32000000000005</v>
      </c>
      <c r="S2710">
        <v>400</v>
      </c>
      <c r="T2710">
        <v>50</v>
      </c>
      <c r="U2710">
        <v>3000</v>
      </c>
      <c r="V2710" s="6">
        <v>397</v>
      </c>
      <c r="W2710">
        <v>582.76</v>
      </c>
      <c r="X2710">
        <v>500</v>
      </c>
      <c r="Y2710">
        <v>50</v>
      </c>
      <c r="Z2710">
        <v>3000</v>
      </c>
      <c r="AA2710" s="6">
        <v>527</v>
      </c>
      <c r="AB2710">
        <v>1077.06</v>
      </c>
      <c r="AC2710">
        <v>1000</v>
      </c>
      <c r="AD2710">
        <v>100</v>
      </c>
      <c r="AE2710">
        <v>5000</v>
      </c>
      <c r="AF2710" s="6">
        <v>611</v>
      </c>
      <c r="AG2710">
        <v>765.41</v>
      </c>
      <c r="AH2710">
        <v>500</v>
      </c>
      <c r="AI2710">
        <v>100</v>
      </c>
      <c r="AJ2710">
        <v>5000</v>
      </c>
      <c r="AK2710" s="6">
        <v>312</v>
      </c>
      <c r="AL2710">
        <v>2570.11</v>
      </c>
      <c r="AM2710">
        <v>2300</v>
      </c>
      <c r="AN2710">
        <v>300</v>
      </c>
      <c r="AO2710">
        <v>9100</v>
      </c>
      <c r="AP2710" s="6">
        <v>689</v>
      </c>
      <c r="AQ2710">
        <v>2798.46</v>
      </c>
      <c r="AR2710">
        <v>1500</v>
      </c>
      <c r="AS2710">
        <v>50</v>
      </c>
      <c r="AT2710">
        <v>30000</v>
      </c>
      <c r="AU2710" s="6">
        <v>518</v>
      </c>
      <c r="AV2710">
        <v>896.09</v>
      </c>
      <c r="AW2710">
        <v>500</v>
      </c>
      <c r="AX2710">
        <v>100</v>
      </c>
      <c r="AY2710">
        <v>3000</v>
      </c>
      <c r="AZ2710" s="6">
        <v>99</v>
      </c>
      <c r="BA2710">
        <v>817.16</v>
      </c>
      <c r="BB2710">
        <v>750</v>
      </c>
      <c r="BC2710">
        <v>100</v>
      </c>
      <c r="BD2710">
        <v>2800</v>
      </c>
      <c r="BE2710" s="6">
        <v>706</v>
      </c>
      <c r="BF2710">
        <v>3140.26</v>
      </c>
      <c r="BG2710">
        <v>2000</v>
      </c>
      <c r="BH2710">
        <v>300</v>
      </c>
      <c r="BI2710">
        <v>10000</v>
      </c>
      <c r="BJ2710" s="6">
        <v>75</v>
      </c>
      <c r="BK2710">
        <v>5218.8900000000003</v>
      </c>
      <c r="BL2710">
        <v>2400</v>
      </c>
      <c r="BM2710">
        <v>100</v>
      </c>
      <c r="BN2710">
        <v>30000</v>
      </c>
      <c r="BO2710" s="6">
        <v>233</v>
      </c>
      <c r="BP2710">
        <v>1453.39</v>
      </c>
      <c r="BQ2710">
        <v>600</v>
      </c>
      <c r="BR2710">
        <v>50</v>
      </c>
      <c r="BS2710">
        <v>30000</v>
      </c>
      <c r="BT2710" s="6">
        <v>415</v>
      </c>
      <c r="BU2710">
        <v>4893.47</v>
      </c>
      <c r="BV2710">
        <v>3000</v>
      </c>
      <c r="BW2710">
        <v>100</v>
      </c>
      <c r="BX2710">
        <v>10000</v>
      </c>
      <c r="BY2710" s="6">
        <v>31</v>
      </c>
      <c r="BZ2710">
        <v>706</v>
      </c>
    </row>
    <row r="2711" spans="1:78" x14ac:dyDescent="0.35">
      <c r="A2711" t="s">
        <v>227</v>
      </c>
      <c r="B2711" t="s">
        <v>244</v>
      </c>
      <c r="C2711">
        <v>6834.43</v>
      </c>
      <c r="D2711">
        <v>5000</v>
      </c>
      <c r="E2711">
        <v>200</v>
      </c>
      <c r="F2711">
        <v>30000</v>
      </c>
      <c r="G2711" s="6">
        <v>1702</v>
      </c>
      <c r="H2711">
        <v>3861.89</v>
      </c>
      <c r="I2711">
        <v>3000</v>
      </c>
      <c r="J2711">
        <v>100</v>
      </c>
      <c r="K2711">
        <v>60000</v>
      </c>
      <c r="L2711" s="6">
        <v>621</v>
      </c>
      <c r="M2711">
        <v>5872.26</v>
      </c>
      <c r="N2711">
        <v>5000</v>
      </c>
      <c r="O2711">
        <v>183</v>
      </c>
      <c r="P2711">
        <v>16000</v>
      </c>
      <c r="Q2711" s="6">
        <v>235</v>
      </c>
      <c r="R2711">
        <v>419.49</v>
      </c>
      <c r="S2711">
        <v>280</v>
      </c>
      <c r="T2711">
        <v>50</v>
      </c>
      <c r="U2711">
        <v>3000</v>
      </c>
      <c r="V2711" s="6">
        <v>783</v>
      </c>
      <c r="W2711">
        <v>515.28</v>
      </c>
      <c r="X2711">
        <v>380</v>
      </c>
      <c r="Y2711">
        <v>30</v>
      </c>
      <c r="Z2711">
        <v>3000</v>
      </c>
      <c r="AA2711" s="6">
        <v>738</v>
      </c>
      <c r="AB2711">
        <v>770.87</v>
      </c>
      <c r="AC2711">
        <v>500</v>
      </c>
      <c r="AD2711">
        <v>100</v>
      </c>
      <c r="AE2711">
        <v>5000</v>
      </c>
      <c r="AF2711" s="6">
        <v>1315</v>
      </c>
      <c r="AG2711">
        <v>616.09</v>
      </c>
      <c r="AH2711">
        <v>500</v>
      </c>
      <c r="AI2711">
        <v>100</v>
      </c>
      <c r="AJ2711">
        <v>5000</v>
      </c>
      <c r="AK2711" s="6">
        <v>544</v>
      </c>
      <c r="AL2711">
        <v>1953.82</v>
      </c>
      <c r="AM2711">
        <v>1500</v>
      </c>
      <c r="AN2711">
        <v>300</v>
      </c>
      <c r="AO2711">
        <v>9000</v>
      </c>
      <c r="AP2711" s="6">
        <v>1742</v>
      </c>
      <c r="AQ2711">
        <v>2027.23</v>
      </c>
      <c r="AR2711">
        <v>800</v>
      </c>
      <c r="AS2711">
        <v>50</v>
      </c>
      <c r="AT2711">
        <v>30000</v>
      </c>
      <c r="AU2711" s="6">
        <v>1002</v>
      </c>
      <c r="AV2711">
        <v>712.61</v>
      </c>
      <c r="AW2711">
        <v>500</v>
      </c>
      <c r="AX2711">
        <v>100</v>
      </c>
      <c r="AY2711">
        <v>3000</v>
      </c>
      <c r="AZ2711" s="6">
        <v>167</v>
      </c>
      <c r="BA2711">
        <v>534</v>
      </c>
      <c r="BB2711">
        <v>500</v>
      </c>
      <c r="BC2711">
        <v>50</v>
      </c>
      <c r="BD2711">
        <v>2800</v>
      </c>
      <c r="BE2711" s="6">
        <v>1773</v>
      </c>
      <c r="BF2711">
        <v>2950.39</v>
      </c>
      <c r="BG2711">
        <v>2000</v>
      </c>
      <c r="BH2711">
        <v>200</v>
      </c>
      <c r="BI2711">
        <v>10000</v>
      </c>
      <c r="BJ2711" s="6">
        <v>57</v>
      </c>
      <c r="BK2711">
        <v>4610</v>
      </c>
      <c r="BL2711">
        <v>1500</v>
      </c>
      <c r="BM2711">
        <v>100</v>
      </c>
      <c r="BN2711">
        <v>30000</v>
      </c>
      <c r="BO2711" s="6">
        <v>228</v>
      </c>
      <c r="BP2711">
        <v>1208.8499999999999</v>
      </c>
      <c r="BQ2711">
        <v>600</v>
      </c>
      <c r="BR2711">
        <v>50</v>
      </c>
      <c r="BS2711">
        <v>20000</v>
      </c>
      <c r="BT2711" s="6">
        <v>881</v>
      </c>
      <c r="BU2711">
        <v>2642.04</v>
      </c>
      <c r="BV2711">
        <v>2000</v>
      </c>
      <c r="BW2711">
        <v>200</v>
      </c>
      <c r="BX2711">
        <v>10000</v>
      </c>
      <c r="BY2711" s="6">
        <v>93</v>
      </c>
      <c r="BZ2711">
        <v>1773</v>
      </c>
    </row>
    <row r="2712" spans="1:78" x14ac:dyDescent="0.35">
      <c r="A2712" t="s">
        <v>228</v>
      </c>
      <c r="B2712" t="s">
        <v>228</v>
      </c>
      <c r="C2712">
        <v>7868.72</v>
      </c>
      <c r="D2712">
        <v>6000</v>
      </c>
      <c r="E2712">
        <v>200</v>
      </c>
      <c r="F2712">
        <v>30000</v>
      </c>
      <c r="G2712" s="6">
        <v>2369</v>
      </c>
      <c r="H2712">
        <v>4052.31</v>
      </c>
      <c r="I2712">
        <v>3000</v>
      </c>
      <c r="J2712">
        <v>100</v>
      </c>
      <c r="K2712">
        <v>60000</v>
      </c>
      <c r="L2712" s="6">
        <v>1077</v>
      </c>
      <c r="M2712">
        <v>5938.14</v>
      </c>
      <c r="N2712">
        <v>5000</v>
      </c>
      <c r="O2712">
        <v>183</v>
      </c>
      <c r="P2712">
        <v>16000</v>
      </c>
      <c r="Q2712" s="6">
        <v>345</v>
      </c>
      <c r="R2712">
        <v>468.12</v>
      </c>
      <c r="S2712">
        <v>300</v>
      </c>
      <c r="T2712">
        <v>50</v>
      </c>
      <c r="U2712">
        <v>3000</v>
      </c>
      <c r="V2712" s="6">
        <v>1180</v>
      </c>
      <c r="W2712">
        <v>542.04</v>
      </c>
      <c r="X2712">
        <v>401</v>
      </c>
      <c r="Y2712">
        <v>30</v>
      </c>
      <c r="Z2712">
        <v>3000</v>
      </c>
      <c r="AA2712" s="6">
        <v>1265</v>
      </c>
      <c r="AB2712">
        <v>868.78</v>
      </c>
      <c r="AC2712">
        <v>500</v>
      </c>
      <c r="AD2712">
        <v>100</v>
      </c>
      <c r="AE2712">
        <v>5000</v>
      </c>
      <c r="AF2712" s="6">
        <v>1926</v>
      </c>
      <c r="AG2712">
        <v>667.4</v>
      </c>
      <c r="AH2712">
        <v>500</v>
      </c>
      <c r="AI2712">
        <v>100</v>
      </c>
      <c r="AJ2712">
        <v>5000</v>
      </c>
      <c r="AK2712" s="6">
        <v>856</v>
      </c>
      <c r="AL2712">
        <v>2130.96</v>
      </c>
      <c r="AM2712">
        <v>2000</v>
      </c>
      <c r="AN2712">
        <v>300</v>
      </c>
      <c r="AO2712">
        <v>9100</v>
      </c>
      <c r="AP2712" s="6">
        <v>2431</v>
      </c>
      <c r="AQ2712">
        <v>2285.5300000000002</v>
      </c>
      <c r="AR2712">
        <v>1000</v>
      </c>
      <c r="AS2712">
        <v>50</v>
      </c>
      <c r="AT2712">
        <v>30000</v>
      </c>
      <c r="AU2712" s="6">
        <v>1520</v>
      </c>
      <c r="AV2712">
        <v>776.74</v>
      </c>
      <c r="AW2712">
        <v>500</v>
      </c>
      <c r="AX2712">
        <v>100</v>
      </c>
      <c r="AY2712">
        <v>3000</v>
      </c>
      <c r="AZ2712" s="6">
        <v>266</v>
      </c>
      <c r="BA2712">
        <v>615.85</v>
      </c>
      <c r="BB2712">
        <v>500</v>
      </c>
      <c r="BC2712">
        <v>50</v>
      </c>
      <c r="BD2712">
        <v>2800</v>
      </c>
      <c r="BE2712" s="6">
        <v>2479</v>
      </c>
      <c r="BF2712">
        <v>3040.04</v>
      </c>
      <c r="BG2712">
        <v>2000</v>
      </c>
      <c r="BH2712">
        <v>200</v>
      </c>
      <c r="BI2712">
        <v>10000</v>
      </c>
      <c r="BJ2712" s="6">
        <v>132</v>
      </c>
      <c r="BK2712">
        <v>4895.0200000000004</v>
      </c>
      <c r="BL2712">
        <v>2000</v>
      </c>
      <c r="BM2712">
        <v>100</v>
      </c>
      <c r="BN2712">
        <v>30000</v>
      </c>
      <c r="BO2712" s="6">
        <v>461</v>
      </c>
      <c r="BP2712">
        <v>1288.5999999999999</v>
      </c>
      <c r="BQ2712">
        <v>600</v>
      </c>
      <c r="BR2712">
        <v>50</v>
      </c>
      <c r="BS2712">
        <v>30000</v>
      </c>
      <c r="BT2712" s="6">
        <v>1296</v>
      </c>
      <c r="BU2712">
        <v>3251.2</v>
      </c>
      <c r="BV2712">
        <v>2500</v>
      </c>
      <c r="BW2712">
        <v>100</v>
      </c>
      <c r="BX2712">
        <v>10000</v>
      </c>
      <c r="BY2712" s="6">
        <v>124</v>
      </c>
      <c r="BZ2712">
        <v>2479</v>
      </c>
    </row>
    <row r="2714" spans="1:78" x14ac:dyDescent="0.35">
      <c r="A2714" s="1" t="s">
        <v>964</v>
      </c>
    </row>
    <row r="2715" spans="1:78" x14ac:dyDescent="0.35">
      <c r="A2715" t="s">
        <v>219</v>
      </c>
      <c r="B2715" t="s">
        <v>301</v>
      </c>
      <c r="C2715" t="s">
        <v>882</v>
      </c>
      <c r="D2715" t="s">
        <v>883</v>
      </c>
      <c r="E2715" t="s">
        <v>884</v>
      </c>
      <c r="F2715" t="s">
        <v>885</v>
      </c>
      <c r="G2715" t="s">
        <v>886</v>
      </c>
      <c r="H2715" t="s">
        <v>887</v>
      </c>
      <c r="I2715" t="s">
        <v>888</v>
      </c>
      <c r="J2715" t="s">
        <v>889</v>
      </c>
      <c r="K2715" t="s">
        <v>890</v>
      </c>
      <c r="L2715" t="s">
        <v>891</v>
      </c>
      <c r="M2715" t="s">
        <v>892</v>
      </c>
      <c r="N2715" t="s">
        <v>893</v>
      </c>
      <c r="O2715" t="s">
        <v>894</v>
      </c>
      <c r="P2715" t="s">
        <v>895</v>
      </c>
      <c r="Q2715" t="s">
        <v>896</v>
      </c>
      <c r="R2715" t="s">
        <v>897</v>
      </c>
      <c r="S2715" t="s">
        <v>898</v>
      </c>
      <c r="T2715" t="s">
        <v>899</v>
      </c>
      <c r="U2715" t="s">
        <v>900</v>
      </c>
      <c r="V2715" t="s">
        <v>901</v>
      </c>
      <c r="W2715" t="s">
        <v>902</v>
      </c>
      <c r="X2715" t="s">
        <v>903</v>
      </c>
      <c r="Y2715" t="s">
        <v>904</v>
      </c>
      <c r="Z2715" t="s">
        <v>905</v>
      </c>
      <c r="AA2715" t="s">
        <v>906</v>
      </c>
      <c r="AB2715" t="s">
        <v>907</v>
      </c>
      <c r="AC2715" t="s">
        <v>908</v>
      </c>
      <c r="AD2715" t="s">
        <v>909</v>
      </c>
      <c r="AE2715" t="s">
        <v>910</v>
      </c>
      <c r="AF2715" t="s">
        <v>911</v>
      </c>
      <c r="AG2715" t="s">
        <v>912</v>
      </c>
      <c r="AH2715" t="s">
        <v>913</v>
      </c>
      <c r="AI2715" t="s">
        <v>914</v>
      </c>
      <c r="AJ2715" t="s">
        <v>915</v>
      </c>
      <c r="AK2715" t="s">
        <v>916</v>
      </c>
      <c r="AL2715" t="s">
        <v>917</v>
      </c>
      <c r="AM2715" t="s">
        <v>918</v>
      </c>
      <c r="AN2715" t="s">
        <v>919</v>
      </c>
      <c r="AO2715" t="s">
        <v>920</v>
      </c>
      <c r="AP2715" t="s">
        <v>921</v>
      </c>
      <c r="AQ2715" t="s">
        <v>922</v>
      </c>
      <c r="AR2715" t="s">
        <v>923</v>
      </c>
      <c r="AS2715" t="s">
        <v>924</v>
      </c>
      <c r="AT2715" t="s">
        <v>925</v>
      </c>
      <c r="AU2715" t="s">
        <v>926</v>
      </c>
      <c r="AV2715" t="s">
        <v>927</v>
      </c>
      <c r="AW2715" t="s">
        <v>928</v>
      </c>
      <c r="AX2715" t="s">
        <v>929</v>
      </c>
      <c r="AY2715" t="s">
        <v>930</v>
      </c>
      <c r="AZ2715" t="s">
        <v>931</v>
      </c>
      <c r="BA2715" t="s">
        <v>932</v>
      </c>
      <c r="BB2715" t="s">
        <v>933</v>
      </c>
      <c r="BC2715" t="s">
        <v>934</v>
      </c>
      <c r="BD2715" t="s">
        <v>935</v>
      </c>
      <c r="BE2715" t="s">
        <v>936</v>
      </c>
      <c r="BF2715" t="s">
        <v>937</v>
      </c>
      <c r="BG2715" t="s">
        <v>938</v>
      </c>
      <c r="BH2715" t="s">
        <v>939</v>
      </c>
      <c r="BI2715" t="s">
        <v>940</v>
      </c>
      <c r="BJ2715" t="s">
        <v>941</v>
      </c>
      <c r="BK2715" t="s">
        <v>942</v>
      </c>
      <c r="BL2715" t="s">
        <v>943</v>
      </c>
      <c r="BM2715" t="s">
        <v>944</v>
      </c>
      <c r="BN2715" t="s">
        <v>945</v>
      </c>
      <c r="BO2715" t="s">
        <v>946</v>
      </c>
      <c r="BP2715" t="s">
        <v>947</v>
      </c>
      <c r="BQ2715" t="s">
        <v>948</v>
      </c>
      <c r="BR2715" t="s">
        <v>949</v>
      </c>
      <c r="BS2715" t="s">
        <v>950</v>
      </c>
      <c r="BT2715" t="s">
        <v>951</v>
      </c>
      <c r="BU2715" t="s">
        <v>952</v>
      </c>
      <c r="BV2715" t="s">
        <v>953</v>
      </c>
      <c r="BW2715" t="s">
        <v>954</v>
      </c>
      <c r="BX2715" t="s">
        <v>955</v>
      </c>
      <c r="BY2715" t="s">
        <v>956</v>
      </c>
      <c r="BZ2715" t="s">
        <v>957</v>
      </c>
    </row>
    <row r="2716" spans="1:78" x14ac:dyDescent="0.35">
      <c r="A2716" t="s">
        <v>227</v>
      </c>
      <c r="B2716" t="s">
        <v>259</v>
      </c>
      <c r="C2716">
        <v>8793.58</v>
      </c>
      <c r="D2716">
        <v>7000</v>
      </c>
      <c r="E2716">
        <v>600</v>
      </c>
      <c r="F2716">
        <v>30000</v>
      </c>
      <c r="G2716" s="6">
        <v>63</v>
      </c>
      <c r="H2716">
        <v>2544.86</v>
      </c>
      <c r="I2716">
        <v>2000</v>
      </c>
      <c r="J2716">
        <v>100</v>
      </c>
      <c r="K2716">
        <v>10000</v>
      </c>
      <c r="L2716" s="6">
        <v>26</v>
      </c>
      <c r="M2716">
        <v>4149.26</v>
      </c>
      <c r="N2716">
        <v>3000</v>
      </c>
      <c r="O2716">
        <v>1500</v>
      </c>
      <c r="P2716">
        <v>13000</v>
      </c>
      <c r="Q2716" s="6">
        <v>15</v>
      </c>
      <c r="R2716">
        <v>606.34</v>
      </c>
      <c r="S2716">
        <v>500</v>
      </c>
      <c r="T2716">
        <v>60</v>
      </c>
      <c r="U2716">
        <v>1600</v>
      </c>
      <c r="V2716" s="6">
        <v>38</v>
      </c>
      <c r="W2716">
        <v>471.6</v>
      </c>
      <c r="X2716">
        <v>300</v>
      </c>
      <c r="Y2716">
        <v>50</v>
      </c>
      <c r="Z2716">
        <v>2000</v>
      </c>
      <c r="AA2716" s="6">
        <v>38</v>
      </c>
      <c r="AB2716">
        <v>698.63</v>
      </c>
      <c r="AC2716">
        <v>500</v>
      </c>
      <c r="AD2716">
        <v>100</v>
      </c>
      <c r="AE2716">
        <v>5000</v>
      </c>
      <c r="AF2716" s="6">
        <v>49</v>
      </c>
      <c r="AG2716">
        <v>759.91</v>
      </c>
      <c r="AH2716">
        <v>600</v>
      </c>
      <c r="AI2716">
        <v>100</v>
      </c>
      <c r="AJ2716">
        <v>3000</v>
      </c>
      <c r="AK2716" s="6">
        <v>35</v>
      </c>
      <c r="AL2716">
        <v>2058.37</v>
      </c>
      <c r="AM2716">
        <v>2500</v>
      </c>
      <c r="AN2716">
        <v>300</v>
      </c>
      <c r="AO2716">
        <v>5000</v>
      </c>
      <c r="AP2716" s="6">
        <v>61</v>
      </c>
      <c r="AQ2716">
        <v>2062.7399999999998</v>
      </c>
      <c r="AR2716">
        <v>2000</v>
      </c>
      <c r="AS2716">
        <v>60</v>
      </c>
      <c r="AT2716">
        <v>10000</v>
      </c>
      <c r="AU2716" s="6">
        <v>45</v>
      </c>
      <c r="AV2716">
        <v>1548.45</v>
      </c>
      <c r="AW2716">
        <v>3000</v>
      </c>
      <c r="AX2716">
        <v>100</v>
      </c>
      <c r="AY2716">
        <v>3000</v>
      </c>
      <c r="AZ2716" s="6">
        <v>6</v>
      </c>
      <c r="BA2716">
        <v>718.92</v>
      </c>
      <c r="BB2716">
        <v>600</v>
      </c>
      <c r="BC2716">
        <v>100</v>
      </c>
      <c r="BD2716">
        <v>2300</v>
      </c>
      <c r="BE2716" s="6">
        <v>59</v>
      </c>
      <c r="BF2716">
        <v>3432.3</v>
      </c>
      <c r="BG2716">
        <v>4000</v>
      </c>
      <c r="BH2716">
        <v>1000</v>
      </c>
      <c r="BI2716">
        <v>5000</v>
      </c>
      <c r="BJ2716" s="6">
        <v>5</v>
      </c>
      <c r="BK2716">
        <v>4317.1000000000004</v>
      </c>
      <c r="BL2716">
        <v>2000</v>
      </c>
      <c r="BM2716">
        <v>1000</v>
      </c>
      <c r="BN2716">
        <v>20000</v>
      </c>
      <c r="BO2716" s="6">
        <v>9</v>
      </c>
      <c r="BP2716">
        <v>1040.9000000000001</v>
      </c>
      <c r="BQ2716">
        <v>600</v>
      </c>
      <c r="BR2716">
        <v>75</v>
      </c>
      <c r="BS2716">
        <v>4000</v>
      </c>
      <c r="BT2716" s="6">
        <v>38</v>
      </c>
      <c r="BU2716">
        <v>3545.02</v>
      </c>
      <c r="BV2716">
        <v>7000</v>
      </c>
      <c r="BW2716">
        <v>800</v>
      </c>
      <c r="BX2716">
        <v>7000</v>
      </c>
      <c r="BY2716" s="6">
        <v>4</v>
      </c>
      <c r="BZ2716">
        <v>63</v>
      </c>
    </row>
    <row r="2717" spans="1:78" x14ac:dyDescent="0.35">
      <c r="A2717" t="s">
        <v>227</v>
      </c>
      <c r="B2717" t="s">
        <v>257</v>
      </c>
      <c r="C2717">
        <v>7342.74</v>
      </c>
      <c r="D2717">
        <v>5000</v>
      </c>
      <c r="E2717">
        <v>400</v>
      </c>
      <c r="F2717">
        <v>30000</v>
      </c>
      <c r="G2717" s="6">
        <v>331</v>
      </c>
      <c r="H2717">
        <v>3201.09</v>
      </c>
      <c r="I2717">
        <v>3000</v>
      </c>
      <c r="J2717">
        <v>100</v>
      </c>
      <c r="K2717">
        <v>15000</v>
      </c>
      <c r="L2717" s="6">
        <v>145</v>
      </c>
      <c r="M2717">
        <v>6181.28</v>
      </c>
      <c r="N2717">
        <v>5000</v>
      </c>
      <c r="O2717">
        <v>300</v>
      </c>
      <c r="P2717">
        <v>16000</v>
      </c>
      <c r="Q2717" s="6">
        <v>188</v>
      </c>
      <c r="R2717">
        <v>395.32</v>
      </c>
      <c r="S2717">
        <v>300</v>
      </c>
      <c r="T2717">
        <v>50</v>
      </c>
      <c r="U2717">
        <v>3000</v>
      </c>
      <c r="V2717" s="6">
        <v>207</v>
      </c>
      <c r="W2717">
        <v>481.84</v>
      </c>
      <c r="X2717">
        <v>300</v>
      </c>
      <c r="Y2717">
        <v>50</v>
      </c>
      <c r="Z2717">
        <v>3000</v>
      </c>
      <c r="AA2717" s="6">
        <v>186</v>
      </c>
      <c r="AB2717">
        <v>807.72</v>
      </c>
      <c r="AC2717">
        <v>500</v>
      </c>
      <c r="AD2717">
        <v>100</v>
      </c>
      <c r="AE2717">
        <v>5000</v>
      </c>
      <c r="AF2717" s="6">
        <v>272</v>
      </c>
      <c r="AG2717">
        <v>685.56</v>
      </c>
      <c r="AH2717">
        <v>500</v>
      </c>
      <c r="AI2717">
        <v>100</v>
      </c>
      <c r="AJ2717">
        <v>5000</v>
      </c>
      <c r="AK2717" s="6">
        <v>130</v>
      </c>
      <c r="AL2717">
        <v>2058.2399999999998</v>
      </c>
      <c r="AM2717">
        <v>1800</v>
      </c>
      <c r="AN2717">
        <v>300</v>
      </c>
      <c r="AO2717">
        <v>8000</v>
      </c>
      <c r="AP2717" s="6">
        <v>318</v>
      </c>
      <c r="AQ2717">
        <v>2248.46</v>
      </c>
      <c r="AR2717">
        <v>1000</v>
      </c>
      <c r="AS2717">
        <v>50</v>
      </c>
      <c r="AT2717">
        <v>30000</v>
      </c>
      <c r="AU2717" s="6">
        <v>225</v>
      </c>
      <c r="AV2717">
        <v>760.07</v>
      </c>
      <c r="AW2717">
        <v>600</v>
      </c>
      <c r="AX2717">
        <v>100</v>
      </c>
      <c r="AY2717">
        <v>3000</v>
      </c>
      <c r="AZ2717" s="6">
        <v>45</v>
      </c>
      <c r="BA2717">
        <v>594.12</v>
      </c>
      <c r="BB2717">
        <v>500</v>
      </c>
      <c r="BC2717">
        <v>125</v>
      </c>
      <c r="BD2717">
        <v>2800</v>
      </c>
      <c r="BE2717" s="6">
        <v>349</v>
      </c>
      <c r="BF2717">
        <v>2347.81</v>
      </c>
      <c r="BG2717">
        <v>2500</v>
      </c>
      <c r="BH2717">
        <v>200</v>
      </c>
      <c r="BI2717">
        <v>10000</v>
      </c>
      <c r="BJ2717" s="6">
        <v>18</v>
      </c>
      <c r="BK2717">
        <v>2378.69</v>
      </c>
      <c r="BL2717">
        <v>1000</v>
      </c>
      <c r="BM2717">
        <v>300</v>
      </c>
      <c r="BN2717">
        <v>20000</v>
      </c>
      <c r="BO2717" s="6">
        <v>49</v>
      </c>
      <c r="BP2717">
        <v>1431.13</v>
      </c>
      <c r="BQ2717">
        <v>500</v>
      </c>
      <c r="BR2717">
        <v>50</v>
      </c>
      <c r="BS2717">
        <v>20000</v>
      </c>
      <c r="BT2717" s="6">
        <v>172</v>
      </c>
      <c r="BU2717">
        <v>4179.26</v>
      </c>
      <c r="BV2717">
        <v>4000</v>
      </c>
      <c r="BW2717">
        <v>100</v>
      </c>
      <c r="BX2717">
        <v>10000</v>
      </c>
      <c r="BY2717" s="6">
        <v>19</v>
      </c>
      <c r="BZ2717">
        <v>349</v>
      </c>
    </row>
    <row r="2718" spans="1:78" x14ac:dyDescent="0.35">
      <c r="A2718" t="s">
        <v>227</v>
      </c>
      <c r="B2718" t="s">
        <v>256</v>
      </c>
      <c r="C2718">
        <v>7356.05</v>
      </c>
      <c r="D2718">
        <v>5000</v>
      </c>
      <c r="E2718">
        <v>200</v>
      </c>
      <c r="F2718">
        <v>30000</v>
      </c>
      <c r="G2718" s="6">
        <v>1527</v>
      </c>
      <c r="H2718">
        <v>4082.53</v>
      </c>
      <c r="I2718">
        <v>3000</v>
      </c>
      <c r="J2718">
        <v>100</v>
      </c>
      <c r="K2718">
        <v>60000</v>
      </c>
      <c r="L2718" s="6">
        <v>658</v>
      </c>
      <c r="M2718">
        <v>5528.12</v>
      </c>
      <c r="N2718">
        <v>5000</v>
      </c>
      <c r="O2718">
        <v>183</v>
      </c>
      <c r="P2718">
        <v>15000</v>
      </c>
      <c r="Q2718" s="6">
        <v>108</v>
      </c>
      <c r="R2718">
        <v>454.61</v>
      </c>
      <c r="S2718">
        <v>300</v>
      </c>
      <c r="T2718">
        <v>50</v>
      </c>
      <c r="U2718">
        <v>3000</v>
      </c>
      <c r="V2718" s="6">
        <v>673</v>
      </c>
      <c r="W2718">
        <v>550.09</v>
      </c>
      <c r="X2718">
        <v>500</v>
      </c>
      <c r="Y2718">
        <v>30</v>
      </c>
      <c r="Z2718">
        <v>3000</v>
      </c>
      <c r="AA2718" s="6">
        <v>764</v>
      </c>
      <c r="AB2718">
        <v>842.05</v>
      </c>
      <c r="AC2718">
        <v>500</v>
      </c>
      <c r="AD2718">
        <v>100</v>
      </c>
      <c r="AE2718">
        <v>5000</v>
      </c>
      <c r="AF2718" s="6">
        <v>1213</v>
      </c>
      <c r="AG2718">
        <v>644.54999999999995</v>
      </c>
      <c r="AH2718">
        <v>500</v>
      </c>
      <c r="AI2718">
        <v>100</v>
      </c>
      <c r="AJ2718">
        <v>5000</v>
      </c>
      <c r="AK2718" s="6">
        <v>498</v>
      </c>
      <c r="AL2718">
        <v>2040.64</v>
      </c>
      <c r="AM2718">
        <v>1750</v>
      </c>
      <c r="AN2718">
        <v>300</v>
      </c>
      <c r="AO2718">
        <v>9000</v>
      </c>
      <c r="AP2718" s="6">
        <v>1575</v>
      </c>
      <c r="AQ2718">
        <v>2096.7199999999998</v>
      </c>
      <c r="AR2718">
        <v>1000</v>
      </c>
      <c r="AS2718">
        <v>50</v>
      </c>
      <c r="AT2718">
        <v>30000</v>
      </c>
      <c r="AU2718" s="6">
        <v>917</v>
      </c>
      <c r="AV2718">
        <v>806.92</v>
      </c>
      <c r="AW2718">
        <v>500</v>
      </c>
      <c r="AX2718">
        <v>100</v>
      </c>
      <c r="AY2718">
        <v>3000</v>
      </c>
      <c r="AZ2718" s="6">
        <v>160</v>
      </c>
      <c r="BA2718">
        <v>591.71</v>
      </c>
      <c r="BB2718">
        <v>500</v>
      </c>
      <c r="BC2718">
        <v>50</v>
      </c>
      <c r="BD2718">
        <v>2500</v>
      </c>
      <c r="BE2718" s="6">
        <v>1585</v>
      </c>
      <c r="BF2718">
        <v>3598.57</v>
      </c>
      <c r="BG2718">
        <v>3000</v>
      </c>
      <c r="BH2718">
        <v>400</v>
      </c>
      <c r="BI2718">
        <v>10000</v>
      </c>
      <c r="BJ2718" s="6">
        <v>66</v>
      </c>
      <c r="BK2718">
        <v>4869.22</v>
      </c>
      <c r="BL2718">
        <v>2000</v>
      </c>
      <c r="BM2718">
        <v>100</v>
      </c>
      <c r="BN2718">
        <v>30000</v>
      </c>
      <c r="BO2718" s="6">
        <v>261</v>
      </c>
      <c r="BP2718">
        <v>1178.32</v>
      </c>
      <c r="BQ2718">
        <v>500</v>
      </c>
      <c r="BR2718">
        <v>50</v>
      </c>
      <c r="BS2718">
        <v>20000</v>
      </c>
      <c r="BT2718" s="6">
        <v>838</v>
      </c>
      <c r="BU2718">
        <v>3131.29</v>
      </c>
      <c r="BV2718">
        <v>2050</v>
      </c>
      <c r="BW2718">
        <v>200</v>
      </c>
      <c r="BX2718">
        <v>10000</v>
      </c>
      <c r="BY2718" s="6">
        <v>78</v>
      </c>
      <c r="BZ2718">
        <v>1585</v>
      </c>
    </row>
    <row r="2719" spans="1:78" x14ac:dyDescent="0.35">
      <c r="A2719" s="3" t="s">
        <v>227</v>
      </c>
      <c r="B2719" s="3" t="s">
        <v>232</v>
      </c>
      <c r="C2719" s="5">
        <v>3284.52</v>
      </c>
      <c r="D2719" s="5">
        <v>2000</v>
      </c>
      <c r="E2719" s="5">
        <v>1000</v>
      </c>
      <c r="F2719" s="5">
        <v>8000</v>
      </c>
      <c r="G2719" s="5">
        <v>7</v>
      </c>
      <c r="H2719" s="5">
        <v>596.61</v>
      </c>
      <c r="I2719" s="5">
        <v>200</v>
      </c>
      <c r="J2719" s="5">
        <v>200</v>
      </c>
      <c r="K2719" s="5">
        <v>1500</v>
      </c>
      <c r="L2719" s="5">
        <v>2</v>
      </c>
      <c r="M2719" s="5">
        <v>8000</v>
      </c>
      <c r="N2719" s="5">
        <v>8000</v>
      </c>
      <c r="O2719" s="5">
        <v>8000</v>
      </c>
      <c r="P2719" s="5">
        <v>8000</v>
      </c>
      <c r="Q2719" s="5">
        <v>1</v>
      </c>
      <c r="R2719" s="5">
        <v>271.41000000000003</v>
      </c>
      <c r="S2719" s="5">
        <v>200</v>
      </c>
      <c r="T2719" s="5">
        <v>200</v>
      </c>
      <c r="U2719" s="5">
        <v>500</v>
      </c>
      <c r="V2719" s="5">
        <v>2</v>
      </c>
      <c r="W2719" s="5">
        <v>404.44</v>
      </c>
      <c r="X2719" s="5">
        <v>400</v>
      </c>
      <c r="Y2719" s="5">
        <v>400</v>
      </c>
      <c r="Z2719" s="5">
        <v>500</v>
      </c>
      <c r="AA2719" s="5">
        <v>3</v>
      </c>
      <c r="AB2719" s="5">
        <v>399.12</v>
      </c>
      <c r="AC2719" s="5">
        <v>500</v>
      </c>
      <c r="AD2719" s="5">
        <v>300</v>
      </c>
      <c r="AE2719" s="5">
        <v>700</v>
      </c>
      <c r="AF2719" s="5">
        <v>3</v>
      </c>
      <c r="AG2719" s="5">
        <v>307.73</v>
      </c>
      <c r="AH2719" s="5">
        <v>200</v>
      </c>
      <c r="AI2719" s="5">
        <v>170</v>
      </c>
      <c r="AJ2719" s="5">
        <v>900</v>
      </c>
      <c r="AK2719" s="5">
        <v>3</v>
      </c>
      <c r="AL2719" s="5">
        <v>1028.8800000000001</v>
      </c>
      <c r="AM2719" s="5">
        <v>1000</v>
      </c>
      <c r="AN2719" s="5">
        <v>950</v>
      </c>
      <c r="AO2719" s="5">
        <v>2000</v>
      </c>
      <c r="AP2719" s="5">
        <v>6</v>
      </c>
      <c r="AQ2719" s="5">
        <v>327.33</v>
      </c>
      <c r="AR2719" s="5">
        <v>300</v>
      </c>
      <c r="AS2719" s="5">
        <v>300</v>
      </c>
      <c r="AT2719" s="5">
        <v>1000</v>
      </c>
      <c r="AU2719" s="5">
        <v>2</v>
      </c>
      <c r="AV2719" s="5"/>
      <c r="AW2719" s="5"/>
      <c r="AX2719" s="5"/>
      <c r="AY2719" s="5"/>
      <c r="AZ2719" s="5"/>
      <c r="BA2719" s="5">
        <v>383.78</v>
      </c>
      <c r="BB2719" s="5">
        <v>440</v>
      </c>
      <c r="BC2719" s="5">
        <v>225</v>
      </c>
      <c r="BD2719" s="5">
        <v>1000</v>
      </c>
      <c r="BE2719" s="5">
        <v>6</v>
      </c>
      <c r="BF2719" s="5"/>
      <c r="BG2719" s="5"/>
      <c r="BH2719" s="5"/>
      <c r="BI2719" s="5"/>
      <c r="BJ2719" s="5"/>
      <c r="BK2719" s="5"/>
      <c r="BL2719" s="5"/>
      <c r="BM2719" s="5"/>
      <c r="BN2719" s="5"/>
      <c r="BO2719" s="5"/>
      <c r="BP2719" s="5">
        <v>270</v>
      </c>
      <c r="BQ2719" s="5">
        <v>270</v>
      </c>
      <c r="BR2719" s="5">
        <v>270</v>
      </c>
      <c r="BS2719" s="5">
        <v>270</v>
      </c>
      <c r="BT2719" s="5">
        <v>1</v>
      </c>
      <c r="BU2719" s="5">
        <v>3500</v>
      </c>
      <c r="BV2719" s="5">
        <v>3500</v>
      </c>
      <c r="BW2719" s="5">
        <v>3500</v>
      </c>
      <c r="BX2719" s="5">
        <v>3500</v>
      </c>
      <c r="BY2719" s="5">
        <v>1</v>
      </c>
      <c r="BZ2719" s="5">
        <v>7</v>
      </c>
    </row>
    <row r="2720" spans="1:78" x14ac:dyDescent="0.35">
      <c r="A2720" t="s">
        <v>227</v>
      </c>
      <c r="B2720" t="s">
        <v>258</v>
      </c>
      <c r="C2720">
        <v>10629.96</v>
      </c>
      <c r="D2720">
        <v>10000</v>
      </c>
      <c r="E2720">
        <v>300</v>
      </c>
      <c r="F2720">
        <v>30000</v>
      </c>
      <c r="G2720" s="6">
        <v>441</v>
      </c>
      <c r="H2720">
        <v>4749.75</v>
      </c>
      <c r="I2720">
        <v>4000</v>
      </c>
      <c r="J2720">
        <v>500</v>
      </c>
      <c r="K2720">
        <v>30000</v>
      </c>
      <c r="L2720" s="6">
        <v>246</v>
      </c>
      <c r="M2720">
        <v>6812.06</v>
      </c>
      <c r="N2720">
        <v>6000</v>
      </c>
      <c r="O2720">
        <v>400</v>
      </c>
      <c r="P2720">
        <v>13000</v>
      </c>
      <c r="Q2720" s="6">
        <v>33</v>
      </c>
      <c r="R2720">
        <v>578.59</v>
      </c>
      <c r="S2720">
        <v>500</v>
      </c>
      <c r="T2720">
        <v>50</v>
      </c>
      <c r="U2720">
        <v>3000</v>
      </c>
      <c r="V2720" s="6">
        <v>260</v>
      </c>
      <c r="W2720">
        <v>578.03</v>
      </c>
      <c r="X2720">
        <v>500</v>
      </c>
      <c r="Y2720">
        <v>50</v>
      </c>
      <c r="Z2720">
        <v>3000</v>
      </c>
      <c r="AA2720" s="6">
        <v>274</v>
      </c>
      <c r="AB2720">
        <v>1063.6099999999999</v>
      </c>
      <c r="AC2720">
        <v>1000</v>
      </c>
      <c r="AD2720">
        <v>100</v>
      </c>
      <c r="AE2720">
        <v>5000</v>
      </c>
      <c r="AF2720" s="6">
        <v>389</v>
      </c>
      <c r="AG2720">
        <v>727.88</v>
      </c>
      <c r="AH2720">
        <v>500</v>
      </c>
      <c r="AI2720">
        <v>100</v>
      </c>
      <c r="AJ2720">
        <v>5000</v>
      </c>
      <c r="AK2720" s="6">
        <v>190</v>
      </c>
      <c r="AL2720">
        <v>2629.19</v>
      </c>
      <c r="AM2720">
        <v>2500</v>
      </c>
      <c r="AN2720">
        <v>300</v>
      </c>
      <c r="AO2720">
        <v>9100</v>
      </c>
      <c r="AP2720" s="6">
        <v>471</v>
      </c>
      <c r="AQ2720">
        <v>3045.97</v>
      </c>
      <c r="AR2720">
        <v>2000</v>
      </c>
      <c r="AS2720">
        <v>50</v>
      </c>
      <c r="AT2720">
        <v>30000</v>
      </c>
      <c r="AU2720" s="6">
        <v>331</v>
      </c>
      <c r="AV2720">
        <v>617.03</v>
      </c>
      <c r="AW2720">
        <v>350</v>
      </c>
      <c r="AX2720">
        <v>100</v>
      </c>
      <c r="AY2720">
        <v>3000</v>
      </c>
      <c r="AZ2720" s="6">
        <v>55</v>
      </c>
      <c r="BA2720">
        <v>736.78</v>
      </c>
      <c r="BB2720">
        <v>600</v>
      </c>
      <c r="BC2720">
        <v>100</v>
      </c>
      <c r="BD2720">
        <v>2800</v>
      </c>
      <c r="BE2720" s="6">
        <v>480</v>
      </c>
      <c r="BF2720">
        <v>2661.97</v>
      </c>
      <c r="BG2720">
        <v>1500</v>
      </c>
      <c r="BH2720">
        <v>500</v>
      </c>
      <c r="BI2720">
        <v>10000</v>
      </c>
      <c r="BJ2720" s="6">
        <v>43</v>
      </c>
      <c r="BK2720">
        <v>6013.09</v>
      </c>
      <c r="BL2720">
        <v>3000</v>
      </c>
      <c r="BM2720">
        <v>200</v>
      </c>
      <c r="BN2720">
        <v>30000</v>
      </c>
      <c r="BO2720" s="6">
        <v>142</v>
      </c>
      <c r="BP2720">
        <v>1715.51</v>
      </c>
      <c r="BQ2720">
        <v>1000</v>
      </c>
      <c r="BR2720">
        <v>50</v>
      </c>
      <c r="BS2720">
        <v>30000</v>
      </c>
      <c r="BT2720" s="6">
        <v>247</v>
      </c>
      <c r="BU2720">
        <v>2780.56</v>
      </c>
      <c r="BV2720">
        <v>3000</v>
      </c>
      <c r="BW2720">
        <v>200</v>
      </c>
      <c r="BX2720">
        <v>10000</v>
      </c>
      <c r="BY2720" s="6">
        <v>22</v>
      </c>
      <c r="BZ2720">
        <v>480</v>
      </c>
    </row>
    <row r="2721" spans="1:78" x14ac:dyDescent="0.35">
      <c r="A2721" t="s">
        <v>228</v>
      </c>
      <c r="B2721" t="s">
        <v>228</v>
      </c>
      <c r="C2721">
        <v>7868.72</v>
      </c>
      <c r="D2721">
        <v>6000</v>
      </c>
      <c r="E2721">
        <v>200</v>
      </c>
      <c r="F2721">
        <v>30000</v>
      </c>
      <c r="G2721" s="6">
        <v>2369</v>
      </c>
      <c r="H2721">
        <v>4052.31</v>
      </c>
      <c r="I2721">
        <v>3000</v>
      </c>
      <c r="J2721">
        <v>100</v>
      </c>
      <c r="K2721">
        <v>60000</v>
      </c>
      <c r="L2721" s="6">
        <v>1077</v>
      </c>
      <c r="M2721">
        <v>5938.14</v>
      </c>
      <c r="N2721">
        <v>5000</v>
      </c>
      <c r="O2721">
        <v>183</v>
      </c>
      <c r="P2721">
        <v>16000</v>
      </c>
      <c r="Q2721" s="6">
        <v>345</v>
      </c>
      <c r="R2721">
        <v>468.12</v>
      </c>
      <c r="S2721">
        <v>300</v>
      </c>
      <c r="T2721">
        <v>50</v>
      </c>
      <c r="U2721">
        <v>3000</v>
      </c>
      <c r="V2721" s="6">
        <v>1180</v>
      </c>
      <c r="W2721">
        <v>542.04</v>
      </c>
      <c r="X2721">
        <v>401</v>
      </c>
      <c r="Y2721">
        <v>30</v>
      </c>
      <c r="Z2721">
        <v>3000</v>
      </c>
      <c r="AA2721" s="6">
        <v>1265</v>
      </c>
      <c r="AB2721">
        <v>868.78</v>
      </c>
      <c r="AC2721">
        <v>500</v>
      </c>
      <c r="AD2721">
        <v>100</v>
      </c>
      <c r="AE2721">
        <v>5000</v>
      </c>
      <c r="AF2721" s="6">
        <v>1926</v>
      </c>
      <c r="AG2721">
        <v>667.4</v>
      </c>
      <c r="AH2721">
        <v>500</v>
      </c>
      <c r="AI2721">
        <v>100</v>
      </c>
      <c r="AJ2721">
        <v>5000</v>
      </c>
      <c r="AK2721" s="6">
        <v>856</v>
      </c>
      <c r="AL2721">
        <v>2130.96</v>
      </c>
      <c r="AM2721">
        <v>2000</v>
      </c>
      <c r="AN2721">
        <v>300</v>
      </c>
      <c r="AO2721">
        <v>9100</v>
      </c>
      <c r="AP2721" s="6">
        <v>2431</v>
      </c>
      <c r="AQ2721">
        <v>2285.5300000000002</v>
      </c>
      <c r="AR2721">
        <v>1000</v>
      </c>
      <c r="AS2721">
        <v>50</v>
      </c>
      <c r="AT2721">
        <v>30000</v>
      </c>
      <c r="AU2721" s="6">
        <v>1520</v>
      </c>
      <c r="AV2721">
        <v>776.74</v>
      </c>
      <c r="AW2721">
        <v>500</v>
      </c>
      <c r="AX2721">
        <v>100</v>
      </c>
      <c r="AY2721">
        <v>3000</v>
      </c>
      <c r="AZ2721" s="6">
        <v>266</v>
      </c>
      <c r="BA2721">
        <v>615.85</v>
      </c>
      <c r="BB2721">
        <v>500</v>
      </c>
      <c r="BC2721">
        <v>50</v>
      </c>
      <c r="BD2721">
        <v>2800</v>
      </c>
      <c r="BE2721" s="6">
        <v>2479</v>
      </c>
      <c r="BF2721">
        <v>3040.04</v>
      </c>
      <c r="BG2721">
        <v>2000</v>
      </c>
      <c r="BH2721">
        <v>200</v>
      </c>
      <c r="BI2721">
        <v>10000</v>
      </c>
      <c r="BJ2721" s="6">
        <v>132</v>
      </c>
      <c r="BK2721">
        <v>4895.0200000000004</v>
      </c>
      <c r="BL2721">
        <v>2000</v>
      </c>
      <c r="BM2721">
        <v>100</v>
      </c>
      <c r="BN2721">
        <v>30000</v>
      </c>
      <c r="BO2721" s="6">
        <v>461</v>
      </c>
      <c r="BP2721">
        <v>1288.5999999999999</v>
      </c>
      <c r="BQ2721">
        <v>600</v>
      </c>
      <c r="BR2721">
        <v>50</v>
      </c>
      <c r="BS2721">
        <v>30000</v>
      </c>
      <c r="BT2721" s="6">
        <v>1296</v>
      </c>
      <c r="BU2721">
        <v>3251.2</v>
      </c>
      <c r="BV2721">
        <v>2500</v>
      </c>
      <c r="BW2721">
        <v>100</v>
      </c>
      <c r="BX2721">
        <v>10000</v>
      </c>
      <c r="BY2721" s="6">
        <v>124</v>
      </c>
      <c r="BZ2721">
        <v>2479</v>
      </c>
    </row>
    <row r="2723" spans="1:78" x14ac:dyDescent="0.35">
      <c r="A2723" s="1" t="s">
        <v>965</v>
      </c>
    </row>
    <row r="2724" spans="1:78" x14ac:dyDescent="0.35">
      <c r="A2724" t="s">
        <v>219</v>
      </c>
      <c r="B2724" t="s">
        <v>301</v>
      </c>
      <c r="C2724" t="s">
        <v>882</v>
      </c>
      <c r="D2724" t="s">
        <v>883</v>
      </c>
      <c r="E2724" t="s">
        <v>884</v>
      </c>
      <c r="F2724" t="s">
        <v>885</v>
      </c>
      <c r="G2724" t="s">
        <v>886</v>
      </c>
      <c r="H2724" t="s">
        <v>887</v>
      </c>
      <c r="I2724" t="s">
        <v>888</v>
      </c>
      <c r="J2724" t="s">
        <v>889</v>
      </c>
      <c r="K2724" t="s">
        <v>890</v>
      </c>
      <c r="L2724" t="s">
        <v>891</v>
      </c>
      <c r="M2724" t="s">
        <v>892</v>
      </c>
      <c r="N2724" t="s">
        <v>893</v>
      </c>
      <c r="O2724" t="s">
        <v>894</v>
      </c>
      <c r="P2724" t="s">
        <v>895</v>
      </c>
      <c r="Q2724" t="s">
        <v>896</v>
      </c>
      <c r="R2724" t="s">
        <v>897</v>
      </c>
      <c r="S2724" t="s">
        <v>898</v>
      </c>
      <c r="T2724" t="s">
        <v>899</v>
      </c>
      <c r="U2724" t="s">
        <v>900</v>
      </c>
      <c r="V2724" t="s">
        <v>901</v>
      </c>
      <c r="W2724" t="s">
        <v>902</v>
      </c>
      <c r="X2724" t="s">
        <v>903</v>
      </c>
      <c r="Y2724" t="s">
        <v>904</v>
      </c>
      <c r="Z2724" t="s">
        <v>905</v>
      </c>
      <c r="AA2724" t="s">
        <v>906</v>
      </c>
      <c r="AB2724" t="s">
        <v>907</v>
      </c>
      <c r="AC2724" t="s">
        <v>908</v>
      </c>
      <c r="AD2724" t="s">
        <v>909</v>
      </c>
      <c r="AE2724" t="s">
        <v>910</v>
      </c>
      <c r="AF2724" t="s">
        <v>911</v>
      </c>
      <c r="AG2724" t="s">
        <v>912</v>
      </c>
      <c r="AH2724" t="s">
        <v>913</v>
      </c>
      <c r="AI2724" t="s">
        <v>914</v>
      </c>
      <c r="AJ2724" t="s">
        <v>915</v>
      </c>
      <c r="AK2724" t="s">
        <v>916</v>
      </c>
      <c r="AL2724" t="s">
        <v>917</v>
      </c>
      <c r="AM2724" t="s">
        <v>918</v>
      </c>
      <c r="AN2724" t="s">
        <v>919</v>
      </c>
      <c r="AO2724" t="s">
        <v>920</v>
      </c>
      <c r="AP2724" t="s">
        <v>921</v>
      </c>
      <c r="AQ2724" t="s">
        <v>922</v>
      </c>
      <c r="AR2724" t="s">
        <v>923</v>
      </c>
      <c r="AS2724" t="s">
        <v>924</v>
      </c>
      <c r="AT2724" t="s">
        <v>925</v>
      </c>
      <c r="AU2724" t="s">
        <v>926</v>
      </c>
      <c r="AV2724" t="s">
        <v>927</v>
      </c>
      <c r="AW2724" t="s">
        <v>928</v>
      </c>
      <c r="AX2724" t="s">
        <v>929</v>
      </c>
      <c r="AY2724" t="s">
        <v>930</v>
      </c>
      <c r="AZ2724" t="s">
        <v>931</v>
      </c>
      <c r="BA2724" t="s">
        <v>932</v>
      </c>
      <c r="BB2724" t="s">
        <v>933</v>
      </c>
      <c r="BC2724" t="s">
        <v>934</v>
      </c>
      <c r="BD2724" t="s">
        <v>935</v>
      </c>
      <c r="BE2724" t="s">
        <v>936</v>
      </c>
      <c r="BF2724" t="s">
        <v>937</v>
      </c>
      <c r="BG2724" t="s">
        <v>938</v>
      </c>
      <c r="BH2724" t="s">
        <v>939</v>
      </c>
      <c r="BI2724" t="s">
        <v>940</v>
      </c>
      <c r="BJ2724" t="s">
        <v>941</v>
      </c>
      <c r="BK2724" t="s">
        <v>942</v>
      </c>
      <c r="BL2724" t="s">
        <v>943</v>
      </c>
      <c r="BM2724" t="s">
        <v>944</v>
      </c>
      <c r="BN2724" t="s">
        <v>945</v>
      </c>
      <c r="BO2724" t="s">
        <v>946</v>
      </c>
      <c r="BP2724" t="s">
        <v>947</v>
      </c>
      <c r="BQ2724" t="s">
        <v>948</v>
      </c>
      <c r="BR2724" t="s">
        <v>949</v>
      </c>
      <c r="BS2724" t="s">
        <v>950</v>
      </c>
      <c r="BT2724" t="s">
        <v>951</v>
      </c>
      <c r="BU2724" t="s">
        <v>952</v>
      </c>
      <c r="BV2724" t="s">
        <v>953</v>
      </c>
      <c r="BW2724" t="s">
        <v>954</v>
      </c>
      <c r="BX2724" t="s">
        <v>955</v>
      </c>
      <c r="BY2724" t="s">
        <v>956</v>
      </c>
      <c r="BZ2724" t="s">
        <v>957</v>
      </c>
    </row>
    <row r="2725" spans="1:78" x14ac:dyDescent="0.35">
      <c r="A2725" t="s">
        <v>227</v>
      </c>
      <c r="B2725" t="s">
        <v>343</v>
      </c>
      <c r="C2725">
        <v>7342.74</v>
      </c>
      <c r="D2725">
        <v>5000</v>
      </c>
      <c r="E2725">
        <v>400</v>
      </c>
      <c r="F2725">
        <v>30000</v>
      </c>
      <c r="G2725" s="6">
        <v>331</v>
      </c>
      <c r="H2725">
        <v>3201.09</v>
      </c>
      <c r="I2725">
        <v>3000</v>
      </c>
      <c r="J2725">
        <v>100</v>
      </c>
      <c r="K2725">
        <v>15000</v>
      </c>
      <c r="L2725" s="6">
        <v>145</v>
      </c>
      <c r="M2725">
        <v>6181.28</v>
      </c>
      <c r="N2725">
        <v>5000</v>
      </c>
      <c r="O2725">
        <v>300</v>
      </c>
      <c r="P2725">
        <v>16000</v>
      </c>
      <c r="Q2725" s="6">
        <v>188</v>
      </c>
      <c r="R2725">
        <v>395.32</v>
      </c>
      <c r="S2725">
        <v>300</v>
      </c>
      <c r="T2725">
        <v>50</v>
      </c>
      <c r="U2725">
        <v>3000</v>
      </c>
      <c r="V2725" s="6">
        <v>207</v>
      </c>
      <c r="W2725">
        <v>481.84</v>
      </c>
      <c r="X2725">
        <v>300</v>
      </c>
      <c r="Y2725">
        <v>50</v>
      </c>
      <c r="Z2725">
        <v>3000</v>
      </c>
      <c r="AA2725" s="6">
        <v>186</v>
      </c>
      <c r="AB2725">
        <v>807.72</v>
      </c>
      <c r="AC2725">
        <v>500</v>
      </c>
      <c r="AD2725">
        <v>100</v>
      </c>
      <c r="AE2725">
        <v>5000</v>
      </c>
      <c r="AF2725" s="6">
        <v>272</v>
      </c>
      <c r="AG2725">
        <v>685.56</v>
      </c>
      <c r="AH2725">
        <v>500</v>
      </c>
      <c r="AI2725">
        <v>100</v>
      </c>
      <c r="AJ2725">
        <v>5000</v>
      </c>
      <c r="AK2725" s="6">
        <v>130</v>
      </c>
      <c r="AL2725">
        <v>2058.2399999999998</v>
      </c>
      <c r="AM2725">
        <v>1800</v>
      </c>
      <c r="AN2725">
        <v>300</v>
      </c>
      <c r="AO2725">
        <v>8000</v>
      </c>
      <c r="AP2725" s="6">
        <v>318</v>
      </c>
      <c r="AQ2725">
        <v>2248.46</v>
      </c>
      <c r="AR2725">
        <v>1000</v>
      </c>
      <c r="AS2725">
        <v>50</v>
      </c>
      <c r="AT2725">
        <v>30000</v>
      </c>
      <c r="AU2725" s="6">
        <v>225</v>
      </c>
      <c r="AV2725">
        <v>760.07</v>
      </c>
      <c r="AW2725">
        <v>600</v>
      </c>
      <c r="AX2725">
        <v>100</v>
      </c>
      <c r="AY2725">
        <v>3000</v>
      </c>
      <c r="AZ2725" s="6">
        <v>45</v>
      </c>
      <c r="BA2725">
        <v>594.12</v>
      </c>
      <c r="BB2725">
        <v>500</v>
      </c>
      <c r="BC2725">
        <v>125</v>
      </c>
      <c r="BD2725">
        <v>2800</v>
      </c>
      <c r="BE2725" s="6">
        <v>349</v>
      </c>
      <c r="BF2725">
        <v>2347.81</v>
      </c>
      <c r="BG2725">
        <v>2500</v>
      </c>
      <c r="BH2725">
        <v>200</v>
      </c>
      <c r="BI2725">
        <v>10000</v>
      </c>
      <c r="BJ2725" s="6">
        <v>18</v>
      </c>
      <c r="BK2725">
        <v>2378.69</v>
      </c>
      <c r="BL2725">
        <v>1000</v>
      </c>
      <c r="BM2725">
        <v>300</v>
      </c>
      <c r="BN2725">
        <v>20000</v>
      </c>
      <c r="BO2725" s="6">
        <v>49</v>
      </c>
      <c r="BP2725">
        <v>1431.13</v>
      </c>
      <c r="BQ2725">
        <v>500</v>
      </c>
      <c r="BR2725">
        <v>50</v>
      </c>
      <c r="BS2725">
        <v>20000</v>
      </c>
      <c r="BT2725" s="6">
        <v>172</v>
      </c>
      <c r="BU2725">
        <v>4179.26</v>
      </c>
      <c r="BV2725">
        <v>4000</v>
      </c>
      <c r="BW2725">
        <v>100</v>
      </c>
      <c r="BX2725">
        <v>10000</v>
      </c>
      <c r="BY2725" s="6">
        <v>19</v>
      </c>
      <c r="BZ2725">
        <v>349</v>
      </c>
    </row>
    <row r="2726" spans="1:78" x14ac:dyDescent="0.35">
      <c r="A2726" t="s">
        <v>227</v>
      </c>
      <c r="B2726" t="s">
        <v>344</v>
      </c>
      <c r="C2726">
        <v>7966.5</v>
      </c>
      <c r="D2726">
        <v>6000</v>
      </c>
      <c r="E2726">
        <v>200</v>
      </c>
      <c r="F2726">
        <v>30000</v>
      </c>
      <c r="G2726" s="6">
        <v>2038</v>
      </c>
      <c r="H2726">
        <v>4200.84</v>
      </c>
      <c r="I2726">
        <v>3000</v>
      </c>
      <c r="J2726">
        <v>100</v>
      </c>
      <c r="K2726">
        <v>60000</v>
      </c>
      <c r="L2726" s="6">
        <v>932</v>
      </c>
      <c r="M2726">
        <v>5629.61</v>
      </c>
      <c r="N2726">
        <v>5000</v>
      </c>
      <c r="O2726">
        <v>183</v>
      </c>
      <c r="P2726">
        <v>15000</v>
      </c>
      <c r="Q2726" s="6">
        <v>157</v>
      </c>
      <c r="R2726">
        <v>487.23</v>
      </c>
      <c r="S2726">
        <v>300</v>
      </c>
      <c r="T2726">
        <v>50</v>
      </c>
      <c r="U2726">
        <v>3000</v>
      </c>
      <c r="V2726" s="6">
        <v>973</v>
      </c>
      <c r="W2726">
        <v>553.21</v>
      </c>
      <c r="X2726">
        <v>500</v>
      </c>
      <c r="Y2726">
        <v>30</v>
      </c>
      <c r="Z2726">
        <v>3000</v>
      </c>
      <c r="AA2726" s="6">
        <v>1079</v>
      </c>
      <c r="AB2726">
        <v>881.03</v>
      </c>
      <c r="AC2726">
        <v>600</v>
      </c>
      <c r="AD2726">
        <v>100</v>
      </c>
      <c r="AE2726">
        <v>5000</v>
      </c>
      <c r="AF2726" s="6">
        <v>1654</v>
      </c>
      <c r="AG2726">
        <v>663.74</v>
      </c>
      <c r="AH2726">
        <v>500</v>
      </c>
      <c r="AI2726">
        <v>100</v>
      </c>
      <c r="AJ2726">
        <v>5000</v>
      </c>
      <c r="AK2726" s="6">
        <v>726</v>
      </c>
      <c r="AL2726">
        <v>2142.73</v>
      </c>
      <c r="AM2726">
        <v>2000</v>
      </c>
      <c r="AN2726">
        <v>300</v>
      </c>
      <c r="AO2726">
        <v>9100</v>
      </c>
      <c r="AP2726" s="6">
        <v>2113</v>
      </c>
      <c r="AQ2726">
        <v>2292.91</v>
      </c>
      <c r="AR2726">
        <v>1000</v>
      </c>
      <c r="AS2726">
        <v>50</v>
      </c>
      <c r="AT2726">
        <v>30000</v>
      </c>
      <c r="AU2726" s="6">
        <v>1295</v>
      </c>
      <c r="AV2726">
        <v>780.04</v>
      </c>
      <c r="AW2726">
        <v>500</v>
      </c>
      <c r="AX2726">
        <v>100</v>
      </c>
      <c r="AY2726">
        <v>3000</v>
      </c>
      <c r="AZ2726" s="6">
        <v>221</v>
      </c>
      <c r="BA2726">
        <v>620.07000000000005</v>
      </c>
      <c r="BB2726">
        <v>500</v>
      </c>
      <c r="BC2726">
        <v>50</v>
      </c>
      <c r="BD2726">
        <v>2800</v>
      </c>
      <c r="BE2726" s="6">
        <v>2130</v>
      </c>
      <c r="BF2726">
        <v>3209.34</v>
      </c>
      <c r="BG2726">
        <v>2000</v>
      </c>
      <c r="BH2726">
        <v>400</v>
      </c>
      <c r="BI2726">
        <v>10000</v>
      </c>
      <c r="BJ2726" s="6">
        <v>114</v>
      </c>
      <c r="BK2726">
        <v>5204.43</v>
      </c>
      <c r="BL2726">
        <v>2000</v>
      </c>
      <c r="BM2726">
        <v>100</v>
      </c>
      <c r="BN2726">
        <v>30000</v>
      </c>
      <c r="BO2726" s="6">
        <v>412</v>
      </c>
      <c r="BP2726">
        <v>1266.52</v>
      </c>
      <c r="BQ2726">
        <v>600</v>
      </c>
      <c r="BR2726">
        <v>50</v>
      </c>
      <c r="BS2726">
        <v>30000</v>
      </c>
      <c r="BT2726" s="6">
        <v>1124</v>
      </c>
      <c r="BU2726">
        <v>3105.15</v>
      </c>
      <c r="BV2726">
        <v>2500</v>
      </c>
      <c r="BW2726">
        <v>200</v>
      </c>
      <c r="BX2726">
        <v>10000</v>
      </c>
      <c r="BY2726" s="6">
        <v>105</v>
      </c>
      <c r="BZ2726">
        <v>2130</v>
      </c>
    </row>
    <row r="2727" spans="1:78" x14ac:dyDescent="0.35">
      <c r="A2727" t="s">
        <v>228</v>
      </c>
      <c r="B2727" t="s">
        <v>228</v>
      </c>
      <c r="C2727">
        <v>7868.72</v>
      </c>
      <c r="D2727">
        <v>6000</v>
      </c>
      <c r="E2727">
        <v>200</v>
      </c>
      <c r="F2727">
        <v>30000</v>
      </c>
      <c r="G2727" s="6">
        <v>2369</v>
      </c>
      <c r="H2727">
        <v>4052.31</v>
      </c>
      <c r="I2727">
        <v>3000</v>
      </c>
      <c r="J2727">
        <v>100</v>
      </c>
      <c r="K2727">
        <v>60000</v>
      </c>
      <c r="L2727" s="6">
        <v>1077</v>
      </c>
      <c r="M2727">
        <v>5938.14</v>
      </c>
      <c r="N2727">
        <v>5000</v>
      </c>
      <c r="O2727">
        <v>183</v>
      </c>
      <c r="P2727">
        <v>16000</v>
      </c>
      <c r="Q2727" s="6">
        <v>345</v>
      </c>
      <c r="R2727">
        <v>468.12</v>
      </c>
      <c r="S2727">
        <v>300</v>
      </c>
      <c r="T2727">
        <v>50</v>
      </c>
      <c r="U2727">
        <v>3000</v>
      </c>
      <c r="V2727" s="6">
        <v>1180</v>
      </c>
      <c r="W2727">
        <v>542.04</v>
      </c>
      <c r="X2727">
        <v>401</v>
      </c>
      <c r="Y2727">
        <v>30</v>
      </c>
      <c r="Z2727">
        <v>3000</v>
      </c>
      <c r="AA2727" s="6">
        <v>1265</v>
      </c>
      <c r="AB2727">
        <v>868.78</v>
      </c>
      <c r="AC2727">
        <v>500</v>
      </c>
      <c r="AD2727">
        <v>100</v>
      </c>
      <c r="AE2727">
        <v>5000</v>
      </c>
      <c r="AF2727" s="6">
        <v>1926</v>
      </c>
      <c r="AG2727">
        <v>667.4</v>
      </c>
      <c r="AH2727">
        <v>500</v>
      </c>
      <c r="AI2727">
        <v>100</v>
      </c>
      <c r="AJ2727">
        <v>5000</v>
      </c>
      <c r="AK2727" s="6">
        <v>856</v>
      </c>
      <c r="AL2727">
        <v>2130.96</v>
      </c>
      <c r="AM2727">
        <v>2000</v>
      </c>
      <c r="AN2727">
        <v>300</v>
      </c>
      <c r="AO2727">
        <v>9100</v>
      </c>
      <c r="AP2727" s="6">
        <v>2431</v>
      </c>
      <c r="AQ2727">
        <v>2285.5300000000002</v>
      </c>
      <c r="AR2727">
        <v>1000</v>
      </c>
      <c r="AS2727">
        <v>50</v>
      </c>
      <c r="AT2727">
        <v>30000</v>
      </c>
      <c r="AU2727" s="6">
        <v>1520</v>
      </c>
      <c r="AV2727">
        <v>776.74</v>
      </c>
      <c r="AW2727">
        <v>500</v>
      </c>
      <c r="AX2727">
        <v>100</v>
      </c>
      <c r="AY2727">
        <v>3000</v>
      </c>
      <c r="AZ2727" s="6">
        <v>266</v>
      </c>
      <c r="BA2727">
        <v>615.85</v>
      </c>
      <c r="BB2727">
        <v>500</v>
      </c>
      <c r="BC2727">
        <v>50</v>
      </c>
      <c r="BD2727">
        <v>2800</v>
      </c>
      <c r="BE2727" s="6">
        <v>2479</v>
      </c>
      <c r="BF2727">
        <v>3040.04</v>
      </c>
      <c r="BG2727">
        <v>2000</v>
      </c>
      <c r="BH2727">
        <v>200</v>
      </c>
      <c r="BI2727">
        <v>10000</v>
      </c>
      <c r="BJ2727" s="6">
        <v>132</v>
      </c>
      <c r="BK2727">
        <v>4895.0200000000004</v>
      </c>
      <c r="BL2727">
        <v>2000</v>
      </c>
      <c r="BM2727">
        <v>100</v>
      </c>
      <c r="BN2727">
        <v>30000</v>
      </c>
      <c r="BO2727" s="6">
        <v>461</v>
      </c>
      <c r="BP2727">
        <v>1288.5999999999999</v>
      </c>
      <c r="BQ2727">
        <v>600</v>
      </c>
      <c r="BR2727">
        <v>50</v>
      </c>
      <c r="BS2727">
        <v>30000</v>
      </c>
      <c r="BT2727" s="6">
        <v>1296</v>
      </c>
      <c r="BU2727">
        <v>3251.2</v>
      </c>
      <c r="BV2727">
        <v>2500</v>
      </c>
      <c r="BW2727">
        <v>100</v>
      </c>
      <c r="BX2727">
        <v>10000</v>
      </c>
      <c r="BY2727" s="6">
        <v>124</v>
      </c>
      <c r="BZ2727">
        <v>2479</v>
      </c>
    </row>
    <row r="2729" spans="1:78" x14ac:dyDescent="0.35">
      <c r="A2729" s="1" t="s">
        <v>966</v>
      </c>
    </row>
    <row r="2730" spans="1:78" x14ac:dyDescent="0.35">
      <c r="A2730" t="s">
        <v>219</v>
      </c>
      <c r="B2730" t="s">
        <v>301</v>
      </c>
      <c r="C2730" t="s">
        <v>882</v>
      </c>
      <c r="D2730" t="s">
        <v>883</v>
      </c>
      <c r="E2730" t="s">
        <v>884</v>
      </c>
      <c r="F2730" t="s">
        <v>885</v>
      </c>
      <c r="G2730" t="s">
        <v>886</v>
      </c>
      <c r="H2730" t="s">
        <v>887</v>
      </c>
      <c r="I2730" t="s">
        <v>888</v>
      </c>
      <c r="J2730" t="s">
        <v>889</v>
      </c>
      <c r="K2730" t="s">
        <v>890</v>
      </c>
      <c r="L2730" t="s">
        <v>891</v>
      </c>
      <c r="M2730" t="s">
        <v>892</v>
      </c>
      <c r="N2730" t="s">
        <v>893</v>
      </c>
      <c r="O2730" t="s">
        <v>894</v>
      </c>
      <c r="P2730" t="s">
        <v>895</v>
      </c>
      <c r="Q2730" t="s">
        <v>896</v>
      </c>
      <c r="R2730" t="s">
        <v>897</v>
      </c>
      <c r="S2730" t="s">
        <v>898</v>
      </c>
      <c r="T2730" t="s">
        <v>899</v>
      </c>
      <c r="U2730" t="s">
        <v>900</v>
      </c>
      <c r="V2730" t="s">
        <v>901</v>
      </c>
      <c r="W2730" t="s">
        <v>902</v>
      </c>
      <c r="X2730" t="s">
        <v>903</v>
      </c>
      <c r="Y2730" t="s">
        <v>904</v>
      </c>
      <c r="Z2730" t="s">
        <v>905</v>
      </c>
      <c r="AA2730" t="s">
        <v>906</v>
      </c>
      <c r="AB2730" t="s">
        <v>907</v>
      </c>
      <c r="AC2730" t="s">
        <v>908</v>
      </c>
      <c r="AD2730" t="s">
        <v>909</v>
      </c>
      <c r="AE2730" t="s">
        <v>910</v>
      </c>
      <c r="AF2730" t="s">
        <v>911</v>
      </c>
      <c r="AG2730" t="s">
        <v>912</v>
      </c>
      <c r="AH2730" t="s">
        <v>913</v>
      </c>
      <c r="AI2730" t="s">
        <v>914</v>
      </c>
      <c r="AJ2730" t="s">
        <v>915</v>
      </c>
      <c r="AK2730" t="s">
        <v>916</v>
      </c>
      <c r="AL2730" t="s">
        <v>917</v>
      </c>
      <c r="AM2730" t="s">
        <v>918</v>
      </c>
      <c r="AN2730" t="s">
        <v>919</v>
      </c>
      <c r="AO2730" t="s">
        <v>920</v>
      </c>
      <c r="AP2730" t="s">
        <v>921</v>
      </c>
      <c r="AQ2730" t="s">
        <v>922</v>
      </c>
      <c r="AR2730" t="s">
        <v>923</v>
      </c>
      <c r="AS2730" t="s">
        <v>924</v>
      </c>
      <c r="AT2730" t="s">
        <v>925</v>
      </c>
      <c r="AU2730" t="s">
        <v>926</v>
      </c>
      <c r="AV2730" t="s">
        <v>927</v>
      </c>
      <c r="AW2730" t="s">
        <v>928</v>
      </c>
      <c r="AX2730" t="s">
        <v>929</v>
      </c>
      <c r="AY2730" t="s">
        <v>930</v>
      </c>
      <c r="AZ2730" t="s">
        <v>931</v>
      </c>
      <c r="BA2730" t="s">
        <v>932</v>
      </c>
      <c r="BB2730" t="s">
        <v>933</v>
      </c>
      <c r="BC2730" t="s">
        <v>934</v>
      </c>
      <c r="BD2730" t="s">
        <v>935</v>
      </c>
      <c r="BE2730" t="s">
        <v>936</v>
      </c>
      <c r="BF2730" t="s">
        <v>937</v>
      </c>
      <c r="BG2730" t="s">
        <v>938</v>
      </c>
      <c r="BH2730" t="s">
        <v>939</v>
      </c>
      <c r="BI2730" t="s">
        <v>940</v>
      </c>
      <c r="BJ2730" t="s">
        <v>941</v>
      </c>
      <c r="BK2730" t="s">
        <v>942</v>
      </c>
      <c r="BL2730" t="s">
        <v>943</v>
      </c>
      <c r="BM2730" t="s">
        <v>944</v>
      </c>
      <c r="BN2730" t="s">
        <v>945</v>
      </c>
      <c r="BO2730" t="s">
        <v>946</v>
      </c>
      <c r="BP2730" t="s">
        <v>947</v>
      </c>
      <c r="BQ2730" t="s">
        <v>948</v>
      </c>
      <c r="BR2730" t="s">
        <v>949</v>
      </c>
      <c r="BS2730" t="s">
        <v>950</v>
      </c>
      <c r="BT2730" t="s">
        <v>951</v>
      </c>
      <c r="BU2730" t="s">
        <v>952</v>
      </c>
      <c r="BV2730" t="s">
        <v>953</v>
      </c>
      <c r="BW2730" t="s">
        <v>954</v>
      </c>
      <c r="BX2730" t="s">
        <v>955</v>
      </c>
      <c r="BY2730" t="s">
        <v>956</v>
      </c>
      <c r="BZ2730" t="s">
        <v>957</v>
      </c>
    </row>
    <row r="2731" spans="1:78" x14ac:dyDescent="0.35">
      <c r="A2731" t="s">
        <v>227</v>
      </c>
      <c r="B2731" t="s">
        <v>346</v>
      </c>
      <c r="C2731">
        <v>7977.12</v>
      </c>
      <c r="D2731">
        <v>6000</v>
      </c>
      <c r="E2731">
        <v>200</v>
      </c>
      <c r="F2731">
        <v>30000</v>
      </c>
      <c r="G2731" s="6">
        <v>1255</v>
      </c>
      <c r="H2731">
        <v>4148.5600000000004</v>
      </c>
      <c r="I2731">
        <v>3000</v>
      </c>
      <c r="J2731">
        <v>100</v>
      </c>
      <c r="K2731">
        <v>60000</v>
      </c>
      <c r="L2731" s="6">
        <v>628</v>
      </c>
      <c r="M2731">
        <v>6107.95</v>
      </c>
      <c r="N2731">
        <v>5000</v>
      </c>
      <c r="O2731">
        <v>400</v>
      </c>
      <c r="P2731">
        <v>16000</v>
      </c>
      <c r="Q2731" s="6">
        <v>199</v>
      </c>
      <c r="R2731">
        <v>468.89</v>
      </c>
      <c r="S2731">
        <v>300</v>
      </c>
      <c r="T2731">
        <v>50</v>
      </c>
      <c r="U2731">
        <v>3000</v>
      </c>
      <c r="V2731" s="6">
        <v>665</v>
      </c>
      <c r="W2731">
        <v>549.16</v>
      </c>
      <c r="X2731">
        <v>500</v>
      </c>
      <c r="Y2731">
        <v>30</v>
      </c>
      <c r="Z2731">
        <v>3000</v>
      </c>
      <c r="AA2731" s="6">
        <v>720</v>
      </c>
      <c r="AB2731">
        <v>889.8</v>
      </c>
      <c r="AC2731">
        <v>600</v>
      </c>
      <c r="AD2731">
        <v>100</v>
      </c>
      <c r="AE2731">
        <v>5000</v>
      </c>
      <c r="AF2731" s="6">
        <v>1057</v>
      </c>
      <c r="AG2731">
        <v>680.09</v>
      </c>
      <c r="AH2731">
        <v>500</v>
      </c>
      <c r="AI2731">
        <v>100</v>
      </c>
      <c r="AJ2731">
        <v>5000</v>
      </c>
      <c r="AK2731" s="6">
        <v>477</v>
      </c>
      <c r="AL2731">
        <v>2156.62</v>
      </c>
      <c r="AM2731">
        <v>2000</v>
      </c>
      <c r="AN2731">
        <v>300</v>
      </c>
      <c r="AO2731">
        <v>8000</v>
      </c>
      <c r="AP2731" s="6">
        <v>1282</v>
      </c>
      <c r="AQ2731">
        <v>2297.34</v>
      </c>
      <c r="AR2731">
        <v>1000</v>
      </c>
      <c r="AS2731">
        <v>50</v>
      </c>
      <c r="AT2731">
        <v>30000</v>
      </c>
      <c r="AU2731" s="6">
        <v>853</v>
      </c>
      <c r="AV2731">
        <v>756.92</v>
      </c>
      <c r="AW2731">
        <v>500</v>
      </c>
      <c r="AX2731">
        <v>100</v>
      </c>
      <c r="AY2731">
        <v>3000</v>
      </c>
      <c r="AZ2731" s="6">
        <v>149</v>
      </c>
      <c r="BA2731">
        <v>615.16999999999996</v>
      </c>
      <c r="BB2731">
        <v>500</v>
      </c>
      <c r="BC2731">
        <v>50</v>
      </c>
      <c r="BD2731">
        <v>2800</v>
      </c>
      <c r="BE2731" s="6">
        <v>1304</v>
      </c>
      <c r="BF2731">
        <v>3113.75</v>
      </c>
      <c r="BG2731">
        <v>2000</v>
      </c>
      <c r="BH2731">
        <v>300</v>
      </c>
      <c r="BI2731">
        <v>10000</v>
      </c>
      <c r="BJ2731" s="6">
        <v>70</v>
      </c>
      <c r="BK2731">
        <v>5008.5</v>
      </c>
      <c r="BL2731">
        <v>2000</v>
      </c>
      <c r="BM2731">
        <v>100</v>
      </c>
      <c r="BN2731">
        <v>30000</v>
      </c>
      <c r="BO2731" s="6">
        <v>301</v>
      </c>
      <c r="BP2731">
        <v>1305.96</v>
      </c>
      <c r="BQ2731">
        <v>600</v>
      </c>
      <c r="BR2731">
        <v>50</v>
      </c>
      <c r="BS2731">
        <v>30000</v>
      </c>
      <c r="BT2731" s="6">
        <v>674</v>
      </c>
      <c r="BU2731">
        <v>3357.49</v>
      </c>
      <c r="BV2731">
        <v>2500</v>
      </c>
      <c r="BW2731">
        <v>100</v>
      </c>
      <c r="BX2731">
        <v>10000</v>
      </c>
      <c r="BY2731" s="6">
        <v>74</v>
      </c>
      <c r="BZ2731">
        <v>1304</v>
      </c>
    </row>
    <row r="2732" spans="1:78" x14ac:dyDescent="0.35">
      <c r="A2732" t="s">
        <v>227</v>
      </c>
      <c r="B2732" t="s">
        <v>347</v>
      </c>
      <c r="C2732">
        <v>6252.67</v>
      </c>
      <c r="D2732">
        <v>5000</v>
      </c>
      <c r="E2732">
        <v>200</v>
      </c>
      <c r="F2732">
        <v>30000</v>
      </c>
      <c r="G2732" s="6">
        <v>485</v>
      </c>
      <c r="H2732">
        <v>3324.9</v>
      </c>
      <c r="I2732">
        <v>3000</v>
      </c>
      <c r="J2732">
        <v>100</v>
      </c>
      <c r="K2732">
        <v>30000</v>
      </c>
      <c r="L2732" s="6">
        <v>185</v>
      </c>
      <c r="M2732">
        <v>3632.01</v>
      </c>
      <c r="N2732">
        <v>3000</v>
      </c>
      <c r="O2732">
        <v>1000</v>
      </c>
      <c r="P2732">
        <v>15000</v>
      </c>
      <c r="Q2732" s="6">
        <v>52</v>
      </c>
      <c r="R2732">
        <v>528.63</v>
      </c>
      <c r="S2732">
        <v>350</v>
      </c>
      <c r="T2732">
        <v>50</v>
      </c>
      <c r="U2732">
        <v>3000</v>
      </c>
      <c r="V2732" s="6">
        <v>187</v>
      </c>
      <c r="W2732">
        <v>514.69000000000005</v>
      </c>
      <c r="X2732">
        <v>400</v>
      </c>
      <c r="Y2732">
        <v>50</v>
      </c>
      <c r="Z2732">
        <v>3000</v>
      </c>
      <c r="AA2732" s="6">
        <v>219</v>
      </c>
      <c r="AB2732">
        <v>779.79</v>
      </c>
      <c r="AC2732">
        <v>500</v>
      </c>
      <c r="AD2732">
        <v>100</v>
      </c>
      <c r="AE2732">
        <v>5000</v>
      </c>
      <c r="AF2732" s="6">
        <v>357</v>
      </c>
      <c r="AG2732">
        <v>613.9</v>
      </c>
      <c r="AH2732">
        <v>500</v>
      </c>
      <c r="AI2732">
        <v>100</v>
      </c>
      <c r="AJ2732">
        <v>5000</v>
      </c>
      <c r="AK2732" s="6">
        <v>170</v>
      </c>
      <c r="AL2732">
        <v>1796.1</v>
      </c>
      <c r="AM2732">
        <v>1500</v>
      </c>
      <c r="AN2732">
        <v>300</v>
      </c>
      <c r="AO2732">
        <v>9100</v>
      </c>
      <c r="AP2732" s="6">
        <v>489</v>
      </c>
      <c r="AQ2732">
        <v>2026.54</v>
      </c>
      <c r="AR2732">
        <v>1000</v>
      </c>
      <c r="AS2732">
        <v>50</v>
      </c>
      <c r="AT2732">
        <v>22000</v>
      </c>
      <c r="AU2732" s="6">
        <v>275</v>
      </c>
      <c r="AV2732">
        <v>1153.56</v>
      </c>
      <c r="AW2732">
        <v>1000</v>
      </c>
      <c r="AX2732">
        <v>150</v>
      </c>
      <c r="AY2732">
        <v>3000</v>
      </c>
      <c r="AZ2732" s="6">
        <v>53</v>
      </c>
      <c r="BA2732">
        <v>558.15</v>
      </c>
      <c r="BB2732">
        <v>500</v>
      </c>
      <c r="BC2732">
        <v>50</v>
      </c>
      <c r="BD2732">
        <v>2000</v>
      </c>
      <c r="BE2732" s="6">
        <v>504</v>
      </c>
      <c r="BF2732">
        <v>1947.93</v>
      </c>
      <c r="BG2732">
        <v>2000</v>
      </c>
      <c r="BH2732">
        <v>200</v>
      </c>
      <c r="BI2732">
        <v>10000</v>
      </c>
      <c r="BJ2732" s="6">
        <v>31</v>
      </c>
      <c r="BK2732">
        <v>3720.16</v>
      </c>
      <c r="BL2732">
        <v>1500</v>
      </c>
      <c r="BM2732">
        <v>100</v>
      </c>
      <c r="BN2732">
        <v>30000</v>
      </c>
      <c r="BO2732" s="6">
        <v>51</v>
      </c>
      <c r="BP2732">
        <v>1356.5</v>
      </c>
      <c r="BQ2732">
        <v>700</v>
      </c>
      <c r="BR2732">
        <v>50</v>
      </c>
      <c r="BS2732">
        <v>20000</v>
      </c>
      <c r="BT2732" s="6">
        <v>264</v>
      </c>
      <c r="BU2732">
        <v>2479.75</v>
      </c>
      <c r="BV2732">
        <v>1700</v>
      </c>
      <c r="BW2732">
        <v>200</v>
      </c>
      <c r="BX2732">
        <v>10000</v>
      </c>
      <c r="BY2732" s="6">
        <v>22</v>
      </c>
      <c r="BZ2732">
        <v>504</v>
      </c>
    </row>
    <row r="2733" spans="1:78" x14ac:dyDescent="0.35">
      <c r="A2733" t="s">
        <v>227</v>
      </c>
      <c r="B2733" t="s">
        <v>348</v>
      </c>
      <c r="C2733">
        <v>7455.26</v>
      </c>
      <c r="D2733">
        <v>6000</v>
      </c>
      <c r="E2733">
        <v>200</v>
      </c>
      <c r="F2733">
        <v>30000</v>
      </c>
      <c r="G2733" s="6">
        <v>629</v>
      </c>
      <c r="H2733">
        <v>3191.17</v>
      </c>
      <c r="I2733">
        <v>2500</v>
      </c>
      <c r="J2733">
        <v>100</v>
      </c>
      <c r="K2733">
        <v>20000</v>
      </c>
      <c r="L2733" s="6">
        <v>264</v>
      </c>
      <c r="M2733">
        <v>4707.3999999999996</v>
      </c>
      <c r="N2733">
        <v>5000</v>
      </c>
      <c r="O2733">
        <v>183</v>
      </c>
      <c r="P2733">
        <v>12000</v>
      </c>
      <c r="Q2733" s="6">
        <v>94</v>
      </c>
      <c r="R2733">
        <v>445.49</v>
      </c>
      <c r="S2733">
        <v>300</v>
      </c>
      <c r="T2733">
        <v>50</v>
      </c>
      <c r="U2733">
        <v>2000</v>
      </c>
      <c r="V2733" s="6">
        <v>328</v>
      </c>
      <c r="W2733">
        <v>475.7</v>
      </c>
      <c r="X2733">
        <v>300</v>
      </c>
      <c r="Y2733">
        <v>50</v>
      </c>
      <c r="Z2733">
        <v>3000</v>
      </c>
      <c r="AA2733" s="6">
        <v>326</v>
      </c>
      <c r="AB2733">
        <v>689.57</v>
      </c>
      <c r="AC2733">
        <v>500</v>
      </c>
      <c r="AD2733">
        <v>100</v>
      </c>
      <c r="AE2733">
        <v>5000</v>
      </c>
      <c r="AF2733" s="6">
        <v>512</v>
      </c>
      <c r="AG2733">
        <v>543.29</v>
      </c>
      <c r="AH2733">
        <v>400</v>
      </c>
      <c r="AI2733">
        <v>100</v>
      </c>
      <c r="AJ2733">
        <v>5000</v>
      </c>
      <c r="AK2733" s="6">
        <v>209</v>
      </c>
      <c r="AL2733">
        <v>2017.68</v>
      </c>
      <c r="AM2733">
        <v>1800</v>
      </c>
      <c r="AN2733">
        <v>300</v>
      </c>
      <c r="AO2733">
        <v>9000</v>
      </c>
      <c r="AP2733" s="6">
        <v>660</v>
      </c>
      <c r="AQ2733">
        <v>2246.41</v>
      </c>
      <c r="AR2733">
        <v>1000</v>
      </c>
      <c r="AS2733">
        <v>50</v>
      </c>
      <c r="AT2733">
        <v>30000</v>
      </c>
      <c r="AU2733" s="6">
        <v>392</v>
      </c>
      <c r="AV2733">
        <v>881</v>
      </c>
      <c r="AW2733">
        <v>1000</v>
      </c>
      <c r="AX2733">
        <v>100</v>
      </c>
      <c r="AY2733">
        <v>3000</v>
      </c>
      <c r="AZ2733" s="6">
        <v>64</v>
      </c>
      <c r="BA2733">
        <v>643.11</v>
      </c>
      <c r="BB2733">
        <v>500</v>
      </c>
      <c r="BC2733">
        <v>100</v>
      </c>
      <c r="BD2733">
        <v>2800</v>
      </c>
      <c r="BE2733" s="6">
        <v>671</v>
      </c>
      <c r="BF2733">
        <v>2647.03</v>
      </c>
      <c r="BG2733">
        <v>2000</v>
      </c>
      <c r="BH2733">
        <v>400</v>
      </c>
      <c r="BI2733">
        <v>6000</v>
      </c>
      <c r="BJ2733" s="6">
        <v>31</v>
      </c>
      <c r="BK2733">
        <v>3577.54</v>
      </c>
      <c r="BL2733">
        <v>2000</v>
      </c>
      <c r="BM2733">
        <v>100</v>
      </c>
      <c r="BN2733">
        <v>30000</v>
      </c>
      <c r="BO2733" s="6">
        <v>109</v>
      </c>
      <c r="BP2733">
        <v>1102.6400000000001</v>
      </c>
      <c r="BQ2733">
        <v>600</v>
      </c>
      <c r="BR2733">
        <v>50</v>
      </c>
      <c r="BS2733">
        <v>20000</v>
      </c>
      <c r="BT2733" s="6">
        <v>358</v>
      </c>
      <c r="BU2733">
        <v>1932.76</v>
      </c>
      <c r="BV2733">
        <v>1500</v>
      </c>
      <c r="BW2733">
        <v>200</v>
      </c>
      <c r="BX2733">
        <v>7000</v>
      </c>
      <c r="BY2733" s="6">
        <v>28</v>
      </c>
      <c r="BZ2733">
        <v>671</v>
      </c>
    </row>
    <row r="2734" spans="1:78" x14ac:dyDescent="0.35">
      <c r="A2734" t="s">
        <v>228</v>
      </c>
      <c r="B2734" t="s">
        <v>228</v>
      </c>
      <c r="C2734">
        <v>7868.72</v>
      </c>
      <c r="D2734">
        <v>6000</v>
      </c>
      <c r="E2734">
        <v>200</v>
      </c>
      <c r="F2734">
        <v>30000</v>
      </c>
      <c r="G2734" s="6">
        <v>2369</v>
      </c>
      <c r="H2734">
        <v>4052.31</v>
      </c>
      <c r="I2734">
        <v>3000</v>
      </c>
      <c r="J2734">
        <v>100</v>
      </c>
      <c r="K2734">
        <v>60000</v>
      </c>
      <c r="L2734" s="6">
        <v>1077</v>
      </c>
      <c r="M2734">
        <v>5938.14</v>
      </c>
      <c r="N2734">
        <v>5000</v>
      </c>
      <c r="O2734">
        <v>183</v>
      </c>
      <c r="P2734">
        <v>16000</v>
      </c>
      <c r="Q2734" s="6">
        <v>345</v>
      </c>
      <c r="R2734">
        <v>468.12</v>
      </c>
      <c r="S2734">
        <v>300</v>
      </c>
      <c r="T2734">
        <v>50</v>
      </c>
      <c r="U2734">
        <v>3000</v>
      </c>
      <c r="V2734" s="6">
        <v>1180</v>
      </c>
      <c r="W2734">
        <v>542.04</v>
      </c>
      <c r="X2734">
        <v>401</v>
      </c>
      <c r="Y2734">
        <v>30</v>
      </c>
      <c r="Z2734">
        <v>3000</v>
      </c>
      <c r="AA2734" s="6">
        <v>1265</v>
      </c>
      <c r="AB2734">
        <v>868.78</v>
      </c>
      <c r="AC2734">
        <v>500</v>
      </c>
      <c r="AD2734">
        <v>100</v>
      </c>
      <c r="AE2734">
        <v>5000</v>
      </c>
      <c r="AF2734" s="6">
        <v>1926</v>
      </c>
      <c r="AG2734">
        <v>667.4</v>
      </c>
      <c r="AH2734">
        <v>500</v>
      </c>
      <c r="AI2734">
        <v>100</v>
      </c>
      <c r="AJ2734">
        <v>5000</v>
      </c>
      <c r="AK2734" s="6">
        <v>856</v>
      </c>
      <c r="AL2734">
        <v>2130.96</v>
      </c>
      <c r="AM2734">
        <v>2000</v>
      </c>
      <c r="AN2734">
        <v>300</v>
      </c>
      <c r="AO2734">
        <v>9100</v>
      </c>
      <c r="AP2734" s="6">
        <v>2431</v>
      </c>
      <c r="AQ2734">
        <v>2285.5300000000002</v>
      </c>
      <c r="AR2734">
        <v>1000</v>
      </c>
      <c r="AS2734">
        <v>50</v>
      </c>
      <c r="AT2734">
        <v>30000</v>
      </c>
      <c r="AU2734" s="6">
        <v>1520</v>
      </c>
      <c r="AV2734">
        <v>776.74</v>
      </c>
      <c r="AW2734">
        <v>500</v>
      </c>
      <c r="AX2734">
        <v>100</v>
      </c>
      <c r="AY2734">
        <v>3000</v>
      </c>
      <c r="AZ2734" s="6">
        <v>266</v>
      </c>
      <c r="BA2734">
        <v>615.85</v>
      </c>
      <c r="BB2734">
        <v>500</v>
      </c>
      <c r="BC2734">
        <v>50</v>
      </c>
      <c r="BD2734">
        <v>2800</v>
      </c>
      <c r="BE2734" s="6">
        <v>2479</v>
      </c>
      <c r="BF2734">
        <v>3040.04</v>
      </c>
      <c r="BG2734">
        <v>2000</v>
      </c>
      <c r="BH2734">
        <v>200</v>
      </c>
      <c r="BI2734">
        <v>10000</v>
      </c>
      <c r="BJ2734" s="6">
        <v>132</v>
      </c>
      <c r="BK2734">
        <v>4895.0200000000004</v>
      </c>
      <c r="BL2734">
        <v>2000</v>
      </c>
      <c r="BM2734">
        <v>100</v>
      </c>
      <c r="BN2734">
        <v>30000</v>
      </c>
      <c r="BO2734" s="6">
        <v>461</v>
      </c>
      <c r="BP2734">
        <v>1288.5999999999999</v>
      </c>
      <c r="BQ2734">
        <v>600</v>
      </c>
      <c r="BR2734">
        <v>50</v>
      </c>
      <c r="BS2734">
        <v>30000</v>
      </c>
      <c r="BT2734" s="6">
        <v>1296</v>
      </c>
      <c r="BU2734">
        <v>3251.2</v>
      </c>
      <c r="BV2734">
        <v>2500</v>
      </c>
      <c r="BW2734">
        <v>100</v>
      </c>
      <c r="BX2734">
        <v>10000</v>
      </c>
      <c r="BY2734" s="6">
        <v>124</v>
      </c>
      <c r="BZ2734">
        <v>2479</v>
      </c>
    </row>
    <row r="2736" spans="1:78" x14ac:dyDescent="0.35">
      <c r="A2736" s="1" t="s">
        <v>967</v>
      </c>
    </row>
    <row r="2737" spans="1:78" x14ac:dyDescent="0.35">
      <c r="A2737" t="s">
        <v>219</v>
      </c>
      <c r="B2737" t="s">
        <v>301</v>
      </c>
      <c r="C2737" t="s">
        <v>882</v>
      </c>
      <c r="D2737" t="s">
        <v>883</v>
      </c>
      <c r="E2737" t="s">
        <v>884</v>
      </c>
      <c r="F2737" t="s">
        <v>885</v>
      </c>
      <c r="G2737" t="s">
        <v>886</v>
      </c>
      <c r="H2737" t="s">
        <v>887</v>
      </c>
      <c r="I2737" t="s">
        <v>888</v>
      </c>
      <c r="J2737" t="s">
        <v>889</v>
      </c>
      <c r="K2737" t="s">
        <v>890</v>
      </c>
      <c r="L2737" t="s">
        <v>891</v>
      </c>
      <c r="M2737" t="s">
        <v>892</v>
      </c>
      <c r="N2737" t="s">
        <v>893</v>
      </c>
      <c r="O2737" t="s">
        <v>894</v>
      </c>
      <c r="P2737" t="s">
        <v>895</v>
      </c>
      <c r="Q2737" t="s">
        <v>896</v>
      </c>
      <c r="R2737" t="s">
        <v>897</v>
      </c>
      <c r="S2737" t="s">
        <v>898</v>
      </c>
      <c r="T2737" t="s">
        <v>899</v>
      </c>
      <c r="U2737" t="s">
        <v>900</v>
      </c>
      <c r="V2737" t="s">
        <v>901</v>
      </c>
      <c r="W2737" t="s">
        <v>902</v>
      </c>
      <c r="X2737" t="s">
        <v>903</v>
      </c>
      <c r="Y2737" t="s">
        <v>904</v>
      </c>
      <c r="Z2737" t="s">
        <v>905</v>
      </c>
      <c r="AA2737" t="s">
        <v>906</v>
      </c>
      <c r="AB2737" t="s">
        <v>907</v>
      </c>
      <c r="AC2737" t="s">
        <v>908</v>
      </c>
      <c r="AD2737" t="s">
        <v>909</v>
      </c>
      <c r="AE2737" t="s">
        <v>910</v>
      </c>
      <c r="AF2737" t="s">
        <v>911</v>
      </c>
      <c r="AG2737" t="s">
        <v>912</v>
      </c>
      <c r="AH2737" t="s">
        <v>913</v>
      </c>
      <c r="AI2737" t="s">
        <v>914</v>
      </c>
      <c r="AJ2737" t="s">
        <v>915</v>
      </c>
      <c r="AK2737" t="s">
        <v>916</v>
      </c>
      <c r="AL2737" t="s">
        <v>917</v>
      </c>
      <c r="AM2737" t="s">
        <v>918</v>
      </c>
      <c r="AN2737" t="s">
        <v>919</v>
      </c>
      <c r="AO2737" t="s">
        <v>920</v>
      </c>
      <c r="AP2737" t="s">
        <v>921</v>
      </c>
      <c r="AQ2737" t="s">
        <v>922</v>
      </c>
      <c r="AR2737" t="s">
        <v>923</v>
      </c>
      <c r="AS2737" t="s">
        <v>924</v>
      </c>
      <c r="AT2737" t="s">
        <v>925</v>
      </c>
      <c r="AU2737" t="s">
        <v>926</v>
      </c>
      <c r="AV2737" t="s">
        <v>927</v>
      </c>
      <c r="AW2737" t="s">
        <v>928</v>
      </c>
      <c r="AX2737" t="s">
        <v>929</v>
      </c>
      <c r="AY2737" t="s">
        <v>930</v>
      </c>
      <c r="AZ2737" t="s">
        <v>931</v>
      </c>
      <c r="BA2737" t="s">
        <v>932</v>
      </c>
      <c r="BB2737" t="s">
        <v>933</v>
      </c>
      <c r="BC2737" t="s">
        <v>934</v>
      </c>
      <c r="BD2737" t="s">
        <v>935</v>
      </c>
      <c r="BE2737" t="s">
        <v>936</v>
      </c>
      <c r="BF2737" t="s">
        <v>937</v>
      </c>
      <c r="BG2737" t="s">
        <v>938</v>
      </c>
      <c r="BH2737" t="s">
        <v>939</v>
      </c>
      <c r="BI2737" t="s">
        <v>940</v>
      </c>
      <c r="BJ2737" t="s">
        <v>941</v>
      </c>
      <c r="BK2737" t="s">
        <v>942</v>
      </c>
      <c r="BL2737" t="s">
        <v>943</v>
      </c>
      <c r="BM2737" t="s">
        <v>944</v>
      </c>
      <c r="BN2737" t="s">
        <v>945</v>
      </c>
      <c r="BO2737" t="s">
        <v>946</v>
      </c>
      <c r="BP2737" t="s">
        <v>947</v>
      </c>
      <c r="BQ2737" t="s">
        <v>948</v>
      </c>
      <c r="BR2737" t="s">
        <v>949</v>
      </c>
      <c r="BS2737" t="s">
        <v>950</v>
      </c>
      <c r="BT2737" t="s">
        <v>951</v>
      </c>
      <c r="BU2737" t="s">
        <v>952</v>
      </c>
      <c r="BV2737" t="s">
        <v>953</v>
      </c>
      <c r="BW2737" t="s">
        <v>954</v>
      </c>
      <c r="BX2737" t="s">
        <v>955</v>
      </c>
      <c r="BY2737" t="s">
        <v>956</v>
      </c>
      <c r="BZ2737" t="s">
        <v>957</v>
      </c>
    </row>
    <row r="2738" spans="1:78" x14ac:dyDescent="0.35">
      <c r="A2738" t="s">
        <v>227</v>
      </c>
      <c r="B2738" t="s">
        <v>251</v>
      </c>
      <c r="C2738">
        <v>6834.43</v>
      </c>
      <c r="D2738">
        <v>5000</v>
      </c>
      <c r="E2738">
        <v>200</v>
      </c>
      <c r="F2738">
        <v>30000</v>
      </c>
      <c r="G2738" s="6">
        <v>1702</v>
      </c>
      <c r="H2738">
        <v>3861.89</v>
      </c>
      <c r="I2738">
        <v>3000</v>
      </c>
      <c r="J2738">
        <v>100</v>
      </c>
      <c r="K2738">
        <v>60000</v>
      </c>
      <c r="L2738" s="6">
        <v>621</v>
      </c>
      <c r="M2738">
        <v>5872.26</v>
      </c>
      <c r="N2738">
        <v>5000</v>
      </c>
      <c r="O2738">
        <v>183</v>
      </c>
      <c r="P2738">
        <v>16000</v>
      </c>
      <c r="Q2738" s="6">
        <v>235</v>
      </c>
      <c r="R2738">
        <v>419.49</v>
      </c>
      <c r="S2738">
        <v>280</v>
      </c>
      <c r="T2738">
        <v>50</v>
      </c>
      <c r="U2738">
        <v>3000</v>
      </c>
      <c r="V2738" s="6">
        <v>783</v>
      </c>
      <c r="W2738">
        <v>515.28</v>
      </c>
      <c r="X2738">
        <v>380</v>
      </c>
      <c r="Y2738">
        <v>30</v>
      </c>
      <c r="Z2738">
        <v>3000</v>
      </c>
      <c r="AA2738" s="6">
        <v>738</v>
      </c>
      <c r="AB2738">
        <v>770.87</v>
      </c>
      <c r="AC2738">
        <v>500</v>
      </c>
      <c r="AD2738">
        <v>100</v>
      </c>
      <c r="AE2738">
        <v>5000</v>
      </c>
      <c r="AF2738" s="6">
        <v>1315</v>
      </c>
      <c r="AG2738">
        <v>616.09</v>
      </c>
      <c r="AH2738">
        <v>500</v>
      </c>
      <c r="AI2738">
        <v>100</v>
      </c>
      <c r="AJ2738">
        <v>5000</v>
      </c>
      <c r="AK2738" s="6">
        <v>544</v>
      </c>
      <c r="AL2738">
        <v>1953.82</v>
      </c>
      <c r="AM2738">
        <v>1500</v>
      </c>
      <c r="AN2738">
        <v>300</v>
      </c>
      <c r="AO2738">
        <v>9000</v>
      </c>
      <c r="AP2738" s="6">
        <v>1742</v>
      </c>
      <c r="AQ2738">
        <v>2027.23</v>
      </c>
      <c r="AR2738">
        <v>800</v>
      </c>
      <c r="AS2738">
        <v>50</v>
      </c>
      <c r="AT2738">
        <v>30000</v>
      </c>
      <c r="AU2738" s="6">
        <v>1002</v>
      </c>
      <c r="AV2738">
        <v>712.61</v>
      </c>
      <c r="AW2738">
        <v>500</v>
      </c>
      <c r="AX2738">
        <v>100</v>
      </c>
      <c r="AY2738">
        <v>3000</v>
      </c>
      <c r="AZ2738" s="6">
        <v>167</v>
      </c>
      <c r="BA2738">
        <v>534</v>
      </c>
      <c r="BB2738">
        <v>500</v>
      </c>
      <c r="BC2738">
        <v>50</v>
      </c>
      <c r="BD2738">
        <v>2800</v>
      </c>
      <c r="BE2738" s="6">
        <v>1773</v>
      </c>
      <c r="BF2738">
        <v>2950.39</v>
      </c>
      <c r="BG2738">
        <v>2000</v>
      </c>
      <c r="BH2738">
        <v>200</v>
      </c>
      <c r="BI2738">
        <v>10000</v>
      </c>
      <c r="BJ2738" s="6">
        <v>57</v>
      </c>
      <c r="BK2738">
        <v>4610</v>
      </c>
      <c r="BL2738">
        <v>1500</v>
      </c>
      <c r="BM2738">
        <v>100</v>
      </c>
      <c r="BN2738">
        <v>30000</v>
      </c>
      <c r="BO2738" s="6">
        <v>228</v>
      </c>
      <c r="BP2738">
        <v>1208.8499999999999</v>
      </c>
      <c r="BQ2738">
        <v>600</v>
      </c>
      <c r="BR2738">
        <v>50</v>
      </c>
      <c r="BS2738">
        <v>20000</v>
      </c>
      <c r="BT2738" s="6">
        <v>881</v>
      </c>
      <c r="BU2738">
        <v>2642.04</v>
      </c>
      <c r="BV2738">
        <v>2000</v>
      </c>
      <c r="BW2738">
        <v>200</v>
      </c>
      <c r="BX2738">
        <v>10000</v>
      </c>
      <c r="BY2738" s="6">
        <v>93</v>
      </c>
      <c r="BZ2738">
        <v>1773</v>
      </c>
    </row>
    <row r="2739" spans="1:78" x14ac:dyDescent="0.35">
      <c r="A2739" t="s">
        <v>227</v>
      </c>
      <c r="B2739" t="s">
        <v>252</v>
      </c>
      <c r="C2739">
        <v>11248.71</v>
      </c>
      <c r="D2739">
        <v>10000</v>
      </c>
      <c r="E2739">
        <v>500</v>
      </c>
      <c r="F2739">
        <v>30000</v>
      </c>
      <c r="G2739" s="6">
        <v>525</v>
      </c>
      <c r="H2739">
        <v>4582.37</v>
      </c>
      <c r="I2739">
        <v>3500</v>
      </c>
      <c r="J2739">
        <v>100</v>
      </c>
      <c r="K2739">
        <v>30000</v>
      </c>
      <c r="L2739" s="6">
        <v>362</v>
      </c>
      <c r="M2739">
        <v>6521.52</v>
      </c>
      <c r="N2739">
        <v>6000</v>
      </c>
      <c r="O2739">
        <v>289</v>
      </c>
      <c r="P2739">
        <v>16000</v>
      </c>
      <c r="Q2739" s="6">
        <v>78</v>
      </c>
      <c r="R2739">
        <v>608.22</v>
      </c>
      <c r="S2739">
        <v>500</v>
      </c>
      <c r="T2739">
        <v>50</v>
      </c>
      <c r="U2739">
        <v>3000</v>
      </c>
      <c r="V2739" s="6">
        <v>320</v>
      </c>
      <c r="W2739">
        <v>631.63</v>
      </c>
      <c r="X2739">
        <v>500</v>
      </c>
      <c r="Y2739">
        <v>50</v>
      </c>
      <c r="Z2739">
        <v>3000</v>
      </c>
      <c r="AA2739" s="6">
        <v>412</v>
      </c>
      <c r="AB2739">
        <v>1137.82</v>
      </c>
      <c r="AC2739">
        <v>1000</v>
      </c>
      <c r="AD2739">
        <v>100</v>
      </c>
      <c r="AE2739">
        <v>5000</v>
      </c>
      <c r="AF2739" s="6">
        <v>485</v>
      </c>
      <c r="AG2739">
        <v>802.06</v>
      </c>
      <c r="AH2739">
        <v>500</v>
      </c>
      <c r="AI2739">
        <v>100</v>
      </c>
      <c r="AJ2739">
        <v>5000</v>
      </c>
      <c r="AK2739" s="6">
        <v>258</v>
      </c>
      <c r="AL2739">
        <v>2734.86</v>
      </c>
      <c r="AM2739">
        <v>2500</v>
      </c>
      <c r="AN2739">
        <v>400</v>
      </c>
      <c r="AO2739">
        <v>9100</v>
      </c>
      <c r="AP2739" s="6">
        <v>547</v>
      </c>
      <c r="AQ2739">
        <v>3006.02</v>
      </c>
      <c r="AR2739">
        <v>2000</v>
      </c>
      <c r="AS2739">
        <v>75</v>
      </c>
      <c r="AT2739">
        <v>30000</v>
      </c>
      <c r="AU2739" s="6">
        <v>418</v>
      </c>
      <c r="AV2739">
        <v>869.83</v>
      </c>
      <c r="AW2739">
        <v>500</v>
      </c>
      <c r="AX2739">
        <v>100</v>
      </c>
      <c r="AY2739">
        <v>3000</v>
      </c>
      <c r="AZ2739" s="6">
        <v>84</v>
      </c>
      <c r="BA2739">
        <v>879.06</v>
      </c>
      <c r="BB2739">
        <v>800</v>
      </c>
      <c r="BC2739">
        <v>150</v>
      </c>
      <c r="BD2739">
        <v>2800</v>
      </c>
      <c r="BE2739" s="6">
        <v>556</v>
      </c>
      <c r="BF2739">
        <v>3102.65</v>
      </c>
      <c r="BG2739">
        <v>2000</v>
      </c>
      <c r="BH2739">
        <v>300</v>
      </c>
      <c r="BI2739">
        <v>10000</v>
      </c>
      <c r="BJ2739" s="6">
        <v>62</v>
      </c>
      <c r="BK2739">
        <v>5461.49</v>
      </c>
      <c r="BL2739">
        <v>2500</v>
      </c>
      <c r="BM2739">
        <v>100</v>
      </c>
      <c r="BN2739">
        <v>30000</v>
      </c>
      <c r="BO2739" s="6">
        <v>186</v>
      </c>
      <c r="BP2739">
        <v>1643.72</v>
      </c>
      <c r="BQ2739">
        <v>700</v>
      </c>
      <c r="BR2739">
        <v>50</v>
      </c>
      <c r="BS2739">
        <v>30000</v>
      </c>
      <c r="BT2739" s="6">
        <v>331</v>
      </c>
      <c r="BU2739">
        <v>5512.85</v>
      </c>
      <c r="BV2739">
        <v>5600</v>
      </c>
      <c r="BW2739">
        <v>385</v>
      </c>
      <c r="BX2739">
        <v>10000</v>
      </c>
      <c r="BY2739" s="6">
        <v>27</v>
      </c>
      <c r="BZ2739">
        <v>556</v>
      </c>
    </row>
    <row r="2740" spans="1:78" x14ac:dyDescent="0.35">
      <c r="A2740" t="s">
        <v>227</v>
      </c>
      <c r="B2740" t="s">
        <v>253</v>
      </c>
      <c r="C2740">
        <v>7166.61</v>
      </c>
      <c r="D2740">
        <v>6500</v>
      </c>
      <c r="E2740">
        <v>500</v>
      </c>
      <c r="F2740">
        <v>20000</v>
      </c>
      <c r="G2740" s="6">
        <v>134</v>
      </c>
      <c r="H2740">
        <v>3146.24</v>
      </c>
      <c r="I2740">
        <v>3000</v>
      </c>
      <c r="J2740">
        <v>300</v>
      </c>
      <c r="K2740">
        <v>15000</v>
      </c>
      <c r="L2740" s="6">
        <v>89</v>
      </c>
      <c r="M2740">
        <v>5003.1000000000004</v>
      </c>
      <c r="N2740">
        <v>4000</v>
      </c>
      <c r="O2740">
        <v>300</v>
      </c>
      <c r="P2740">
        <v>12000</v>
      </c>
      <c r="Q2740" s="6">
        <v>30</v>
      </c>
      <c r="R2740">
        <v>386.2</v>
      </c>
      <c r="S2740">
        <v>300</v>
      </c>
      <c r="T2740">
        <v>70</v>
      </c>
      <c r="U2740">
        <v>2000</v>
      </c>
      <c r="V2740" s="6">
        <v>74</v>
      </c>
      <c r="W2740">
        <v>375.13</v>
      </c>
      <c r="X2740">
        <v>200</v>
      </c>
      <c r="Y2740">
        <v>50</v>
      </c>
      <c r="Z2740">
        <v>2200</v>
      </c>
      <c r="AA2740" s="6">
        <v>112</v>
      </c>
      <c r="AB2740">
        <v>828.69</v>
      </c>
      <c r="AC2740">
        <v>600</v>
      </c>
      <c r="AD2740">
        <v>100</v>
      </c>
      <c r="AE2740">
        <v>5000</v>
      </c>
      <c r="AF2740" s="6">
        <v>121</v>
      </c>
      <c r="AG2740">
        <v>509.18</v>
      </c>
      <c r="AH2740">
        <v>400</v>
      </c>
      <c r="AI2740">
        <v>100</v>
      </c>
      <c r="AJ2740">
        <v>5000</v>
      </c>
      <c r="AK2740" s="6">
        <v>52</v>
      </c>
      <c r="AL2740">
        <v>1857.45</v>
      </c>
      <c r="AM2740">
        <v>2000</v>
      </c>
      <c r="AN2740">
        <v>300</v>
      </c>
      <c r="AO2740">
        <v>7000</v>
      </c>
      <c r="AP2740" s="6">
        <v>134</v>
      </c>
      <c r="AQ2740">
        <v>1795.81</v>
      </c>
      <c r="AR2740">
        <v>500</v>
      </c>
      <c r="AS2740">
        <v>50</v>
      </c>
      <c r="AT2740">
        <v>30000</v>
      </c>
      <c r="AU2740" s="6">
        <v>96</v>
      </c>
      <c r="AV2740">
        <v>1052.52</v>
      </c>
      <c r="AW2740">
        <v>600</v>
      </c>
      <c r="AX2740">
        <v>100</v>
      </c>
      <c r="AY2740">
        <v>3000</v>
      </c>
      <c r="AZ2740" s="6">
        <v>14</v>
      </c>
      <c r="BA2740">
        <v>559.6</v>
      </c>
      <c r="BB2740">
        <v>500</v>
      </c>
      <c r="BC2740">
        <v>100</v>
      </c>
      <c r="BD2740">
        <v>2500</v>
      </c>
      <c r="BE2740" s="6">
        <v>142</v>
      </c>
      <c r="BF2740">
        <v>3465.05</v>
      </c>
      <c r="BG2740">
        <v>2000</v>
      </c>
      <c r="BH2740">
        <v>400</v>
      </c>
      <c r="BI2740">
        <v>7000</v>
      </c>
      <c r="BJ2740" s="6">
        <v>13</v>
      </c>
      <c r="BK2740">
        <v>4077.11</v>
      </c>
      <c r="BL2740">
        <v>2000</v>
      </c>
      <c r="BM2740">
        <v>100</v>
      </c>
      <c r="BN2740">
        <v>25000</v>
      </c>
      <c r="BO2740" s="6">
        <v>46</v>
      </c>
      <c r="BP2740">
        <v>634.16999999999996</v>
      </c>
      <c r="BQ2740">
        <v>500</v>
      </c>
      <c r="BR2740">
        <v>50</v>
      </c>
      <c r="BS2740">
        <v>7000</v>
      </c>
      <c r="BT2740" s="6">
        <v>82</v>
      </c>
      <c r="BU2740">
        <v>1591.76</v>
      </c>
      <c r="BV2740">
        <v>3000</v>
      </c>
      <c r="BW2740">
        <v>100</v>
      </c>
      <c r="BX2740">
        <v>3000</v>
      </c>
      <c r="BY2740" s="6">
        <v>4</v>
      </c>
      <c r="BZ2740">
        <v>142</v>
      </c>
    </row>
    <row r="2741" spans="1:78" x14ac:dyDescent="0.35">
      <c r="A2741" s="3" t="s">
        <v>227</v>
      </c>
      <c r="B2741" s="3" t="s">
        <v>254</v>
      </c>
      <c r="C2741" s="5">
        <v>5550.65</v>
      </c>
      <c r="D2741" s="5">
        <v>8000</v>
      </c>
      <c r="E2741" s="5">
        <v>3000</v>
      </c>
      <c r="F2741" s="5">
        <v>18000</v>
      </c>
      <c r="G2741" s="5">
        <v>8</v>
      </c>
      <c r="H2741" s="5">
        <v>6288.6</v>
      </c>
      <c r="I2741" s="5">
        <v>10000</v>
      </c>
      <c r="J2741" s="5">
        <v>500</v>
      </c>
      <c r="K2741" s="5">
        <v>12000</v>
      </c>
      <c r="L2741" s="5">
        <v>5</v>
      </c>
      <c r="M2741" s="5">
        <v>4618.96</v>
      </c>
      <c r="N2741" s="5">
        <v>5000</v>
      </c>
      <c r="O2741" s="5">
        <v>2000</v>
      </c>
      <c r="P2741" s="5">
        <v>5000</v>
      </c>
      <c r="Q2741" s="5">
        <v>2</v>
      </c>
      <c r="R2741" s="5">
        <v>713.46</v>
      </c>
      <c r="S2741" s="5">
        <v>1500</v>
      </c>
      <c r="T2741" s="5">
        <v>300</v>
      </c>
      <c r="U2741" s="5">
        <v>1500</v>
      </c>
      <c r="V2741" s="5">
        <v>3</v>
      </c>
      <c r="W2741" s="5">
        <v>709.57</v>
      </c>
      <c r="X2741" s="5">
        <v>1500</v>
      </c>
      <c r="Y2741" s="5">
        <v>200</v>
      </c>
      <c r="Z2741" s="5">
        <v>1500</v>
      </c>
      <c r="AA2741" s="5">
        <v>3</v>
      </c>
      <c r="AB2741" s="5">
        <v>1201.05</v>
      </c>
      <c r="AC2741" s="5">
        <v>1500</v>
      </c>
      <c r="AD2741" s="5">
        <v>400</v>
      </c>
      <c r="AE2741" s="5">
        <v>1500</v>
      </c>
      <c r="AF2741" s="5">
        <v>5</v>
      </c>
      <c r="AG2741" s="5">
        <v>524.91999999999996</v>
      </c>
      <c r="AH2741" s="5">
        <v>500</v>
      </c>
      <c r="AI2741" s="5">
        <v>500</v>
      </c>
      <c r="AJ2741" s="5">
        <v>1000</v>
      </c>
      <c r="AK2741" s="5">
        <v>2</v>
      </c>
      <c r="AL2741" s="5">
        <v>1842.12</v>
      </c>
      <c r="AM2741" s="5">
        <v>1800</v>
      </c>
      <c r="AN2741" s="5">
        <v>500</v>
      </c>
      <c r="AO2741" s="5">
        <v>4700</v>
      </c>
      <c r="AP2741" s="5">
        <v>8</v>
      </c>
      <c r="AQ2741" s="5">
        <v>1395.87</v>
      </c>
      <c r="AR2741" s="5">
        <v>1800</v>
      </c>
      <c r="AS2741" s="5">
        <v>500</v>
      </c>
      <c r="AT2741" s="5">
        <v>2000</v>
      </c>
      <c r="AU2741" s="5">
        <v>4</v>
      </c>
      <c r="AV2741" s="5">
        <v>1000</v>
      </c>
      <c r="AW2741" s="5">
        <v>1000</v>
      </c>
      <c r="AX2741" s="5">
        <v>1000</v>
      </c>
      <c r="AY2741" s="5">
        <v>1000</v>
      </c>
      <c r="AZ2741" s="5">
        <v>1</v>
      </c>
      <c r="BA2741" s="5">
        <v>1011.43</v>
      </c>
      <c r="BB2741" s="5">
        <v>1300</v>
      </c>
      <c r="BC2741" s="5">
        <v>200</v>
      </c>
      <c r="BD2741" s="5">
        <v>1500</v>
      </c>
      <c r="BE2741" s="5">
        <v>8</v>
      </c>
      <c r="BF2741" s="5"/>
      <c r="BG2741" s="5"/>
      <c r="BH2741" s="5"/>
      <c r="BI2741" s="5"/>
      <c r="BJ2741" s="5"/>
      <c r="BK2741" s="5">
        <v>300</v>
      </c>
      <c r="BL2741" s="5">
        <v>300</v>
      </c>
      <c r="BM2741" s="5">
        <v>300</v>
      </c>
      <c r="BN2741" s="5">
        <v>300</v>
      </c>
      <c r="BO2741" s="5">
        <v>1</v>
      </c>
      <c r="BP2741" s="5">
        <v>335.93</v>
      </c>
      <c r="BQ2741" s="5">
        <v>500</v>
      </c>
      <c r="BR2741" s="5">
        <v>150</v>
      </c>
      <c r="BS2741" s="5">
        <v>500</v>
      </c>
      <c r="BT2741" s="5">
        <v>2</v>
      </c>
      <c r="BU2741" s="5"/>
      <c r="BV2741" s="5"/>
      <c r="BW2741" s="5"/>
      <c r="BX2741" s="5"/>
      <c r="BY2741" s="5"/>
      <c r="BZ2741" s="5">
        <v>8</v>
      </c>
    </row>
    <row r="2742" spans="1:78" x14ac:dyDescent="0.35">
      <c r="A2742" t="s">
        <v>228</v>
      </c>
      <c r="B2742" t="s">
        <v>228</v>
      </c>
      <c r="C2742">
        <v>7868.72</v>
      </c>
      <c r="D2742">
        <v>6000</v>
      </c>
      <c r="E2742">
        <v>200</v>
      </c>
      <c r="F2742">
        <v>30000</v>
      </c>
      <c r="G2742" s="6">
        <v>2369</v>
      </c>
      <c r="H2742">
        <v>4052.31</v>
      </c>
      <c r="I2742">
        <v>3000</v>
      </c>
      <c r="J2742">
        <v>100</v>
      </c>
      <c r="K2742">
        <v>60000</v>
      </c>
      <c r="L2742" s="6">
        <v>1077</v>
      </c>
      <c r="M2742">
        <v>5938.14</v>
      </c>
      <c r="N2742">
        <v>5000</v>
      </c>
      <c r="O2742">
        <v>183</v>
      </c>
      <c r="P2742">
        <v>16000</v>
      </c>
      <c r="Q2742" s="6">
        <v>345</v>
      </c>
      <c r="R2742">
        <v>468.12</v>
      </c>
      <c r="S2742">
        <v>300</v>
      </c>
      <c r="T2742">
        <v>50</v>
      </c>
      <c r="U2742">
        <v>3000</v>
      </c>
      <c r="V2742" s="6">
        <v>1180</v>
      </c>
      <c r="W2742">
        <v>542.04</v>
      </c>
      <c r="X2742">
        <v>401</v>
      </c>
      <c r="Y2742">
        <v>30</v>
      </c>
      <c r="Z2742">
        <v>3000</v>
      </c>
      <c r="AA2742" s="6">
        <v>1265</v>
      </c>
      <c r="AB2742">
        <v>868.78</v>
      </c>
      <c r="AC2742">
        <v>500</v>
      </c>
      <c r="AD2742">
        <v>100</v>
      </c>
      <c r="AE2742">
        <v>5000</v>
      </c>
      <c r="AF2742" s="6">
        <v>1926</v>
      </c>
      <c r="AG2742">
        <v>667.4</v>
      </c>
      <c r="AH2742">
        <v>500</v>
      </c>
      <c r="AI2742">
        <v>100</v>
      </c>
      <c r="AJ2742">
        <v>5000</v>
      </c>
      <c r="AK2742" s="6">
        <v>856</v>
      </c>
      <c r="AL2742">
        <v>2130.96</v>
      </c>
      <c r="AM2742">
        <v>2000</v>
      </c>
      <c r="AN2742">
        <v>300</v>
      </c>
      <c r="AO2742">
        <v>9100</v>
      </c>
      <c r="AP2742" s="6">
        <v>2431</v>
      </c>
      <c r="AQ2742">
        <v>2285.5300000000002</v>
      </c>
      <c r="AR2742">
        <v>1000</v>
      </c>
      <c r="AS2742">
        <v>50</v>
      </c>
      <c r="AT2742">
        <v>30000</v>
      </c>
      <c r="AU2742" s="6">
        <v>1520</v>
      </c>
      <c r="AV2742">
        <v>776.74</v>
      </c>
      <c r="AW2742">
        <v>500</v>
      </c>
      <c r="AX2742">
        <v>100</v>
      </c>
      <c r="AY2742">
        <v>3000</v>
      </c>
      <c r="AZ2742" s="6">
        <v>266</v>
      </c>
      <c r="BA2742">
        <v>615.85</v>
      </c>
      <c r="BB2742">
        <v>500</v>
      </c>
      <c r="BC2742">
        <v>50</v>
      </c>
      <c r="BD2742">
        <v>2800</v>
      </c>
      <c r="BE2742" s="6">
        <v>2479</v>
      </c>
      <c r="BF2742">
        <v>3040.04</v>
      </c>
      <c r="BG2742">
        <v>2000</v>
      </c>
      <c r="BH2742">
        <v>200</v>
      </c>
      <c r="BI2742">
        <v>10000</v>
      </c>
      <c r="BJ2742" s="6">
        <v>132</v>
      </c>
      <c r="BK2742">
        <v>4895.0200000000004</v>
      </c>
      <c r="BL2742">
        <v>2000</v>
      </c>
      <c r="BM2742">
        <v>100</v>
      </c>
      <c r="BN2742">
        <v>30000</v>
      </c>
      <c r="BO2742" s="6">
        <v>461</v>
      </c>
      <c r="BP2742">
        <v>1288.5999999999999</v>
      </c>
      <c r="BQ2742">
        <v>600</v>
      </c>
      <c r="BR2742">
        <v>50</v>
      </c>
      <c r="BS2742">
        <v>30000</v>
      </c>
      <c r="BT2742" s="6">
        <v>1296</v>
      </c>
      <c r="BU2742">
        <v>3251.2</v>
      </c>
      <c r="BV2742">
        <v>2500</v>
      </c>
      <c r="BW2742">
        <v>100</v>
      </c>
      <c r="BX2742">
        <v>10000</v>
      </c>
      <c r="BY2742" s="6">
        <v>124</v>
      </c>
      <c r="BZ2742">
        <v>2479</v>
      </c>
    </row>
    <row r="2744" spans="1:78" x14ac:dyDescent="0.35">
      <c r="A2744" s="1" t="s">
        <v>968</v>
      </c>
    </row>
    <row r="2745" spans="1:78" x14ac:dyDescent="0.35">
      <c r="A2745" t="s">
        <v>219</v>
      </c>
      <c r="B2745" t="s">
        <v>524</v>
      </c>
      <c r="C2745" t="s">
        <v>525</v>
      </c>
      <c r="D2745" t="s">
        <v>526</v>
      </c>
      <c r="E2745" t="s">
        <v>527</v>
      </c>
      <c r="F2745" t="s">
        <v>226</v>
      </c>
    </row>
    <row r="2746" spans="1:78" x14ac:dyDescent="0.35">
      <c r="A2746" t="s">
        <v>227</v>
      </c>
      <c r="B2746">
        <v>2648.46</v>
      </c>
      <c r="C2746">
        <v>2000</v>
      </c>
      <c r="D2746">
        <v>0</v>
      </c>
      <c r="E2746">
        <v>33900</v>
      </c>
      <c r="F2746">
        <v>2356</v>
      </c>
    </row>
    <row r="2747" spans="1:78" x14ac:dyDescent="0.35">
      <c r="A2747" t="s">
        <v>228</v>
      </c>
      <c r="B2747">
        <v>2648.46</v>
      </c>
      <c r="C2747">
        <v>2000</v>
      </c>
      <c r="D2747">
        <v>0</v>
      </c>
      <c r="E2747">
        <v>33900</v>
      </c>
      <c r="F2747">
        <v>2356</v>
      </c>
    </row>
    <row r="2749" spans="1:78" x14ac:dyDescent="0.35">
      <c r="A2749" s="1" t="s">
        <v>969</v>
      </c>
    </row>
    <row r="2750" spans="1:78" x14ac:dyDescent="0.35">
      <c r="A2750" t="s">
        <v>219</v>
      </c>
      <c r="B2750" t="s">
        <v>301</v>
      </c>
      <c r="C2750" t="s">
        <v>524</v>
      </c>
      <c r="D2750" t="s">
        <v>525</v>
      </c>
      <c r="E2750" t="s">
        <v>526</v>
      </c>
      <c r="F2750" t="s">
        <v>527</v>
      </c>
      <c r="G2750" t="s">
        <v>226</v>
      </c>
    </row>
    <row r="2751" spans="1:78" x14ac:dyDescent="0.35">
      <c r="A2751" t="s">
        <v>227</v>
      </c>
      <c r="B2751" t="s">
        <v>238</v>
      </c>
      <c r="C2751">
        <v>2907.84</v>
      </c>
      <c r="D2751">
        <v>2500</v>
      </c>
      <c r="E2751">
        <v>0</v>
      </c>
      <c r="F2751">
        <v>33900</v>
      </c>
      <c r="G2751">
        <v>861</v>
      </c>
    </row>
    <row r="2752" spans="1:78" x14ac:dyDescent="0.35">
      <c r="A2752" t="s">
        <v>227</v>
      </c>
      <c r="B2752" t="s">
        <v>237</v>
      </c>
      <c r="C2752">
        <v>2491.9499999999998</v>
      </c>
      <c r="D2752">
        <v>2000</v>
      </c>
      <c r="E2752">
        <v>0</v>
      </c>
      <c r="F2752">
        <v>31000</v>
      </c>
      <c r="G2752">
        <v>1495</v>
      </c>
    </row>
    <row r="2753" spans="1:7" x14ac:dyDescent="0.35">
      <c r="A2753" t="s">
        <v>228</v>
      </c>
      <c r="B2753" t="s">
        <v>228</v>
      </c>
      <c r="C2753">
        <v>2648.46</v>
      </c>
      <c r="D2753">
        <v>2000</v>
      </c>
      <c r="E2753">
        <v>0</v>
      </c>
      <c r="F2753">
        <v>33900</v>
      </c>
      <c r="G2753">
        <v>2356</v>
      </c>
    </row>
    <row r="2755" spans="1:7" x14ac:dyDescent="0.35">
      <c r="A2755" s="1" t="s">
        <v>970</v>
      </c>
    </row>
    <row r="2756" spans="1:7" x14ac:dyDescent="0.35">
      <c r="A2756" t="s">
        <v>219</v>
      </c>
      <c r="B2756" t="s">
        <v>301</v>
      </c>
      <c r="C2756" t="s">
        <v>524</v>
      </c>
      <c r="D2756" t="s">
        <v>525</v>
      </c>
      <c r="E2756" t="s">
        <v>526</v>
      </c>
      <c r="F2756" t="s">
        <v>527</v>
      </c>
      <c r="G2756" t="s">
        <v>226</v>
      </c>
    </row>
    <row r="2757" spans="1:7" x14ac:dyDescent="0.35">
      <c r="A2757" t="s">
        <v>227</v>
      </c>
      <c r="B2757" t="s">
        <v>235</v>
      </c>
      <c r="C2757">
        <v>3257.02</v>
      </c>
      <c r="D2757">
        <v>2800</v>
      </c>
      <c r="E2757">
        <v>0</v>
      </c>
      <c r="F2757">
        <v>33900</v>
      </c>
      <c r="G2757">
        <v>817</v>
      </c>
    </row>
    <row r="2758" spans="1:7" x14ac:dyDescent="0.35">
      <c r="A2758" t="s">
        <v>227</v>
      </c>
      <c r="B2758" t="s">
        <v>234</v>
      </c>
      <c r="C2758">
        <v>2395.4499999999998</v>
      </c>
      <c r="D2758">
        <v>2000</v>
      </c>
      <c r="E2758">
        <v>0</v>
      </c>
      <c r="F2758">
        <v>25000</v>
      </c>
      <c r="G2758">
        <v>1539</v>
      </c>
    </row>
    <row r="2759" spans="1:7" x14ac:dyDescent="0.35">
      <c r="A2759" t="s">
        <v>228</v>
      </c>
      <c r="B2759" t="s">
        <v>228</v>
      </c>
      <c r="C2759">
        <v>2648.46</v>
      </c>
      <c r="D2759">
        <v>2000</v>
      </c>
      <c r="E2759">
        <v>0</v>
      </c>
      <c r="F2759">
        <v>33900</v>
      </c>
      <c r="G2759">
        <v>2356</v>
      </c>
    </row>
    <row r="2761" spans="1:7" x14ac:dyDescent="0.35">
      <c r="A2761" s="1" t="s">
        <v>971</v>
      </c>
    </row>
    <row r="2762" spans="1:7" x14ac:dyDescent="0.35">
      <c r="A2762" t="s">
        <v>219</v>
      </c>
      <c r="B2762" t="s">
        <v>301</v>
      </c>
      <c r="C2762" t="s">
        <v>524</v>
      </c>
      <c r="D2762" t="s">
        <v>525</v>
      </c>
      <c r="E2762" t="s">
        <v>526</v>
      </c>
      <c r="F2762" t="s">
        <v>527</v>
      </c>
      <c r="G2762" t="s">
        <v>226</v>
      </c>
    </row>
    <row r="2763" spans="1:7" x14ac:dyDescent="0.35">
      <c r="A2763" t="s">
        <v>227</v>
      </c>
      <c r="B2763" t="s">
        <v>240</v>
      </c>
      <c r="C2763">
        <v>2742.89</v>
      </c>
      <c r="D2763">
        <v>2300</v>
      </c>
      <c r="E2763">
        <v>0</v>
      </c>
      <c r="F2763">
        <v>33900</v>
      </c>
      <c r="G2763">
        <v>1479</v>
      </c>
    </row>
    <row r="2764" spans="1:7" x14ac:dyDescent="0.35">
      <c r="A2764" t="s">
        <v>227</v>
      </c>
      <c r="B2764" t="s">
        <v>241</v>
      </c>
      <c r="C2764">
        <v>2093.1999999999998</v>
      </c>
      <c r="D2764">
        <v>1800</v>
      </c>
      <c r="E2764">
        <v>0</v>
      </c>
      <c r="F2764">
        <v>25000</v>
      </c>
      <c r="G2764">
        <v>738</v>
      </c>
    </row>
    <row r="2765" spans="1:7" x14ac:dyDescent="0.35">
      <c r="A2765" t="s">
        <v>227</v>
      </c>
      <c r="B2765" t="s">
        <v>242</v>
      </c>
      <c r="C2765">
        <v>4266.62</v>
      </c>
      <c r="D2765">
        <v>3000</v>
      </c>
      <c r="E2765">
        <v>0</v>
      </c>
      <c r="F2765">
        <v>20000</v>
      </c>
      <c r="G2765">
        <v>139</v>
      </c>
    </row>
    <row r="2766" spans="1:7" x14ac:dyDescent="0.35">
      <c r="A2766" t="s">
        <v>228</v>
      </c>
      <c r="B2766" t="s">
        <v>228</v>
      </c>
      <c r="C2766">
        <v>2648.46</v>
      </c>
      <c r="D2766">
        <v>2000</v>
      </c>
      <c r="E2766">
        <v>0</v>
      </c>
      <c r="F2766">
        <v>33900</v>
      </c>
      <c r="G2766">
        <v>2356</v>
      </c>
    </row>
    <row r="2768" spans="1:7" x14ac:dyDescent="0.35">
      <c r="A2768" s="1" t="s">
        <v>972</v>
      </c>
    </row>
    <row r="2769" spans="1:7" x14ac:dyDescent="0.35">
      <c r="A2769" t="s">
        <v>219</v>
      </c>
      <c r="B2769" t="s">
        <v>301</v>
      </c>
      <c r="C2769" t="s">
        <v>524</v>
      </c>
      <c r="D2769" t="s">
        <v>525</v>
      </c>
      <c r="E2769" t="s">
        <v>526</v>
      </c>
      <c r="F2769" t="s">
        <v>527</v>
      </c>
      <c r="G2769" t="s">
        <v>226</v>
      </c>
    </row>
    <row r="2770" spans="1:7" x14ac:dyDescent="0.35">
      <c r="A2770" t="s">
        <v>227</v>
      </c>
      <c r="B2770" t="s">
        <v>334</v>
      </c>
      <c r="C2770">
        <v>2953.56</v>
      </c>
      <c r="D2770">
        <v>2400</v>
      </c>
      <c r="E2770">
        <v>0</v>
      </c>
      <c r="F2770">
        <v>24000</v>
      </c>
      <c r="G2770">
        <v>517</v>
      </c>
    </row>
    <row r="2771" spans="1:7" x14ac:dyDescent="0.35">
      <c r="A2771" t="s">
        <v>227</v>
      </c>
      <c r="B2771" t="s">
        <v>335</v>
      </c>
      <c r="C2771">
        <v>2749.86</v>
      </c>
      <c r="D2771">
        <v>2000</v>
      </c>
      <c r="E2771">
        <v>0</v>
      </c>
      <c r="F2771">
        <v>20000</v>
      </c>
      <c r="G2771">
        <v>554</v>
      </c>
    </row>
    <row r="2772" spans="1:7" x14ac:dyDescent="0.35">
      <c r="A2772" t="s">
        <v>227</v>
      </c>
      <c r="B2772" t="s">
        <v>336</v>
      </c>
      <c r="C2772">
        <v>2542.2600000000002</v>
      </c>
      <c r="D2772">
        <v>2000</v>
      </c>
      <c r="E2772">
        <v>0</v>
      </c>
      <c r="F2772">
        <v>33900</v>
      </c>
      <c r="G2772">
        <v>546</v>
      </c>
    </row>
    <row r="2773" spans="1:7" x14ac:dyDescent="0.35">
      <c r="A2773" t="s">
        <v>227</v>
      </c>
      <c r="B2773" t="s">
        <v>337</v>
      </c>
      <c r="C2773">
        <v>2401.0100000000002</v>
      </c>
      <c r="D2773">
        <v>2000</v>
      </c>
      <c r="E2773">
        <v>0</v>
      </c>
      <c r="F2773">
        <v>25000</v>
      </c>
      <c r="G2773">
        <v>533</v>
      </c>
    </row>
    <row r="2774" spans="1:7" x14ac:dyDescent="0.35">
      <c r="A2774" t="s">
        <v>228</v>
      </c>
      <c r="B2774" t="s">
        <v>228</v>
      </c>
      <c r="C2774">
        <v>2648.46</v>
      </c>
      <c r="D2774">
        <v>2000</v>
      </c>
      <c r="E2774">
        <v>0</v>
      </c>
      <c r="F2774">
        <v>33900</v>
      </c>
      <c r="G2774">
        <v>2356</v>
      </c>
    </row>
    <row r="2776" spans="1:7" x14ac:dyDescent="0.35">
      <c r="A2776" s="1" t="s">
        <v>973</v>
      </c>
    </row>
    <row r="2777" spans="1:7" x14ac:dyDescent="0.35">
      <c r="A2777" t="s">
        <v>219</v>
      </c>
      <c r="B2777" t="s">
        <v>301</v>
      </c>
      <c r="C2777" t="s">
        <v>524</v>
      </c>
      <c r="D2777" t="s">
        <v>525</v>
      </c>
      <c r="E2777" t="s">
        <v>526</v>
      </c>
      <c r="F2777" t="s">
        <v>527</v>
      </c>
      <c r="G2777" t="s">
        <v>226</v>
      </c>
    </row>
    <row r="2778" spans="1:7" x14ac:dyDescent="0.35">
      <c r="A2778" t="s">
        <v>227</v>
      </c>
      <c r="B2778" t="s">
        <v>263</v>
      </c>
      <c r="C2778">
        <v>2706.52</v>
      </c>
      <c r="D2778">
        <v>2000</v>
      </c>
      <c r="E2778">
        <v>0</v>
      </c>
      <c r="F2778">
        <v>20000</v>
      </c>
      <c r="G2778">
        <v>491</v>
      </c>
    </row>
    <row r="2779" spans="1:7" x14ac:dyDescent="0.35">
      <c r="A2779" t="s">
        <v>227</v>
      </c>
      <c r="B2779" t="s">
        <v>262</v>
      </c>
      <c r="C2779">
        <v>2289.35</v>
      </c>
      <c r="D2779">
        <v>2000</v>
      </c>
      <c r="E2779">
        <v>0</v>
      </c>
      <c r="F2779">
        <v>25000</v>
      </c>
      <c r="G2779">
        <v>953</v>
      </c>
    </row>
    <row r="2780" spans="1:7" x14ac:dyDescent="0.35">
      <c r="A2780" t="s">
        <v>227</v>
      </c>
      <c r="B2780" t="s">
        <v>261</v>
      </c>
      <c r="C2780">
        <v>2868.78</v>
      </c>
      <c r="D2780">
        <v>2500</v>
      </c>
      <c r="E2780">
        <v>0</v>
      </c>
      <c r="F2780">
        <v>31000</v>
      </c>
      <c r="G2780">
        <v>910</v>
      </c>
    </row>
    <row r="2781" spans="1:7" x14ac:dyDescent="0.35">
      <c r="A2781" s="3" t="s">
        <v>227</v>
      </c>
      <c r="B2781" s="3" t="s">
        <v>232</v>
      </c>
      <c r="C2781" s="5">
        <v>18050</v>
      </c>
      <c r="D2781" s="5">
        <v>2200</v>
      </c>
      <c r="E2781" s="5">
        <v>2200</v>
      </c>
      <c r="F2781" s="5">
        <v>33900</v>
      </c>
      <c r="G2781" s="5">
        <v>2</v>
      </c>
    </row>
    <row r="2782" spans="1:7" x14ac:dyDescent="0.35">
      <c r="A2782" t="s">
        <v>228</v>
      </c>
      <c r="B2782" t="s">
        <v>228</v>
      </c>
      <c r="C2782">
        <v>2648.46</v>
      </c>
      <c r="D2782">
        <v>2000</v>
      </c>
      <c r="E2782">
        <v>0</v>
      </c>
      <c r="F2782">
        <v>33900</v>
      </c>
      <c r="G2782">
        <v>2356</v>
      </c>
    </row>
    <row r="2784" spans="1:7" x14ac:dyDescent="0.35">
      <c r="A2784" s="1" t="s">
        <v>974</v>
      </c>
    </row>
    <row r="2785" spans="1:7" x14ac:dyDescent="0.35">
      <c r="A2785" t="s">
        <v>219</v>
      </c>
      <c r="B2785" t="s">
        <v>301</v>
      </c>
      <c r="C2785" t="s">
        <v>524</v>
      </c>
      <c r="D2785" t="s">
        <v>525</v>
      </c>
      <c r="E2785" t="s">
        <v>526</v>
      </c>
      <c r="F2785" t="s">
        <v>527</v>
      </c>
      <c r="G2785" t="s">
        <v>226</v>
      </c>
    </row>
    <row r="2786" spans="1:7" x14ac:dyDescent="0.35">
      <c r="A2786" t="s">
        <v>227</v>
      </c>
      <c r="B2786" t="s">
        <v>248</v>
      </c>
      <c r="C2786">
        <v>2208.25</v>
      </c>
      <c r="D2786">
        <v>2000</v>
      </c>
      <c r="E2786">
        <v>0</v>
      </c>
      <c r="F2786">
        <v>25000</v>
      </c>
      <c r="G2786">
        <v>673</v>
      </c>
    </row>
    <row r="2787" spans="1:7" x14ac:dyDescent="0.35">
      <c r="A2787" t="s">
        <v>227</v>
      </c>
      <c r="B2787" t="s">
        <v>249</v>
      </c>
      <c r="C2787">
        <v>3120.14</v>
      </c>
      <c r="D2787">
        <v>2500</v>
      </c>
      <c r="E2787">
        <v>0</v>
      </c>
      <c r="F2787">
        <v>33900</v>
      </c>
      <c r="G2787">
        <v>455</v>
      </c>
    </row>
    <row r="2788" spans="1:7" x14ac:dyDescent="0.35">
      <c r="A2788" t="s">
        <v>227</v>
      </c>
      <c r="B2788" t="s">
        <v>247</v>
      </c>
      <c r="C2788">
        <v>2705.07</v>
      </c>
      <c r="D2788">
        <v>2000</v>
      </c>
      <c r="E2788">
        <v>0</v>
      </c>
      <c r="F2788">
        <v>20000</v>
      </c>
      <c r="G2788">
        <v>1228</v>
      </c>
    </row>
    <row r="2789" spans="1:7" x14ac:dyDescent="0.35">
      <c r="A2789" t="s">
        <v>228</v>
      </c>
      <c r="B2789" t="s">
        <v>228</v>
      </c>
      <c r="C2789">
        <v>2648.46</v>
      </c>
      <c r="D2789">
        <v>2000</v>
      </c>
      <c r="E2789">
        <v>0</v>
      </c>
      <c r="F2789">
        <v>33900</v>
      </c>
      <c r="G2789">
        <v>2356</v>
      </c>
    </row>
    <row r="2791" spans="1:7" x14ac:dyDescent="0.35">
      <c r="A2791" s="1" t="s">
        <v>975</v>
      </c>
    </row>
    <row r="2792" spans="1:7" x14ac:dyDescent="0.35">
      <c r="A2792" t="s">
        <v>219</v>
      </c>
      <c r="B2792" t="s">
        <v>301</v>
      </c>
      <c r="C2792" t="s">
        <v>524</v>
      </c>
      <c r="D2792" t="s">
        <v>525</v>
      </c>
      <c r="E2792" t="s">
        <v>526</v>
      </c>
      <c r="F2792" t="s">
        <v>527</v>
      </c>
      <c r="G2792" t="s">
        <v>226</v>
      </c>
    </row>
    <row r="2793" spans="1:7" x14ac:dyDescent="0.35">
      <c r="A2793" t="s">
        <v>227</v>
      </c>
      <c r="B2793" t="s">
        <v>245</v>
      </c>
      <c r="C2793">
        <v>2985.35</v>
      </c>
      <c r="D2793">
        <v>2500</v>
      </c>
      <c r="E2793">
        <v>0</v>
      </c>
      <c r="F2793">
        <v>24000</v>
      </c>
      <c r="G2793">
        <v>663</v>
      </c>
    </row>
    <row r="2794" spans="1:7" x14ac:dyDescent="0.35">
      <c r="A2794" t="s">
        <v>227</v>
      </c>
      <c r="B2794" t="s">
        <v>244</v>
      </c>
      <c r="C2794">
        <v>2513.1</v>
      </c>
      <c r="D2794">
        <v>2000</v>
      </c>
      <c r="E2794">
        <v>0</v>
      </c>
      <c r="F2794">
        <v>33900</v>
      </c>
      <c r="G2794">
        <v>1693</v>
      </c>
    </row>
    <row r="2795" spans="1:7" x14ac:dyDescent="0.35">
      <c r="A2795" t="s">
        <v>228</v>
      </c>
      <c r="B2795" t="s">
        <v>228</v>
      </c>
      <c r="C2795">
        <v>2648.46</v>
      </c>
      <c r="D2795">
        <v>2000</v>
      </c>
      <c r="E2795">
        <v>0</v>
      </c>
      <c r="F2795">
        <v>33900</v>
      </c>
      <c r="G2795">
        <v>2356</v>
      </c>
    </row>
    <row r="2797" spans="1:7" x14ac:dyDescent="0.35">
      <c r="A2797" s="1" t="s">
        <v>976</v>
      </c>
    </row>
    <row r="2798" spans="1:7" x14ac:dyDescent="0.35">
      <c r="A2798" t="s">
        <v>219</v>
      </c>
      <c r="B2798" t="s">
        <v>301</v>
      </c>
      <c r="C2798" t="s">
        <v>524</v>
      </c>
      <c r="D2798" t="s">
        <v>525</v>
      </c>
      <c r="E2798" t="s">
        <v>526</v>
      </c>
      <c r="F2798" t="s">
        <v>527</v>
      </c>
      <c r="G2798" t="s">
        <v>226</v>
      </c>
    </row>
    <row r="2799" spans="1:7" x14ac:dyDescent="0.35">
      <c r="A2799" t="s">
        <v>227</v>
      </c>
      <c r="B2799" t="s">
        <v>259</v>
      </c>
      <c r="C2799">
        <v>3252.75</v>
      </c>
      <c r="D2799">
        <v>2000</v>
      </c>
      <c r="E2799">
        <v>0</v>
      </c>
      <c r="F2799">
        <v>20000</v>
      </c>
      <c r="G2799">
        <v>63</v>
      </c>
    </row>
    <row r="2800" spans="1:7" x14ac:dyDescent="0.35">
      <c r="A2800" t="s">
        <v>227</v>
      </c>
      <c r="B2800" t="s">
        <v>257</v>
      </c>
      <c r="C2800">
        <v>2882.96</v>
      </c>
      <c r="D2800">
        <v>2000</v>
      </c>
      <c r="E2800">
        <v>0</v>
      </c>
      <c r="F2800">
        <v>20000</v>
      </c>
      <c r="G2800">
        <v>328</v>
      </c>
    </row>
    <row r="2801" spans="1:7" x14ac:dyDescent="0.35">
      <c r="A2801" t="s">
        <v>227</v>
      </c>
      <c r="B2801" t="s">
        <v>256</v>
      </c>
      <c r="C2801">
        <v>2562.4899999999998</v>
      </c>
      <c r="D2801">
        <v>2000</v>
      </c>
      <c r="E2801">
        <v>0</v>
      </c>
      <c r="F2801">
        <v>33900</v>
      </c>
      <c r="G2801">
        <v>1513</v>
      </c>
    </row>
    <row r="2802" spans="1:7" x14ac:dyDescent="0.35">
      <c r="A2802" s="3" t="s">
        <v>227</v>
      </c>
      <c r="B2802" s="3" t="s">
        <v>232</v>
      </c>
      <c r="C2802" s="5">
        <v>1588.09</v>
      </c>
      <c r="D2802" s="5">
        <v>2000</v>
      </c>
      <c r="E2802" s="5">
        <v>800</v>
      </c>
      <c r="F2802" s="5">
        <v>5000</v>
      </c>
      <c r="G2802" s="5">
        <v>5</v>
      </c>
    </row>
    <row r="2803" spans="1:7" x14ac:dyDescent="0.35">
      <c r="A2803" t="s">
        <v>227</v>
      </c>
      <c r="B2803" t="s">
        <v>258</v>
      </c>
      <c r="C2803">
        <v>2732.01</v>
      </c>
      <c r="D2803">
        <v>2000</v>
      </c>
      <c r="E2803">
        <v>0</v>
      </c>
      <c r="F2803">
        <v>25000</v>
      </c>
      <c r="G2803">
        <v>447</v>
      </c>
    </row>
    <row r="2804" spans="1:7" x14ac:dyDescent="0.35">
      <c r="A2804" t="s">
        <v>228</v>
      </c>
      <c r="B2804" t="s">
        <v>228</v>
      </c>
      <c r="C2804">
        <v>2648.46</v>
      </c>
      <c r="D2804">
        <v>2000</v>
      </c>
      <c r="E2804">
        <v>0</v>
      </c>
      <c r="F2804">
        <v>33900</v>
      </c>
      <c r="G2804">
        <v>2356</v>
      </c>
    </row>
    <row r="2806" spans="1:7" x14ac:dyDescent="0.35">
      <c r="A2806" s="1" t="s">
        <v>977</v>
      </c>
    </row>
    <row r="2807" spans="1:7" x14ac:dyDescent="0.35">
      <c r="A2807" t="s">
        <v>219</v>
      </c>
      <c r="B2807" t="s">
        <v>301</v>
      </c>
      <c r="C2807" t="s">
        <v>524</v>
      </c>
      <c r="D2807" t="s">
        <v>525</v>
      </c>
      <c r="E2807" t="s">
        <v>526</v>
      </c>
      <c r="F2807" t="s">
        <v>527</v>
      </c>
      <c r="G2807" t="s">
        <v>226</v>
      </c>
    </row>
    <row r="2808" spans="1:7" x14ac:dyDescent="0.35">
      <c r="A2808" t="s">
        <v>227</v>
      </c>
      <c r="B2808" t="s">
        <v>343</v>
      </c>
      <c r="C2808">
        <v>2882.96</v>
      </c>
      <c r="D2808">
        <v>2000</v>
      </c>
      <c r="E2808">
        <v>0</v>
      </c>
      <c r="F2808">
        <v>20000</v>
      </c>
      <c r="G2808">
        <v>328</v>
      </c>
    </row>
    <row r="2809" spans="1:7" x14ac:dyDescent="0.35">
      <c r="A2809" t="s">
        <v>227</v>
      </c>
      <c r="B2809" t="s">
        <v>344</v>
      </c>
      <c r="C2809">
        <v>2606.2199999999998</v>
      </c>
      <c r="D2809">
        <v>2000</v>
      </c>
      <c r="E2809">
        <v>0</v>
      </c>
      <c r="F2809">
        <v>33900</v>
      </c>
      <c r="G2809">
        <v>2028</v>
      </c>
    </row>
    <row r="2810" spans="1:7" x14ac:dyDescent="0.35">
      <c r="A2810" t="s">
        <v>228</v>
      </c>
      <c r="B2810" t="s">
        <v>228</v>
      </c>
      <c r="C2810">
        <v>2648.46</v>
      </c>
      <c r="D2810">
        <v>2000</v>
      </c>
      <c r="E2810">
        <v>0</v>
      </c>
      <c r="F2810">
        <v>33900</v>
      </c>
      <c r="G2810">
        <v>2356</v>
      </c>
    </row>
    <row r="2812" spans="1:7" x14ac:dyDescent="0.35">
      <c r="A2812" s="1" t="s">
        <v>978</v>
      </c>
    </row>
    <row r="2813" spans="1:7" x14ac:dyDescent="0.35">
      <c r="A2813" t="s">
        <v>219</v>
      </c>
      <c r="B2813" t="s">
        <v>301</v>
      </c>
      <c r="C2813" t="s">
        <v>524</v>
      </c>
      <c r="D2813" t="s">
        <v>525</v>
      </c>
      <c r="E2813" t="s">
        <v>526</v>
      </c>
      <c r="F2813" t="s">
        <v>527</v>
      </c>
      <c r="G2813" t="s">
        <v>226</v>
      </c>
    </row>
    <row r="2814" spans="1:7" x14ac:dyDescent="0.35">
      <c r="A2814" t="s">
        <v>227</v>
      </c>
      <c r="B2814" t="s">
        <v>346</v>
      </c>
      <c r="C2814">
        <v>2654.7</v>
      </c>
      <c r="D2814">
        <v>2000</v>
      </c>
      <c r="E2814">
        <v>0</v>
      </c>
      <c r="F2814">
        <v>33900</v>
      </c>
      <c r="G2814">
        <v>1242</v>
      </c>
    </row>
    <row r="2815" spans="1:7" x14ac:dyDescent="0.35">
      <c r="A2815" t="s">
        <v>227</v>
      </c>
      <c r="B2815" t="s">
        <v>347</v>
      </c>
      <c r="C2815">
        <v>3003.18</v>
      </c>
      <c r="D2815">
        <v>2500</v>
      </c>
      <c r="E2815">
        <v>0</v>
      </c>
      <c r="F2815">
        <v>25000</v>
      </c>
      <c r="G2815">
        <v>478</v>
      </c>
    </row>
    <row r="2816" spans="1:7" x14ac:dyDescent="0.35">
      <c r="A2816" t="s">
        <v>227</v>
      </c>
      <c r="B2816" t="s">
        <v>348</v>
      </c>
      <c r="C2816">
        <v>2460.5300000000002</v>
      </c>
      <c r="D2816">
        <v>2000</v>
      </c>
      <c r="E2816">
        <v>0</v>
      </c>
      <c r="F2816">
        <v>31000</v>
      </c>
      <c r="G2816">
        <v>636</v>
      </c>
    </row>
    <row r="2817" spans="1:11" x14ac:dyDescent="0.35">
      <c r="A2817" t="s">
        <v>228</v>
      </c>
      <c r="B2817" t="s">
        <v>228</v>
      </c>
      <c r="C2817">
        <v>2648.46</v>
      </c>
      <c r="D2817">
        <v>2000</v>
      </c>
      <c r="E2817">
        <v>0</v>
      </c>
      <c r="F2817">
        <v>33900</v>
      </c>
      <c r="G2817">
        <v>2356</v>
      </c>
    </row>
    <row r="2819" spans="1:11" x14ac:dyDescent="0.35">
      <c r="A2819" s="1" t="s">
        <v>979</v>
      </c>
    </row>
    <row r="2820" spans="1:11" x14ac:dyDescent="0.35">
      <c r="A2820" t="s">
        <v>219</v>
      </c>
      <c r="B2820" t="s">
        <v>301</v>
      </c>
      <c r="C2820" t="s">
        <v>524</v>
      </c>
      <c r="D2820" t="s">
        <v>525</v>
      </c>
      <c r="E2820" t="s">
        <v>526</v>
      </c>
      <c r="F2820" t="s">
        <v>527</v>
      </c>
      <c r="G2820" t="s">
        <v>226</v>
      </c>
    </row>
    <row r="2821" spans="1:11" x14ac:dyDescent="0.35">
      <c r="A2821" t="s">
        <v>227</v>
      </c>
      <c r="B2821" t="s">
        <v>251</v>
      </c>
      <c r="C2821">
        <v>2513.1</v>
      </c>
      <c r="D2821">
        <v>2000</v>
      </c>
      <c r="E2821">
        <v>0</v>
      </c>
      <c r="F2821">
        <v>33900</v>
      </c>
      <c r="G2821">
        <v>1693</v>
      </c>
    </row>
    <row r="2822" spans="1:11" x14ac:dyDescent="0.35">
      <c r="A2822" t="s">
        <v>227</v>
      </c>
      <c r="B2822" t="s">
        <v>252</v>
      </c>
      <c r="C2822">
        <v>3107.41</v>
      </c>
      <c r="D2822">
        <v>2500</v>
      </c>
      <c r="E2822">
        <v>0</v>
      </c>
      <c r="F2822">
        <v>24000</v>
      </c>
      <c r="G2822">
        <v>530</v>
      </c>
    </row>
    <row r="2823" spans="1:11" x14ac:dyDescent="0.35">
      <c r="A2823" t="s">
        <v>227</v>
      </c>
      <c r="B2823" t="s">
        <v>253</v>
      </c>
      <c r="C2823">
        <v>2485.61</v>
      </c>
      <c r="D2823">
        <v>2000</v>
      </c>
      <c r="E2823">
        <v>0</v>
      </c>
      <c r="F2823">
        <v>8300</v>
      </c>
      <c r="G2823">
        <v>126</v>
      </c>
    </row>
    <row r="2824" spans="1:11" x14ac:dyDescent="0.35">
      <c r="A2824" s="3" t="s">
        <v>227</v>
      </c>
      <c r="B2824" s="3" t="s">
        <v>254</v>
      </c>
      <c r="C2824" s="5">
        <v>1376.77</v>
      </c>
      <c r="D2824" s="5">
        <v>1600</v>
      </c>
      <c r="E2824" s="5">
        <v>500</v>
      </c>
      <c r="F2824" s="5">
        <v>5000</v>
      </c>
      <c r="G2824" s="5">
        <v>7</v>
      </c>
    </row>
    <row r="2825" spans="1:11" x14ac:dyDescent="0.35">
      <c r="A2825" t="s">
        <v>228</v>
      </c>
      <c r="B2825" t="s">
        <v>228</v>
      </c>
      <c r="C2825">
        <v>2648.46</v>
      </c>
      <c r="D2825">
        <v>2000</v>
      </c>
      <c r="E2825">
        <v>0</v>
      </c>
      <c r="F2825">
        <v>33900</v>
      </c>
      <c r="G2825">
        <v>2356</v>
      </c>
    </row>
    <row r="2827" spans="1:11" x14ac:dyDescent="0.35">
      <c r="A2827" s="1" t="s">
        <v>980</v>
      </c>
    </row>
    <row r="2828" spans="1:11" x14ac:dyDescent="0.35">
      <c r="A2828" t="s">
        <v>219</v>
      </c>
      <c r="B2828" t="s">
        <v>981</v>
      </c>
      <c r="C2828" t="s">
        <v>982</v>
      </c>
      <c r="D2828" t="s">
        <v>983</v>
      </c>
      <c r="E2828" t="s">
        <v>984</v>
      </c>
      <c r="F2828" t="s">
        <v>985</v>
      </c>
      <c r="G2828" t="s">
        <v>986</v>
      </c>
      <c r="H2828" t="s">
        <v>987</v>
      </c>
      <c r="I2828" t="s">
        <v>277</v>
      </c>
      <c r="J2828" t="s">
        <v>282</v>
      </c>
      <c r="K2828" t="s">
        <v>226</v>
      </c>
    </row>
    <row r="2829" spans="1:11" x14ac:dyDescent="0.35">
      <c r="A2829" t="s">
        <v>227</v>
      </c>
      <c r="B2829" s="2">
        <v>0.80330000000000001</v>
      </c>
      <c r="C2829" s="2">
        <v>0.2999</v>
      </c>
      <c r="D2829" s="2">
        <v>0.25729999999999997</v>
      </c>
      <c r="E2829" s="2">
        <v>0.22720000000000001</v>
      </c>
      <c r="F2829" s="2">
        <v>0.19800000000000001</v>
      </c>
      <c r="G2829" s="2">
        <v>0.10780000000000001</v>
      </c>
      <c r="H2829" s="2">
        <v>2.1600000000000001E-2</v>
      </c>
      <c r="I2829" s="2">
        <v>3.5000000000000001E-3</v>
      </c>
      <c r="J2829" s="2">
        <v>2.0000000000000001E-4</v>
      </c>
      <c r="K2829">
        <v>2798</v>
      </c>
    </row>
    <row r="2830" spans="1:11" x14ac:dyDescent="0.35">
      <c r="A2830" t="s">
        <v>228</v>
      </c>
      <c r="B2830" s="2">
        <v>0.80330000000000001</v>
      </c>
      <c r="C2830" s="2">
        <v>0.2999</v>
      </c>
      <c r="D2830" s="2">
        <v>0.25729999999999997</v>
      </c>
      <c r="E2830" s="2">
        <v>0.22720000000000001</v>
      </c>
      <c r="F2830" s="2">
        <v>0.19800000000000001</v>
      </c>
      <c r="G2830" s="2">
        <v>0.10780000000000001</v>
      </c>
      <c r="H2830" s="2">
        <v>2.1600000000000001E-2</v>
      </c>
      <c r="I2830" s="2">
        <v>3.5000000000000001E-3</v>
      </c>
      <c r="J2830" s="2">
        <v>2.0000000000000001E-4</v>
      </c>
      <c r="K2830">
        <v>2798</v>
      </c>
    </row>
    <row r="2832" spans="1:11" x14ac:dyDescent="0.35">
      <c r="A2832" s="1" t="s">
        <v>115</v>
      </c>
    </row>
    <row r="2833" spans="1:33" x14ac:dyDescent="0.35">
      <c r="A2833" t="s">
        <v>219</v>
      </c>
      <c r="B2833" t="s">
        <v>988</v>
      </c>
      <c r="C2833" t="s">
        <v>989</v>
      </c>
      <c r="D2833" t="s">
        <v>990</v>
      </c>
      <c r="E2833" t="s">
        <v>991</v>
      </c>
      <c r="F2833" t="s">
        <v>992</v>
      </c>
      <c r="G2833" t="s">
        <v>993</v>
      </c>
      <c r="H2833" t="s">
        <v>994</v>
      </c>
      <c r="I2833" t="s">
        <v>995</v>
      </c>
      <c r="J2833" t="s">
        <v>996</v>
      </c>
      <c r="K2833" t="s">
        <v>997</v>
      </c>
      <c r="L2833" t="s">
        <v>998</v>
      </c>
      <c r="M2833" t="s">
        <v>999</v>
      </c>
      <c r="N2833" t="s">
        <v>1000</v>
      </c>
      <c r="O2833" t="s">
        <v>1001</v>
      </c>
      <c r="P2833" t="s">
        <v>1002</v>
      </c>
      <c r="Q2833" t="s">
        <v>1003</v>
      </c>
      <c r="R2833" t="s">
        <v>1004</v>
      </c>
      <c r="S2833" t="s">
        <v>1005</v>
      </c>
      <c r="T2833" t="s">
        <v>1006</v>
      </c>
      <c r="U2833" t="s">
        <v>1007</v>
      </c>
      <c r="V2833" t="s">
        <v>1008</v>
      </c>
      <c r="W2833" t="s">
        <v>1009</v>
      </c>
      <c r="X2833" t="s">
        <v>1010</v>
      </c>
      <c r="Y2833" t="s">
        <v>1011</v>
      </c>
      <c r="Z2833" t="s">
        <v>1012</v>
      </c>
      <c r="AA2833" t="s">
        <v>1013</v>
      </c>
      <c r="AB2833" t="s">
        <v>1014</v>
      </c>
      <c r="AC2833" t="s">
        <v>1015</v>
      </c>
      <c r="AD2833" t="s">
        <v>1016</v>
      </c>
      <c r="AE2833" t="s">
        <v>1017</v>
      </c>
      <c r="AF2833" t="s">
        <v>957</v>
      </c>
    </row>
    <row r="2834" spans="1:33" x14ac:dyDescent="0.35">
      <c r="A2834" t="s">
        <v>227</v>
      </c>
      <c r="B2834">
        <v>14899.73</v>
      </c>
      <c r="C2834">
        <v>5000</v>
      </c>
      <c r="D2834">
        <v>100</v>
      </c>
      <c r="E2834">
        <v>200000</v>
      </c>
      <c r="F2834" s="6">
        <v>664</v>
      </c>
      <c r="G2834">
        <v>5630.43</v>
      </c>
      <c r="H2834">
        <v>3000</v>
      </c>
      <c r="I2834">
        <v>200</v>
      </c>
      <c r="J2834">
        <v>30000</v>
      </c>
      <c r="K2834" s="6">
        <v>492</v>
      </c>
      <c r="L2834">
        <v>9336.61</v>
      </c>
      <c r="M2834">
        <v>5000</v>
      </c>
      <c r="N2834">
        <v>100</v>
      </c>
      <c r="O2834">
        <v>100000</v>
      </c>
      <c r="P2834" s="6">
        <v>1873</v>
      </c>
      <c r="Q2834">
        <v>8628.5300000000007</v>
      </c>
      <c r="R2834">
        <v>5000</v>
      </c>
      <c r="S2834">
        <v>150</v>
      </c>
      <c r="T2834">
        <v>45000</v>
      </c>
      <c r="U2834" s="6">
        <v>452</v>
      </c>
      <c r="V2834">
        <v>18064.68</v>
      </c>
      <c r="W2834">
        <v>9000</v>
      </c>
      <c r="X2834">
        <v>200</v>
      </c>
      <c r="Y2834">
        <v>400000</v>
      </c>
      <c r="Z2834" s="6">
        <v>417</v>
      </c>
      <c r="AA2834">
        <v>6639.38</v>
      </c>
      <c r="AB2834">
        <v>4000</v>
      </c>
      <c r="AC2834">
        <v>100</v>
      </c>
      <c r="AD2834">
        <v>31000</v>
      </c>
      <c r="AE2834" s="6">
        <v>140</v>
      </c>
      <c r="AF2834">
        <v>1873</v>
      </c>
    </row>
    <row r="2835" spans="1:33" x14ac:dyDescent="0.35">
      <c r="A2835" t="s">
        <v>228</v>
      </c>
      <c r="B2835">
        <v>14899.73</v>
      </c>
      <c r="C2835">
        <v>5000</v>
      </c>
      <c r="D2835">
        <v>100</v>
      </c>
      <c r="E2835">
        <v>200000</v>
      </c>
      <c r="F2835" s="6">
        <v>664</v>
      </c>
      <c r="G2835">
        <v>5630.43</v>
      </c>
      <c r="H2835">
        <v>3000</v>
      </c>
      <c r="I2835">
        <v>200</v>
      </c>
      <c r="J2835">
        <v>30000</v>
      </c>
      <c r="K2835" s="6">
        <v>492</v>
      </c>
      <c r="L2835">
        <v>9336.61</v>
      </c>
      <c r="M2835">
        <v>5000</v>
      </c>
      <c r="N2835">
        <v>100</v>
      </c>
      <c r="O2835">
        <v>100000</v>
      </c>
      <c r="P2835" s="6">
        <v>1873</v>
      </c>
      <c r="Q2835">
        <v>8628.5300000000007</v>
      </c>
      <c r="R2835">
        <v>5000</v>
      </c>
      <c r="S2835">
        <v>150</v>
      </c>
      <c r="T2835">
        <v>45000</v>
      </c>
      <c r="U2835" s="6">
        <v>452</v>
      </c>
      <c r="V2835">
        <v>18064.68</v>
      </c>
      <c r="W2835">
        <v>9000</v>
      </c>
      <c r="X2835">
        <v>200</v>
      </c>
      <c r="Y2835">
        <v>400000</v>
      </c>
      <c r="Z2835" s="6">
        <v>417</v>
      </c>
      <c r="AA2835">
        <v>6639.38</v>
      </c>
      <c r="AB2835">
        <v>4000</v>
      </c>
      <c r="AC2835">
        <v>100</v>
      </c>
      <c r="AD2835">
        <v>31000</v>
      </c>
      <c r="AE2835" s="6">
        <v>140</v>
      </c>
      <c r="AF2835">
        <v>1873</v>
      </c>
    </row>
    <row r="2837" spans="1:33" x14ac:dyDescent="0.35">
      <c r="A2837" s="1" t="s">
        <v>1018</v>
      </c>
    </row>
    <row r="2838" spans="1:33" x14ac:dyDescent="0.35">
      <c r="A2838" t="s">
        <v>219</v>
      </c>
      <c r="B2838" t="s">
        <v>301</v>
      </c>
      <c r="C2838" t="s">
        <v>981</v>
      </c>
      <c r="D2838" t="s">
        <v>982</v>
      </c>
      <c r="E2838" t="s">
        <v>983</v>
      </c>
      <c r="F2838" t="s">
        <v>984</v>
      </c>
      <c r="G2838" t="s">
        <v>985</v>
      </c>
      <c r="H2838" t="s">
        <v>986</v>
      </c>
      <c r="I2838" t="s">
        <v>987</v>
      </c>
      <c r="J2838" t="s">
        <v>277</v>
      </c>
      <c r="K2838" t="s">
        <v>282</v>
      </c>
      <c r="L2838" t="s">
        <v>226</v>
      </c>
    </row>
    <row r="2839" spans="1:33" x14ac:dyDescent="0.35">
      <c r="A2839" t="s">
        <v>227</v>
      </c>
      <c r="B2839" t="s">
        <v>238</v>
      </c>
      <c r="C2839" s="2">
        <v>0.89019999999999999</v>
      </c>
      <c r="D2839" s="2">
        <v>0.28549999999999998</v>
      </c>
      <c r="E2839" s="2">
        <v>0.21129999999999999</v>
      </c>
      <c r="F2839" s="2">
        <v>0.18160000000000001</v>
      </c>
      <c r="G2839" s="2">
        <v>0.17879999999999999</v>
      </c>
      <c r="H2839" s="2">
        <v>6.8599999999999994E-2</v>
      </c>
      <c r="I2839" s="2">
        <v>1.7899999999999999E-2</v>
      </c>
      <c r="J2839" s="2">
        <v>3.5000000000000001E-3</v>
      </c>
      <c r="K2839" s="2">
        <v>2.0000000000000001E-4</v>
      </c>
      <c r="L2839">
        <v>1004</v>
      </c>
    </row>
    <row r="2840" spans="1:33" x14ac:dyDescent="0.35">
      <c r="A2840" t="s">
        <v>227</v>
      </c>
      <c r="B2840" t="s">
        <v>237</v>
      </c>
      <c r="C2840" s="2">
        <v>0.75239999999999996</v>
      </c>
      <c r="D2840" s="2">
        <v>0.30840000000000001</v>
      </c>
      <c r="E2840" s="2">
        <v>0.2843</v>
      </c>
      <c r="F2840" s="2">
        <v>0.254</v>
      </c>
      <c r="G2840" s="2">
        <v>0.20930000000000001</v>
      </c>
      <c r="H2840" s="2">
        <v>0.1308</v>
      </c>
      <c r="I2840" s="2">
        <v>2.3800000000000002E-2</v>
      </c>
      <c r="J2840" s="2">
        <v>3.5000000000000001E-3</v>
      </c>
      <c r="K2840" s="2">
        <v>1E-4</v>
      </c>
      <c r="L2840">
        <v>1794</v>
      </c>
    </row>
    <row r="2841" spans="1:33" x14ac:dyDescent="0.35">
      <c r="A2841" t="s">
        <v>228</v>
      </c>
      <c r="B2841" t="s">
        <v>228</v>
      </c>
      <c r="C2841" s="2">
        <v>0.80330000000000001</v>
      </c>
      <c r="D2841" s="2">
        <v>0.2999</v>
      </c>
      <c r="E2841" s="2">
        <v>0.25729999999999997</v>
      </c>
      <c r="F2841" s="2">
        <v>0.22720000000000001</v>
      </c>
      <c r="G2841" s="2">
        <v>0.19800000000000001</v>
      </c>
      <c r="H2841" s="2">
        <v>0.10780000000000001</v>
      </c>
      <c r="I2841" s="2">
        <v>2.1600000000000001E-2</v>
      </c>
      <c r="J2841" s="2">
        <v>3.5000000000000001E-3</v>
      </c>
      <c r="K2841" s="2">
        <v>2.0000000000000001E-4</v>
      </c>
      <c r="L2841">
        <v>2798</v>
      </c>
    </row>
    <row r="2843" spans="1:33" x14ac:dyDescent="0.35">
      <c r="A2843" s="1" t="s">
        <v>1019</v>
      </c>
    </row>
    <row r="2844" spans="1:33" x14ac:dyDescent="0.35">
      <c r="A2844" t="s">
        <v>219</v>
      </c>
      <c r="B2844" t="s">
        <v>301</v>
      </c>
      <c r="C2844" t="s">
        <v>988</v>
      </c>
      <c r="D2844" t="s">
        <v>989</v>
      </c>
      <c r="E2844" t="s">
        <v>990</v>
      </c>
      <c r="F2844" t="s">
        <v>991</v>
      </c>
      <c r="G2844" t="s">
        <v>992</v>
      </c>
      <c r="H2844" t="s">
        <v>993</v>
      </c>
      <c r="I2844" t="s">
        <v>994</v>
      </c>
      <c r="J2844" t="s">
        <v>995</v>
      </c>
      <c r="K2844" t="s">
        <v>996</v>
      </c>
      <c r="L2844" t="s">
        <v>997</v>
      </c>
      <c r="M2844" t="s">
        <v>998</v>
      </c>
      <c r="N2844" t="s">
        <v>999</v>
      </c>
      <c r="O2844" t="s">
        <v>1000</v>
      </c>
      <c r="P2844" t="s">
        <v>1001</v>
      </c>
      <c r="Q2844" t="s">
        <v>1002</v>
      </c>
      <c r="R2844" t="s">
        <v>1003</v>
      </c>
      <c r="S2844" t="s">
        <v>1004</v>
      </c>
      <c r="T2844" t="s">
        <v>1005</v>
      </c>
      <c r="U2844" t="s">
        <v>1006</v>
      </c>
      <c r="V2844" t="s">
        <v>1007</v>
      </c>
      <c r="W2844" t="s">
        <v>1008</v>
      </c>
      <c r="X2844" t="s">
        <v>1009</v>
      </c>
      <c r="Y2844" t="s">
        <v>1010</v>
      </c>
      <c r="Z2844" t="s">
        <v>1011</v>
      </c>
      <c r="AA2844" t="s">
        <v>1012</v>
      </c>
      <c r="AB2844" t="s">
        <v>1013</v>
      </c>
      <c r="AC2844" t="s">
        <v>1014</v>
      </c>
      <c r="AD2844" t="s">
        <v>1015</v>
      </c>
      <c r="AE2844" t="s">
        <v>1016</v>
      </c>
      <c r="AF2844" t="s">
        <v>1017</v>
      </c>
      <c r="AG2844" t="s">
        <v>957</v>
      </c>
    </row>
    <row r="2845" spans="1:33" x14ac:dyDescent="0.35">
      <c r="A2845" t="s">
        <v>227</v>
      </c>
      <c r="B2845" t="s">
        <v>238</v>
      </c>
      <c r="C2845">
        <v>13366.62</v>
      </c>
      <c r="D2845">
        <v>5000</v>
      </c>
      <c r="E2845">
        <v>100</v>
      </c>
      <c r="F2845">
        <v>200000</v>
      </c>
      <c r="G2845" s="6">
        <v>223</v>
      </c>
      <c r="H2845">
        <v>5342.15</v>
      </c>
      <c r="I2845">
        <v>3000</v>
      </c>
      <c r="J2845">
        <v>200</v>
      </c>
      <c r="K2845">
        <v>30000</v>
      </c>
      <c r="L2845" s="6">
        <v>147</v>
      </c>
      <c r="M2845">
        <v>12660.75</v>
      </c>
      <c r="N2845">
        <v>7000</v>
      </c>
      <c r="O2845">
        <v>120</v>
      </c>
      <c r="P2845">
        <v>100000</v>
      </c>
      <c r="Q2845" s="6">
        <v>758</v>
      </c>
      <c r="R2845">
        <v>7168.39</v>
      </c>
      <c r="S2845">
        <v>5000</v>
      </c>
      <c r="T2845">
        <v>200</v>
      </c>
      <c r="U2845">
        <v>40000</v>
      </c>
      <c r="V2845" s="6">
        <v>127</v>
      </c>
      <c r="W2845">
        <v>23425.14</v>
      </c>
      <c r="X2845">
        <v>10000</v>
      </c>
      <c r="Y2845">
        <v>300</v>
      </c>
      <c r="Z2845">
        <v>400000</v>
      </c>
      <c r="AA2845" s="6">
        <v>151</v>
      </c>
      <c r="AB2845">
        <v>5374.29</v>
      </c>
      <c r="AC2845">
        <v>2000</v>
      </c>
      <c r="AD2845">
        <v>100</v>
      </c>
      <c r="AE2845">
        <v>31000</v>
      </c>
      <c r="AF2845" s="6">
        <v>51</v>
      </c>
      <c r="AG2845">
        <v>758</v>
      </c>
    </row>
    <row r="2846" spans="1:33" x14ac:dyDescent="0.35">
      <c r="A2846" t="s">
        <v>227</v>
      </c>
      <c r="B2846" t="s">
        <v>237</v>
      </c>
      <c r="C2846">
        <v>15728.5</v>
      </c>
      <c r="D2846">
        <v>5000</v>
      </c>
      <c r="E2846">
        <v>100</v>
      </c>
      <c r="F2846">
        <v>200000</v>
      </c>
      <c r="G2846" s="6">
        <v>441</v>
      </c>
      <c r="H2846">
        <v>5765.15</v>
      </c>
      <c r="I2846">
        <v>3000</v>
      </c>
      <c r="J2846">
        <v>200</v>
      </c>
      <c r="K2846">
        <v>30000</v>
      </c>
      <c r="L2846" s="6">
        <v>345</v>
      </c>
      <c r="M2846">
        <v>7037.66</v>
      </c>
      <c r="N2846">
        <v>4000</v>
      </c>
      <c r="O2846">
        <v>100</v>
      </c>
      <c r="P2846">
        <v>100000</v>
      </c>
      <c r="Q2846" s="6">
        <v>1115</v>
      </c>
      <c r="R2846">
        <v>9170.69</v>
      </c>
      <c r="S2846">
        <v>5000</v>
      </c>
      <c r="T2846">
        <v>150</v>
      </c>
      <c r="U2846">
        <v>45000</v>
      </c>
      <c r="V2846" s="6">
        <v>325</v>
      </c>
      <c r="W2846">
        <v>15387.54</v>
      </c>
      <c r="X2846">
        <v>8000</v>
      </c>
      <c r="Y2846">
        <v>200</v>
      </c>
      <c r="Z2846">
        <v>200000</v>
      </c>
      <c r="AA2846" s="6">
        <v>266</v>
      </c>
      <c r="AB2846">
        <v>7291.44</v>
      </c>
      <c r="AC2846">
        <v>5000</v>
      </c>
      <c r="AD2846">
        <v>300</v>
      </c>
      <c r="AE2846">
        <v>30000</v>
      </c>
      <c r="AF2846" s="6">
        <v>89</v>
      </c>
      <c r="AG2846">
        <v>1115</v>
      </c>
    </row>
    <row r="2847" spans="1:33" x14ac:dyDescent="0.35">
      <c r="A2847" t="s">
        <v>228</v>
      </c>
      <c r="B2847" t="s">
        <v>228</v>
      </c>
      <c r="C2847">
        <v>14899.73</v>
      </c>
      <c r="D2847">
        <v>5000</v>
      </c>
      <c r="E2847">
        <v>100</v>
      </c>
      <c r="F2847">
        <v>200000</v>
      </c>
      <c r="G2847" s="6">
        <v>664</v>
      </c>
      <c r="H2847">
        <v>5630.43</v>
      </c>
      <c r="I2847">
        <v>3000</v>
      </c>
      <c r="J2847">
        <v>200</v>
      </c>
      <c r="K2847">
        <v>30000</v>
      </c>
      <c r="L2847" s="6">
        <v>492</v>
      </c>
      <c r="M2847">
        <v>9336.61</v>
      </c>
      <c r="N2847">
        <v>5000</v>
      </c>
      <c r="O2847">
        <v>100</v>
      </c>
      <c r="P2847">
        <v>100000</v>
      </c>
      <c r="Q2847" s="6">
        <v>1873</v>
      </c>
      <c r="R2847">
        <v>8628.5300000000007</v>
      </c>
      <c r="S2847">
        <v>5000</v>
      </c>
      <c r="T2847">
        <v>150</v>
      </c>
      <c r="U2847">
        <v>45000</v>
      </c>
      <c r="V2847" s="6">
        <v>452</v>
      </c>
      <c r="W2847">
        <v>18064.68</v>
      </c>
      <c r="X2847">
        <v>9000</v>
      </c>
      <c r="Y2847">
        <v>200</v>
      </c>
      <c r="Z2847">
        <v>400000</v>
      </c>
      <c r="AA2847" s="6">
        <v>417</v>
      </c>
      <c r="AB2847">
        <v>6639.38</v>
      </c>
      <c r="AC2847">
        <v>4000</v>
      </c>
      <c r="AD2847">
        <v>100</v>
      </c>
      <c r="AE2847">
        <v>31000</v>
      </c>
      <c r="AF2847" s="6">
        <v>140</v>
      </c>
      <c r="AG2847">
        <v>1873</v>
      </c>
    </row>
    <row r="2849" spans="1:33" x14ac:dyDescent="0.35">
      <c r="A2849" s="1" t="s">
        <v>1020</v>
      </c>
    </row>
    <row r="2850" spans="1:33" x14ac:dyDescent="0.35">
      <c r="A2850" t="s">
        <v>219</v>
      </c>
      <c r="B2850" t="s">
        <v>301</v>
      </c>
      <c r="C2850" t="s">
        <v>981</v>
      </c>
      <c r="D2850" t="s">
        <v>982</v>
      </c>
      <c r="E2850" t="s">
        <v>983</v>
      </c>
      <c r="F2850" t="s">
        <v>984</v>
      </c>
      <c r="G2850" t="s">
        <v>985</v>
      </c>
      <c r="H2850" t="s">
        <v>986</v>
      </c>
      <c r="I2850" t="s">
        <v>987</v>
      </c>
      <c r="J2850" t="s">
        <v>277</v>
      </c>
      <c r="K2850" t="s">
        <v>282</v>
      </c>
      <c r="L2850" t="s">
        <v>226</v>
      </c>
    </row>
    <row r="2851" spans="1:33" x14ac:dyDescent="0.35">
      <c r="A2851" t="s">
        <v>227</v>
      </c>
      <c r="B2851" t="s">
        <v>235</v>
      </c>
      <c r="C2851" s="2">
        <v>0.81530000000000002</v>
      </c>
      <c r="D2851" s="2">
        <v>0.3856</v>
      </c>
      <c r="E2851" s="2">
        <v>0.24160000000000001</v>
      </c>
      <c r="F2851" s="2">
        <v>0.24360000000000001</v>
      </c>
      <c r="G2851" s="2">
        <v>0.22339999999999999</v>
      </c>
      <c r="H2851" s="2">
        <v>9.3299999999999994E-2</v>
      </c>
      <c r="I2851" s="2">
        <v>3.1E-2</v>
      </c>
      <c r="J2851" s="2">
        <v>3.7000000000000002E-3</v>
      </c>
      <c r="L2851">
        <v>985</v>
      </c>
    </row>
    <row r="2852" spans="1:33" x14ac:dyDescent="0.35">
      <c r="A2852" t="s">
        <v>227</v>
      </c>
      <c r="B2852" t="s">
        <v>234</v>
      </c>
      <c r="C2852" s="2">
        <v>0.79830000000000001</v>
      </c>
      <c r="D2852" s="2">
        <v>0.26419999999999999</v>
      </c>
      <c r="E2852" s="2">
        <v>0.26379999999999998</v>
      </c>
      <c r="F2852" s="2">
        <v>0.22040000000000001</v>
      </c>
      <c r="G2852" s="2">
        <v>0.18740000000000001</v>
      </c>
      <c r="H2852" s="2">
        <v>0.1139</v>
      </c>
      <c r="I2852" s="2">
        <v>1.77E-2</v>
      </c>
      <c r="J2852" s="2">
        <v>3.3999999999999998E-3</v>
      </c>
      <c r="K2852" s="2">
        <v>2.0000000000000001E-4</v>
      </c>
      <c r="L2852">
        <v>1813</v>
      </c>
    </row>
    <row r="2853" spans="1:33" x14ac:dyDescent="0.35">
      <c r="A2853" t="s">
        <v>228</v>
      </c>
      <c r="B2853" t="s">
        <v>228</v>
      </c>
      <c r="C2853" s="2">
        <v>0.80330000000000001</v>
      </c>
      <c r="D2853" s="2">
        <v>0.2999</v>
      </c>
      <c r="E2853" s="2">
        <v>0.25729999999999997</v>
      </c>
      <c r="F2853" s="2">
        <v>0.22720000000000001</v>
      </c>
      <c r="G2853" s="2">
        <v>0.19800000000000001</v>
      </c>
      <c r="H2853" s="2">
        <v>0.10780000000000001</v>
      </c>
      <c r="I2853" s="2">
        <v>2.1600000000000001E-2</v>
      </c>
      <c r="J2853" s="2">
        <v>3.5000000000000001E-3</v>
      </c>
      <c r="K2853" s="2">
        <v>2.0000000000000001E-4</v>
      </c>
      <c r="L2853">
        <v>2798</v>
      </c>
    </row>
    <row r="2855" spans="1:33" x14ac:dyDescent="0.35">
      <c r="A2855" s="1" t="s">
        <v>1021</v>
      </c>
    </row>
    <row r="2856" spans="1:33" x14ac:dyDescent="0.35">
      <c r="A2856" t="s">
        <v>219</v>
      </c>
      <c r="B2856" t="s">
        <v>301</v>
      </c>
      <c r="C2856" t="s">
        <v>988</v>
      </c>
      <c r="D2856" t="s">
        <v>989</v>
      </c>
      <c r="E2856" t="s">
        <v>990</v>
      </c>
      <c r="F2856" t="s">
        <v>991</v>
      </c>
      <c r="G2856" t="s">
        <v>992</v>
      </c>
      <c r="H2856" t="s">
        <v>993</v>
      </c>
      <c r="I2856" t="s">
        <v>994</v>
      </c>
      <c r="J2856" t="s">
        <v>995</v>
      </c>
      <c r="K2856" t="s">
        <v>996</v>
      </c>
      <c r="L2856" t="s">
        <v>997</v>
      </c>
      <c r="M2856" t="s">
        <v>998</v>
      </c>
      <c r="N2856" t="s">
        <v>999</v>
      </c>
      <c r="O2856" t="s">
        <v>1000</v>
      </c>
      <c r="P2856" t="s">
        <v>1001</v>
      </c>
      <c r="Q2856" t="s">
        <v>1002</v>
      </c>
      <c r="R2856" t="s">
        <v>1003</v>
      </c>
      <c r="S2856" t="s">
        <v>1004</v>
      </c>
      <c r="T2856" t="s">
        <v>1005</v>
      </c>
      <c r="U2856" t="s">
        <v>1006</v>
      </c>
      <c r="V2856" t="s">
        <v>1007</v>
      </c>
      <c r="W2856" t="s">
        <v>1008</v>
      </c>
      <c r="X2856" t="s">
        <v>1009</v>
      </c>
      <c r="Y2856" t="s">
        <v>1010</v>
      </c>
      <c r="Z2856" t="s">
        <v>1011</v>
      </c>
      <c r="AA2856" t="s">
        <v>1012</v>
      </c>
      <c r="AB2856" t="s">
        <v>1013</v>
      </c>
      <c r="AC2856" t="s">
        <v>1014</v>
      </c>
      <c r="AD2856" t="s">
        <v>1015</v>
      </c>
      <c r="AE2856" t="s">
        <v>1016</v>
      </c>
      <c r="AF2856" t="s">
        <v>1017</v>
      </c>
      <c r="AG2856" t="s">
        <v>957</v>
      </c>
    </row>
    <row r="2857" spans="1:33" x14ac:dyDescent="0.35">
      <c r="A2857" t="s">
        <v>227</v>
      </c>
      <c r="B2857" t="s">
        <v>235</v>
      </c>
      <c r="C2857">
        <v>18568.88</v>
      </c>
      <c r="D2857">
        <v>6000</v>
      </c>
      <c r="E2857">
        <v>150</v>
      </c>
      <c r="F2857">
        <v>200000</v>
      </c>
      <c r="G2857" s="6">
        <v>269</v>
      </c>
      <c r="H2857">
        <v>4997.9399999999996</v>
      </c>
      <c r="I2857">
        <v>3000</v>
      </c>
      <c r="J2857">
        <v>200</v>
      </c>
      <c r="K2857">
        <v>30000</v>
      </c>
      <c r="L2857" s="6">
        <v>164</v>
      </c>
      <c r="M2857">
        <v>8746.69</v>
      </c>
      <c r="N2857">
        <v>5000</v>
      </c>
      <c r="O2857">
        <v>120</v>
      </c>
      <c r="P2857">
        <v>100000</v>
      </c>
      <c r="Q2857" s="6">
        <v>654</v>
      </c>
      <c r="R2857">
        <v>6773.76</v>
      </c>
      <c r="S2857">
        <v>4800</v>
      </c>
      <c r="T2857">
        <v>300</v>
      </c>
      <c r="U2857">
        <v>45000</v>
      </c>
      <c r="V2857" s="6">
        <v>169</v>
      </c>
      <c r="W2857">
        <v>16698.439999999999</v>
      </c>
      <c r="X2857">
        <v>6000</v>
      </c>
      <c r="Y2857">
        <v>200</v>
      </c>
      <c r="Z2857">
        <v>200000</v>
      </c>
      <c r="AA2857" s="6">
        <v>145</v>
      </c>
      <c r="AB2857">
        <v>5427.84</v>
      </c>
      <c r="AC2857">
        <v>2400</v>
      </c>
      <c r="AD2857">
        <v>100</v>
      </c>
      <c r="AE2857">
        <v>25000</v>
      </c>
      <c r="AF2857" s="6">
        <v>57</v>
      </c>
      <c r="AG2857">
        <v>654</v>
      </c>
    </row>
    <row r="2858" spans="1:33" x14ac:dyDescent="0.35">
      <c r="A2858" t="s">
        <v>227</v>
      </c>
      <c r="B2858" t="s">
        <v>234</v>
      </c>
      <c r="C2858">
        <v>12486.45</v>
      </c>
      <c r="D2858">
        <v>4000</v>
      </c>
      <c r="E2858">
        <v>100</v>
      </c>
      <c r="F2858">
        <v>200000</v>
      </c>
      <c r="G2858" s="6">
        <v>395</v>
      </c>
      <c r="H2858">
        <v>5886.14</v>
      </c>
      <c r="I2858">
        <v>3000</v>
      </c>
      <c r="J2858">
        <v>200</v>
      </c>
      <c r="K2858">
        <v>30000</v>
      </c>
      <c r="L2858" s="6">
        <v>328</v>
      </c>
      <c r="M2858">
        <v>9597.11</v>
      </c>
      <c r="N2858">
        <v>5000</v>
      </c>
      <c r="O2858">
        <v>100</v>
      </c>
      <c r="P2858">
        <v>100000</v>
      </c>
      <c r="Q2858" s="6">
        <v>1219</v>
      </c>
      <c r="R2858">
        <v>9528.69</v>
      </c>
      <c r="S2858">
        <v>5000</v>
      </c>
      <c r="T2858">
        <v>150</v>
      </c>
      <c r="U2858">
        <v>42000</v>
      </c>
      <c r="V2858" s="6">
        <v>283</v>
      </c>
      <c r="W2858">
        <v>18792.12</v>
      </c>
      <c r="X2858">
        <v>10000</v>
      </c>
      <c r="Y2858">
        <v>250</v>
      </c>
      <c r="Z2858">
        <v>400000</v>
      </c>
      <c r="AA2858" s="6">
        <v>272</v>
      </c>
      <c r="AB2858">
        <v>7469.7</v>
      </c>
      <c r="AC2858">
        <v>5000</v>
      </c>
      <c r="AD2858">
        <v>350</v>
      </c>
      <c r="AE2858">
        <v>31000</v>
      </c>
      <c r="AF2858" s="6">
        <v>83</v>
      </c>
      <c r="AG2858">
        <v>1219</v>
      </c>
    </row>
    <row r="2859" spans="1:33" x14ac:dyDescent="0.35">
      <c r="A2859" t="s">
        <v>228</v>
      </c>
      <c r="B2859" t="s">
        <v>228</v>
      </c>
      <c r="C2859">
        <v>14899.73</v>
      </c>
      <c r="D2859">
        <v>5000</v>
      </c>
      <c r="E2859">
        <v>100</v>
      </c>
      <c r="F2859">
        <v>200000</v>
      </c>
      <c r="G2859" s="6">
        <v>664</v>
      </c>
      <c r="H2859">
        <v>5630.43</v>
      </c>
      <c r="I2859">
        <v>3000</v>
      </c>
      <c r="J2859">
        <v>200</v>
      </c>
      <c r="K2859">
        <v>30000</v>
      </c>
      <c r="L2859" s="6">
        <v>492</v>
      </c>
      <c r="M2859">
        <v>9336.61</v>
      </c>
      <c r="N2859">
        <v>5000</v>
      </c>
      <c r="O2859">
        <v>100</v>
      </c>
      <c r="P2859">
        <v>100000</v>
      </c>
      <c r="Q2859" s="6">
        <v>1873</v>
      </c>
      <c r="R2859">
        <v>8628.5300000000007</v>
      </c>
      <c r="S2859">
        <v>5000</v>
      </c>
      <c r="T2859">
        <v>150</v>
      </c>
      <c r="U2859">
        <v>45000</v>
      </c>
      <c r="V2859" s="6">
        <v>452</v>
      </c>
      <c r="W2859">
        <v>18064.68</v>
      </c>
      <c r="X2859">
        <v>9000</v>
      </c>
      <c r="Y2859">
        <v>200</v>
      </c>
      <c r="Z2859">
        <v>400000</v>
      </c>
      <c r="AA2859" s="6">
        <v>417</v>
      </c>
      <c r="AB2859">
        <v>6639.38</v>
      </c>
      <c r="AC2859">
        <v>4000</v>
      </c>
      <c r="AD2859">
        <v>100</v>
      </c>
      <c r="AE2859">
        <v>31000</v>
      </c>
      <c r="AF2859" s="6">
        <v>140</v>
      </c>
      <c r="AG2859">
        <v>1873</v>
      </c>
    </row>
    <row r="2861" spans="1:33" x14ac:dyDescent="0.35">
      <c r="A2861" s="1" t="s">
        <v>1022</v>
      </c>
    </row>
    <row r="2862" spans="1:33" x14ac:dyDescent="0.35">
      <c r="A2862" t="s">
        <v>219</v>
      </c>
      <c r="B2862" t="s">
        <v>301</v>
      </c>
      <c r="C2862" t="s">
        <v>981</v>
      </c>
      <c r="D2862" t="s">
        <v>982</v>
      </c>
      <c r="E2862" t="s">
        <v>983</v>
      </c>
      <c r="F2862" t="s">
        <v>984</v>
      </c>
      <c r="G2862" t="s">
        <v>985</v>
      </c>
      <c r="H2862" t="s">
        <v>986</v>
      </c>
      <c r="I2862" t="s">
        <v>987</v>
      </c>
      <c r="J2862" t="s">
        <v>277</v>
      </c>
      <c r="K2862" t="s">
        <v>282</v>
      </c>
      <c r="L2862" t="s">
        <v>226</v>
      </c>
    </row>
    <row r="2863" spans="1:33" x14ac:dyDescent="0.35">
      <c r="A2863" t="s">
        <v>227</v>
      </c>
      <c r="B2863" t="s">
        <v>240</v>
      </c>
      <c r="C2863" s="2">
        <v>0.8165</v>
      </c>
      <c r="D2863" s="2">
        <v>0.32679999999999998</v>
      </c>
      <c r="E2863" s="2">
        <v>0.27150000000000002</v>
      </c>
      <c r="F2863" s="2">
        <v>0.26869999999999999</v>
      </c>
      <c r="G2863" s="2">
        <v>0.20619999999999999</v>
      </c>
      <c r="H2863" s="2">
        <v>8.9599999999999999E-2</v>
      </c>
      <c r="I2863" s="2">
        <v>1.44E-2</v>
      </c>
      <c r="J2863" s="2">
        <v>2.2000000000000001E-3</v>
      </c>
      <c r="K2863" s="2">
        <v>2.0000000000000001E-4</v>
      </c>
      <c r="L2863">
        <v>1745</v>
      </c>
    </row>
    <row r="2864" spans="1:33" x14ac:dyDescent="0.35">
      <c r="A2864" t="s">
        <v>227</v>
      </c>
      <c r="B2864" t="s">
        <v>241</v>
      </c>
      <c r="C2864" s="2">
        <v>0.75170000000000003</v>
      </c>
      <c r="D2864" s="2">
        <v>0.21099999999999999</v>
      </c>
      <c r="E2864" s="2">
        <v>0.21060000000000001</v>
      </c>
      <c r="F2864" s="2">
        <v>4.1500000000000002E-2</v>
      </c>
      <c r="G2864" s="2">
        <v>0.14949999999999999</v>
      </c>
      <c r="H2864" s="2">
        <v>0.15959999999999999</v>
      </c>
      <c r="I2864" s="2">
        <v>3.6299999999999999E-2</v>
      </c>
      <c r="J2864" s="2">
        <v>6.3E-3</v>
      </c>
      <c r="K2864" s="2">
        <v>1E-4</v>
      </c>
      <c r="L2864">
        <v>887</v>
      </c>
    </row>
    <row r="2865" spans="1:33" x14ac:dyDescent="0.35">
      <c r="A2865" t="s">
        <v>227</v>
      </c>
      <c r="B2865" t="s">
        <v>242</v>
      </c>
      <c r="C2865" s="2">
        <v>0.9052</v>
      </c>
      <c r="D2865" s="2">
        <v>0.4345</v>
      </c>
      <c r="E2865" s="2">
        <v>0.3276</v>
      </c>
      <c r="F2865" s="2">
        <v>0.65090000000000003</v>
      </c>
      <c r="G2865" s="2">
        <v>0.33460000000000001</v>
      </c>
      <c r="H2865" s="2">
        <v>5.4399999999999997E-2</v>
      </c>
      <c r="I2865" s="2">
        <v>2.5600000000000001E-2</v>
      </c>
      <c r="J2865" s="2">
        <v>3.8999999999999998E-3</v>
      </c>
      <c r="L2865">
        <v>166</v>
      </c>
    </row>
    <row r="2866" spans="1:33" x14ac:dyDescent="0.35">
      <c r="A2866" t="s">
        <v>228</v>
      </c>
      <c r="B2866" t="s">
        <v>228</v>
      </c>
      <c r="C2866" s="2">
        <v>0.80330000000000001</v>
      </c>
      <c r="D2866" s="2">
        <v>0.2999</v>
      </c>
      <c r="E2866" s="2">
        <v>0.25729999999999997</v>
      </c>
      <c r="F2866" s="2">
        <v>0.22720000000000001</v>
      </c>
      <c r="G2866" s="2">
        <v>0.19800000000000001</v>
      </c>
      <c r="H2866" s="2">
        <v>0.10780000000000001</v>
      </c>
      <c r="I2866" s="2">
        <v>2.1600000000000001E-2</v>
      </c>
      <c r="J2866" s="2">
        <v>3.5000000000000001E-3</v>
      </c>
      <c r="K2866" s="2">
        <v>2.0000000000000001E-4</v>
      </c>
      <c r="L2866">
        <v>2798</v>
      </c>
    </row>
    <row r="2868" spans="1:33" x14ac:dyDescent="0.35">
      <c r="A2868" s="1" t="s">
        <v>1023</v>
      </c>
    </row>
    <row r="2869" spans="1:33" x14ac:dyDescent="0.35">
      <c r="A2869" t="s">
        <v>219</v>
      </c>
      <c r="B2869" t="s">
        <v>301</v>
      </c>
      <c r="C2869" t="s">
        <v>988</v>
      </c>
      <c r="D2869" t="s">
        <v>989</v>
      </c>
      <c r="E2869" t="s">
        <v>990</v>
      </c>
      <c r="F2869" t="s">
        <v>991</v>
      </c>
      <c r="G2869" t="s">
        <v>992</v>
      </c>
      <c r="H2869" t="s">
        <v>993</v>
      </c>
      <c r="I2869" t="s">
        <v>994</v>
      </c>
      <c r="J2869" t="s">
        <v>995</v>
      </c>
      <c r="K2869" t="s">
        <v>996</v>
      </c>
      <c r="L2869" t="s">
        <v>997</v>
      </c>
      <c r="M2869" t="s">
        <v>998</v>
      </c>
      <c r="N2869" t="s">
        <v>999</v>
      </c>
      <c r="O2869" t="s">
        <v>1000</v>
      </c>
      <c r="P2869" t="s">
        <v>1001</v>
      </c>
      <c r="Q2869" t="s">
        <v>1002</v>
      </c>
      <c r="R2869" t="s">
        <v>1003</v>
      </c>
      <c r="S2869" t="s">
        <v>1004</v>
      </c>
      <c r="T2869" t="s">
        <v>1005</v>
      </c>
      <c r="U2869" t="s">
        <v>1006</v>
      </c>
      <c r="V2869" t="s">
        <v>1007</v>
      </c>
      <c r="W2869" t="s">
        <v>1008</v>
      </c>
      <c r="X2869" t="s">
        <v>1009</v>
      </c>
      <c r="Y2869" t="s">
        <v>1010</v>
      </c>
      <c r="Z2869" t="s">
        <v>1011</v>
      </c>
      <c r="AA2869" t="s">
        <v>1012</v>
      </c>
      <c r="AB2869" t="s">
        <v>1013</v>
      </c>
      <c r="AC2869" t="s">
        <v>1014</v>
      </c>
      <c r="AD2869" t="s">
        <v>1015</v>
      </c>
      <c r="AE2869" t="s">
        <v>1016</v>
      </c>
      <c r="AF2869" t="s">
        <v>1017</v>
      </c>
      <c r="AG2869" t="s">
        <v>957</v>
      </c>
    </row>
    <row r="2870" spans="1:33" x14ac:dyDescent="0.35">
      <c r="A2870" t="s">
        <v>227</v>
      </c>
      <c r="B2870" t="s">
        <v>240</v>
      </c>
      <c r="C2870">
        <v>17389.89</v>
      </c>
      <c r="D2870">
        <v>5000</v>
      </c>
      <c r="E2870">
        <v>100</v>
      </c>
      <c r="F2870">
        <v>200000</v>
      </c>
      <c r="G2870" s="6">
        <v>450</v>
      </c>
      <c r="H2870">
        <v>6258.5</v>
      </c>
      <c r="I2870">
        <v>4000</v>
      </c>
      <c r="J2870">
        <v>200</v>
      </c>
      <c r="K2870">
        <v>30000</v>
      </c>
      <c r="L2870" s="6">
        <v>336</v>
      </c>
      <c r="M2870">
        <v>10324.17</v>
      </c>
      <c r="N2870">
        <v>5300</v>
      </c>
      <c r="O2870">
        <v>200</v>
      </c>
      <c r="P2870">
        <v>100000</v>
      </c>
      <c r="Q2870" s="6">
        <v>1201</v>
      </c>
      <c r="R2870">
        <v>8547.2900000000009</v>
      </c>
      <c r="S2870">
        <v>5000</v>
      </c>
      <c r="T2870">
        <v>150</v>
      </c>
      <c r="U2870">
        <v>45000</v>
      </c>
      <c r="V2870" s="6">
        <v>362</v>
      </c>
      <c r="W2870">
        <v>21750.97</v>
      </c>
      <c r="X2870">
        <v>10000</v>
      </c>
      <c r="Y2870">
        <v>200</v>
      </c>
      <c r="Z2870">
        <v>400000</v>
      </c>
      <c r="AA2870" s="6">
        <v>287</v>
      </c>
      <c r="AB2870">
        <v>6315.41</v>
      </c>
      <c r="AC2870">
        <v>4600</v>
      </c>
      <c r="AD2870">
        <v>100</v>
      </c>
      <c r="AE2870">
        <v>30000</v>
      </c>
      <c r="AF2870" s="6">
        <v>84</v>
      </c>
      <c r="AG2870">
        <v>1201</v>
      </c>
    </row>
    <row r="2871" spans="1:33" x14ac:dyDescent="0.35">
      <c r="A2871" t="s">
        <v>227</v>
      </c>
      <c r="B2871" t="s">
        <v>241</v>
      </c>
      <c r="C2871">
        <v>7112.73</v>
      </c>
      <c r="D2871">
        <v>3000</v>
      </c>
      <c r="E2871">
        <v>180</v>
      </c>
      <c r="F2871">
        <v>200000</v>
      </c>
      <c r="G2871" s="6">
        <v>169</v>
      </c>
      <c r="H2871">
        <v>3415.81</v>
      </c>
      <c r="I2871">
        <v>2000</v>
      </c>
      <c r="J2871">
        <v>200</v>
      </c>
      <c r="K2871">
        <v>30000</v>
      </c>
      <c r="L2871" s="6">
        <v>120</v>
      </c>
      <c r="M2871">
        <v>6239.82</v>
      </c>
      <c r="N2871">
        <v>3000</v>
      </c>
      <c r="O2871">
        <v>100</v>
      </c>
      <c r="P2871">
        <v>100000</v>
      </c>
      <c r="Q2871" s="6">
        <v>551</v>
      </c>
      <c r="R2871">
        <v>14571.37</v>
      </c>
      <c r="S2871">
        <v>7000</v>
      </c>
      <c r="T2871">
        <v>300</v>
      </c>
      <c r="U2871">
        <v>40000</v>
      </c>
      <c r="V2871" s="6">
        <v>28</v>
      </c>
      <c r="W2871">
        <v>7923.88</v>
      </c>
      <c r="X2871">
        <v>6000</v>
      </c>
      <c r="Y2871">
        <v>200</v>
      </c>
      <c r="Z2871">
        <v>40000</v>
      </c>
      <c r="AA2871" s="6">
        <v>93</v>
      </c>
      <c r="AB2871">
        <v>7060.74</v>
      </c>
      <c r="AC2871">
        <v>2400</v>
      </c>
      <c r="AD2871">
        <v>300</v>
      </c>
      <c r="AE2871">
        <v>31000</v>
      </c>
      <c r="AF2871" s="6">
        <v>49</v>
      </c>
      <c r="AG2871">
        <v>551</v>
      </c>
    </row>
    <row r="2872" spans="1:33" x14ac:dyDescent="0.35">
      <c r="A2872" t="s">
        <v>227</v>
      </c>
      <c r="B2872" t="s">
        <v>242</v>
      </c>
      <c r="C2872">
        <v>14681.44</v>
      </c>
      <c r="D2872">
        <v>10000</v>
      </c>
      <c r="E2872">
        <v>200</v>
      </c>
      <c r="F2872">
        <v>200000</v>
      </c>
      <c r="G2872" s="6">
        <v>45</v>
      </c>
      <c r="H2872">
        <v>7334.14</v>
      </c>
      <c r="I2872">
        <v>5000</v>
      </c>
      <c r="J2872">
        <v>250</v>
      </c>
      <c r="K2872">
        <v>30000</v>
      </c>
      <c r="L2872" s="6">
        <v>36</v>
      </c>
      <c r="M2872">
        <v>12634.51</v>
      </c>
      <c r="N2872">
        <v>6000</v>
      </c>
      <c r="O2872">
        <v>550</v>
      </c>
      <c r="P2872">
        <v>80000</v>
      </c>
      <c r="Q2872" s="6">
        <v>121</v>
      </c>
      <c r="R2872">
        <v>6905.8</v>
      </c>
      <c r="S2872">
        <v>5000</v>
      </c>
      <c r="T2872">
        <v>300</v>
      </c>
      <c r="U2872">
        <v>34000</v>
      </c>
      <c r="V2872" s="6">
        <v>62</v>
      </c>
      <c r="W2872">
        <v>15232.24</v>
      </c>
      <c r="X2872">
        <v>10000</v>
      </c>
      <c r="Y2872">
        <v>1000</v>
      </c>
      <c r="Z2872">
        <v>80000</v>
      </c>
      <c r="AA2872" s="6">
        <v>37</v>
      </c>
      <c r="AB2872">
        <v>7846.93</v>
      </c>
      <c r="AC2872">
        <v>3600</v>
      </c>
      <c r="AD2872">
        <v>1000</v>
      </c>
      <c r="AE2872">
        <v>18000</v>
      </c>
      <c r="AF2872" s="6">
        <v>7</v>
      </c>
      <c r="AG2872">
        <v>121</v>
      </c>
    </row>
    <row r="2873" spans="1:33" x14ac:dyDescent="0.35">
      <c r="A2873" t="s">
        <v>228</v>
      </c>
      <c r="B2873" t="s">
        <v>228</v>
      </c>
      <c r="C2873">
        <v>14899.73</v>
      </c>
      <c r="D2873">
        <v>5000</v>
      </c>
      <c r="E2873">
        <v>100</v>
      </c>
      <c r="F2873">
        <v>200000</v>
      </c>
      <c r="G2873" s="6">
        <v>664</v>
      </c>
      <c r="H2873">
        <v>5630.43</v>
      </c>
      <c r="I2873">
        <v>3000</v>
      </c>
      <c r="J2873">
        <v>200</v>
      </c>
      <c r="K2873">
        <v>30000</v>
      </c>
      <c r="L2873" s="6">
        <v>492</v>
      </c>
      <c r="M2873">
        <v>9336.61</v>
      </c>
      <c r="N2873">
        <v>5000</v>
      </c>
      <c r="O2873">
        <v>100</v>
      </c>
      <c r="P2873">
        <v>100000</v>
      </c>
      <c r="Q2873" s="6">
        <v>1873</v>
      </c>
      <c r="R2873">
        <v>8628.5300000000007</v>
      </c>
      <c r="S2873">
        <v>5000</v>
      </c>
      <c r="T2873">
        <v>150</v>
      </c>
      <c r="U2873">
        <v>45000</v>
      </c>
      <c r="V2873" s="6">
        <v>452</v>
      </c>
      <c r="W2873">
        <v>18064.68</v>
      </c>
      <c r="X2873">
        <v>9000</v>
      </c>
      <c r="Y2873">
        <v>200</v>
      </c>
      <c r="Z2873">
        <v>400000</v>
      </c>
      <c r="AA2873" s="6">
        <v>417</v>
      </c>
      <c r="AB2873">
        <v>6639.38</v>
      </c>
      <c r="AC2873">
        <v>4000</v>
      </c>
      <c r="AD2873">
        <v>100</v>
      </c>
      <c r="AE2873">
        <v>31000</v>
      </c>
      <c r="AF2873" s="6">
        <v>140</v>
      </c>
      <c r="AG2873">
        <v>1873</v>
      </c>
    </row>
    <row r="2875" spans="1:33" x14ac:dyDescent="0.35">
      <c r="A2875" s="1" t="s">
        <v>1024</v>
      </c>
    </row>
    <row r="2876" spans="1:33" x14ac:dyDescent="0.35">
      <c r="A2876" t="s">
        <v>219</v>
      </c>
      <c r="B2876" t="s">
        <v>301</v>
      </c>
      <c r="C2876" t="s">
        <v>981</v>
      </c>
      <c r="D2876" t="s">
        <v>982</v>
      </c>
      <c r="E2876" t="s">
        <v>983</v>
      </c>
      <c r="F2876" t="s">
        <v>984</v>
      </c>
      <c r="G2876" t="s">
        <v>985</v>
      </c>
      <c r="H2876" t="s">
        <v>986</v>
      </c>
      <c r="I2876" t="s">
        <v>987</v>
      </c>
      <c r="J2876" t="s">
        <v>277</v>
      </c>
      <c r="K2876" t="s">
        <v>282</v>
      </c>
      <c r="L2876" t="s">
        <v>226</v>
      </c>
    </row>
    <row r="2877" spans="1:33" x14ac:dyDescent="0.35">
      <c r="A2877" t="s">
        <v>227</v>
      </c>
      <c r="B2877" t="s">
        <v>263</v>
      </c>
      <c r="C2877" s="2">
        <v>0.73970000000000002</v>
      </c>
      <c r="D2877" s="2">
        <v>0.312</v>
      </c>
      <c r="E2877" s="2">
        <v>0.29820000000000002</v>
      </c>
      <c r="F2877" s="2">
        <v>0.19800000000000001</v>
      </c>
      <c r="G2877" s="2">
        <v>0.20780000000000001</v>
      </c>
      <c r="H2877" s="2">
        <v>0.14829999999999999</v>
      </c>
      <c r="I2877" s="2">
        <v>4.3900000000000002E-2</v>
      </c>
      <c r="J2877" s="2">
        <v>4.4999999999999997E-3</v>
      </c>
      <c r="L2877">
        <v>586</v>
      </c>
    </row>
    <row r="2878" spans="1:33" x14ac:dyDescent="0.35">
      <c r="A2878" t="s">
        <v>227</v>
      </c>
      <c r="B2878" t="s">
        <v>262</v>
      </c>
      <c r="C2878" s="2">
        <v>0.81079999999999997</v>
      </c>
      <c r="D2878" s="2">
        <v>0.2399</v>
      </c>
      <c r="E2878" s="2">
        <v>0.22090000000000001</v>
      </c>
      <c r="F2878" s="2">
        <v>0.1701</v>
      </c>
      <c r="G2878" s="2">
        <v>0.15870000000000001</v>
      </c>
      <c r="H2878" s="2">
        <v>0.1081</v>
      </c>
      <c r="I2878" s="2">
        <v>2.12E-2</v>
      </c>
      <c r="J2878" s="2">
        <v>6.0000000000000001E-3</v>
      </c>
      <c r="K2878" s="2">
        <v>2.0000000000000001E-4</v>
      </c>
      <c r="L2878">
        <v>1154</v>
      </c>
    </row>
    <row r="2879" spans="1:33" x14ac:dyDescent="0.35">
      <c r="A2879" t="s">
        <v>227</v>
      </c>
      <c r="B2879" t="s">
        <v>261</v>
      </c>
      <c r="C2879" s="2">
        <v>0.82730000000000004</v>
      </c>
      <c r="D2879" s="2">
        <v>0.3468</v>
      </c>
      <c r="E2879" s="2">
        <v>0.26800000000000002</v>
      </c>
      <c r="F2879" s="2">
        <v>0.29160000000000003</v>
      </c>
      <c r="G2879" s="2">
        <v>0.2263</v>
      </c>
      <c r="H2879" s="2">
        <v>8.8200000000000001E-2</v>
      </c>
      <c r="I2879" s="2">
        <v>1.11E-2</v>
      </c>
      <c r="J2879" s="2">
        <v>8.9999999999999998E-4</v>
      </c>
      <c r="K2879" s="2">
        <v>2.0000000000000001E-4</v>
      </c>
      <c r="L2879">
        <v>1056</v>
      </c>
    </row>
    <row r="2880" spans="1:33" x14ac:dyDescent="0.35">
      <c r="A2880" s="3" t="s">
        <v>227</v>
      </c>
      <c r="B2880" s="3" t="s">
        <v>232</v>
      </c>
      <c r="C2880" s="4">
        <v>1</v>
      </c>
      <c r="D2880" s="5"/>
      <c r="E2880" s="4">
        <v>0.5</v>
      </c>
      <c r="F2880" s="5"/>
      <c r="G2880" s="4">
        <v>0.5</v>
      </c>
      <c r="H2880" s="5"/>
      <c r="I2880" s="5"/>
      <c r="J2880" s="5"/>
      <c r="K2880" s="5"/>
      <c r="L2880" s="5" t="s">
        <v>434</v>
      </c>
    </row>
    <row r="2881" spans="1:33" x14ac:dyDescent="0.35">
      <c r="A2881" t="s">
        <v>228</v>
      </c>
      <c r="B2881" t="s">
        <v>228</v>
      </c>
      <c r="C2881" s="2">
        <v>0.80330000000000001</v>
      </c>
      <c r="D2881" s="2">
        <v>0.2999</v>
      </c>
      <c r="E2881" s="2">
        <v>0.25729999999999997</v>
      </c>
      <c r="F2881" s="2">
        <v>0.22720000000000001</v>
      </c>
      <c r="G2881" s="2">
        <v>0.19800000000000001</v>
      </c>
      <c r="H2881" s="2">
        <v>0.10780000000000001</v>
      </c>
      <c r="I2881" s="2">
        <v>2.1600000000000001E-2</v>
      </c>
      <c r="J2881" s="2">
        <v>3.5000000000000001E-3</v>
      </c>
      <c r="K2881" s="2">
        <v>2.0000000000000001E-4</v>
      </c>
      <c r="L2881">
        <v>2798</v>
      </c>
    </row>
    <row r="2883" spans="1:33" x14ac:dyDescent="0.35">
      <c r="A2883" s="1" t="s">
        <v>1025</v>
      </c>
    </row>
    <row r="2884" spans="1:33" x14ac:dyDescent="0.35">
      <c r="A2884" t="s">
        <v>219</v>
      </c>
      <c r="B2884" t="s">
        <v>301</v>
      </c>
      <c r="C2884" t="s">
        <v>988</v>
      </c>
      <c r="D2884" t="s">
        <v>989</v>
      </c>
      <c r="E2884" t="s">
        <v>990</v>
      </c>
      <c r="F2884" t="s">
        <v>991</v>
      </c>
      <c r="G2884" t="s">
        <v>992</v>
      </c>
      <c r="H2884" t="s">
        <v>993</v>
      </c>
      <c r="I2884" t="s">
        <v>994</v>
      </c>
      <c r="J2884" t="s">
        <v>995</v>
      </c>
      <c r="K2884" t="s">
        <v>996</v>
      </c>
      <c r="L2884" t="s">
        <v>997</v>
      </c>
      <c r="M2884" t="s">
        <v>998</v>
      </c>
      <c r="N2884" t="s">
        <v>999</v>
      </c>
      <c r="O2884" t="s">
        <v>1000</v>
      </c>
      <c r="P2884" t="s">
        <v>1001</v>
      </c>
      <c r="Q2884" t="s">
        <v>1002</v>
      </c>
      <c r="R2884" t="s">
        <v>1003</v>
      </c>
      <c r="S2884" t="s">
        <v>1004</v>
      </c>
      <c r="T2884" t="s">
        <v>1005</v>
      </c>
      <c r="U2884" t="s">
        <v>1006</v>
      </c>
      <c r="V2884" t="s">
        <v>1007</v>
      </c>
      <c r="W2884" t="s">
        <v>1008</v>
      </c>
      <c r="X2884" t="s">
        <v>1009</v>
      </c>
      <c r="Y2884" t="s">
        <v>1010</v>
      </c>
      <c r="Z2884" t="s">
        <v>1011</v>
      </c>
      <c r="AA2884" t="s">
        <v>1012</v>
      </c>
      <c r="AB2884" t="s">
        <v>1013</v>
      </c>
      <c r="AC2884" t="s">
        <v>1014</v>
      </c>
      <c r="AD2884" t="s">
        <v>1015</v>
      </c>
      <c r="AE2884" t="s">
        <v>1016</v>
      </c>
      <c r="AF2884" t="s">
        <v>1017</v>
      </c>
      <c r="AG2884" t="s">
        <v>957</v>
      </c>
    </row>
    <row r="2885" spans="1:33" x14ac:dyDescent="0.35">
      <c r="A2885" t="s">
        <v>227</v>
      </c>
      <c r="B2885" t="s">
        <v>263</v>
      </c>
      <c r="C2885">
        <v>13214.15</v>
      </c>
      <c r="D2885">
        <v>4000</v>
      </c>
      <c r="E2885">
        <v>100</v>
      </c>
      <c r="F2885">
        <v>200000</v>
      </c>
      <c r="G2885" s="6">
        <v>143</v>
      </c>
      <c r="H2885">
        <v>5365.45</v>
      </c>
      <c r="I2885">
        <v>3500</v>
      </c>
      <c r="J2885">
        <v>200</v>
      </c>
      <c r="K2885">
        <v>30000</v>
      </c>
      <c r="L2885" s="6">
        <v>113</v>
      </c>
      <c r="M2885">
        <v>9270.0499999999993</v>
      </c>
      <c r="N2885">
        <v>5000</v>
      </c>
      <c r="O2885">
        <v>100</v>
      </c>
      <c r="P2885">
        <v>100000</v>
      </c>
      <c r="Q2885" s="6">
        <v>358</v>
      </c>
      <c r="R2885">
        <v>12057.15</v>
      </c>
      <c r="S2885">
        <v>7000</v>
      </c>
      <c r="T2885">
        <v>200</v>
      </c>
      <c r="U2885">
        <v>40000</v>
      </c>
      <c r="V2885" s="6">
        <v>83</v>
      </c>
      <c r="W2885">
        <v>14206.9</v>
      </c>
      <c r="X2885">
        <v>7000</v>
      </c>
      <c r="Y2885">
        <v>200</v>
      </c>
      <c r="Z2885">
        <v>250000</v>
      </c>
      <c r="AA2885" s="6">
        <v>75</v>
      </c>
      <c r="AB2885">
        <v>7204.37</v>
      </c>
      <c r="AC2885">
        <v>6000</v>
      </c>
      <c r="AD2885">
        <v>600</v>
      </c>
      <c r="AE2885">
        <v>30000</v>
      </c>
      <c r="AF2885" s="6">
        <v>29</v>
      </c>
      <c r="AG2885">
        <v>358</v>
      </c>
    </row>
    <row r="2886" spans="1:33" x14ac:dyDescent="0.35">
      <c r="A2886" t="s">
        <v>227</v>
      </c>
      <c r="B2886" t="s">
        <v>262</v>
      </c>
      <c r="C2886">
        <v>11265.85</v>
      </c>
      <c r="D2886">
        <v>3000</v>
      </c>
      <c r="E2886">
        <v>180</v>
      </c>
      <c r="F2886">
        <v>200000</v>
      </c>
      <c r="G2886" s="6">
        <v>236</v>
      </c>
      <c r="H2886">
        <v>4091.32</v>
      </c>
      <c r="I2886">
        <v>2000</v>
      </c>
      <c r="J2886">
        <v>200</v>
      </c>
      <c r="K2886">
        <v>30000</v>
      </c>
      <c r="L2886" s="6">
        <v>184</v>
      </c>
      <c r="M2886">
        <v>7559.14</v>
      </c>
      <c r="N2886">
        <v>5000</v>
      </c>
      <c r="O2886">
        <v>100</v>
      </c>
      <c r="P2886">
        <v>80000</v>
      </c>
      <c r="Q2886" s="6">
        <v>778</v>
      </c>
      <c r="R2886">
        <v>8455.11</v>
      </c>
      <c r="S2886">
        <v>5000</v>
      </c>
      <c r="T2886">
        <v>200</v>
      </c>
      <c r="U2886">
        <v>45000</v>
      </c>
      <c r="V2886" s="6">
        <v>151</v>
      </c>
      <c r="W2886">
        <v>18476.55</v>
      </c>
      <c r="X2886">
        <v>7000</v>
      </c>
      <c r="Y2886">
        <v>300</v>
      </c>
      <c r="Z2886">
        <v>400000</v>
      </c>
      <c r="AA2886" s="6">
        <v>149</v>
      </c>
      <c r="AB2886">
        <v>6524.01</v>
      </c>
      <c r="AC2886">
        <v>2400</v>
      </c>
      <c r="AD2886">
        <v>200</v>
      </c>
      <c r="AE2886">
        <v>31000</v>
      </c>
      <c r="AF2886" s="6">
        <v>61</v>
      </c>
      <c r="AG2886">
        <v>778</v>
      </c>
    </row>
    <row r="2887" spans="1:33" x14ac:dyDescent="0.35">
      <c r="A2887" t="s">
        <v>227</v>
      </c>
      <c r="B2887" t="s">
        <v>261</v>
      </c>
      <c r="C2887">
        <v>17873.419999999998</v>
      </c>
      <c r="D2887">
        <v>6000</v>
      </c>
      <c r="E2887">
        <v>150</v>
      </c>
      <c r="F2887">
        <v>200000</v>
      </c>
      <c r="G2887" s="6">
        <v>285</v>
      </c>
      <c r="H2887">
        <v>6964.92</v>
      </c>
      <c r="I2887">
        <v>4000</v>
      </c>
      <c r="J2887">
        <v>200</v>
      </c>
      <c r="K2887">
        <v>30000</v>
      </c>
      <c r="L2887" s="6">
        <v>194</v>
      </c>
      <c r="M2887">
        <v>10863.99</v>
      </c>
      <c r="N2887">
        <v>6000</v>
      </c>
      <c r="O2887">
        <v>200</v>
      </c>
      <c r="P2887">
        <v>100000</v>
      </c>
      <c r="Q2887" s="6">
        <v>735</v>
      </c>
      <c r="R2887">
        <v>7453.61</v>
      </c>
      <c r="S2887">
        <v>5000</v>
      </c>
      <c r="T2887">
        <v>150</v>
      </c>
      <c r="U2887">
        <v>45000</v>
      </c>
      <c r="V2887" s="6">
        <v>218</v>
      </c>
      <c r="W2887">
        <v>19419.2</v>
      </c>
      <c r="X2887">
        <v>10000</v>
      </c>
      <c r="Y2887">
        <v>250</v>
      </c>
      <c r="Z2887">
        <v>200000</v>
      </c>
      <c r="AA2887" s="6">
        <v>192</v>
      </c>
      <c r="AB2887">
        <v>6322.2</v>
      </c>
      <c r="AC2887">
        <v>3000</v>
      </c>
      <c r="AD2887">
        <v>100</v>
      </c>
      <c r="AE2887">
        <v>30000</v>
      </c>
      <c r="AF2887" s="6">
        <v>50</v>
      </c>
      <c r="AG2887">
        <v>735</v>
      </c>
    </row>
    <row r="2888" spans="1:33" x14ac:dyDescent="0.35">
      <c r="A2888" t="s">
        <v>228</v>
      </c>
      <c r="B2888" t="s">
        <v>228</v>
      </c>
      <c r="C2888">
        <v>14899.73</v>
      </c>
      <c r="D2888">
        <v>5000</v>
      </c>
      <c r="E2888">
        <v>100</v>
      </c>
      <c r="F2888">
        <v>200000</v>
      </c>
      <c r="G2888" s="6">
        <v>664</v>
      </c>
      <c r="H2888">
        <v>5630.43</v>
      </c>
      <c r="I2888">
        <v>3000</v>
      </c>
      <c r="J2888">
        <v>200</v>
      </c>
      <c r="K2888">
        <v>30000</v>
      </c>
      <c r="L2888" s="6">
        <v>492</v>
      </c>
      <c r="M2888">
        <v>9336.61</v>
      </c>
      <c r="N2888">
        <v>5000</v>
      </c>
      <c r="O2888">
        <v>100</v>
      </c>
      <c r="P2888">
        <v>100000</v>
      </c>
      <c r="Q2888" s="6">
        <v>1873</v>
      </c>
      <c r="R2888">
        <v>8628.5300000000007</v>
      </c>
      <c r="S2888">
        <v>5000</v>
      </c>
      <c r="T2888">
        <v>150</v>
      </c>
      <c r="U2888">
        <v>45000</v>
      </c>
      <c r="V2888" s="6">
        <v>452</v>
      </c>
      <c r="W2888">
        <v>18064.68</v>
      </c>
      <c r="X2888">
        <v>9000</v>
      </c>
      <c r="Y2888">
        <v>200</v>
      </c>
      <c r="Z2888">
        <v>400000</v>
      </c>
      <c r="AA2888" s="6">
        <v>417</v>
      </c>
      <c r="AB2888">
        <v>6639.38</v>
      </c>
      <c r="AC2888">
        <v>4000</v>
      </c>
      <c r="AD2888">
        <v>100</v>
      </c>
      <c r="AE2888">
        <v>31000</v>
      </c>
      <c r="AF2888" s="6">
        <v>140</v>
      </c>
      <c r="AG2888">
        <v>1873</v>
      </c>
    </row>
    <row r="2890" spans="1:33" x14ac:dyDescent="0.35">
      <c r="A2890" s="1" t="s">
        <v>1026</v>
      </c>
    </row>
    <row r="2891" spans="1:33" x14ac:dyDescent="0.35">
      <c r="A2891" t="s">
        <v>219</v>
      </c>
      <c r="B2891" t="s">
        <v>301</v>
      </c>
      <c r="C2891" t="s">
        <v>981</v>
      </c>
      <c r="D2891" t="s">
        <v>982</v>
      </c>
      <c r="E2891" t="s">
        <v>983</v>
      </c>
      <c r="F2891" t="s">
        <v>984</v>
      </c>
      <c r="G2891" t="s">
        <v>985</v>
      </c>
      <c r="H2891" t="s">
        <v>986</v>
      </c>
      <c r="I2891" t="s">
        <v>987</v>
      </c>
      <c r="J2891" t="s">
        <v>277</v>
      </c>
      <c r="K2891" t="s">
        <v>282</v>
      </c>
      <c r="L2891" t="s">
        <v>226</v>
      </c>
    </row>
    <row r="2892" spans="1:33" x14ac:dyDescent="0.35">
      <c r="A2892" t="s">
        <v>227</v>
      </c>
      <c r="B2892" t="s">
        <v>248</v>
      </c>
      <c r="C2892" s="2">
        <v>0.88739999999999997</v>
      </c>
      <c r="D2892" s="2">
        <v>0.2359</v>
      </c>
      <c r="E2892" s="2">
        <v>0.1361</v>
      </c>
      <c r="F2892" s="2">
        <v>1.15E-2</v>
      </c>
      <c r="G2892" s="2">
        <v>5.4600000000000003E-2</v>
      </c>
      <c r="H2892" s="2">
        <v>9.1899999999999996E-2</v>
      </c>
      <c r="I2892" s="2">
        <v>3.3500000000000002E-2</v>
      </c>
      <c r="J2892" s="2">
        <v>2.8999999999999998E-3</v>
      </c>
      <c r="K2892" s="2">
        <v>1E-4</v>
      </c>
      <c r="L2892">
        <v>790</v>
      </c>
    </row>
    <row r="2893" spans="1:33" x14ac:dyDescent="0.35">
      <c r="A2893" t="s">
        <v>227</v>
      </c>
      <c r="B2893" t="s">
        <v>249</v>
      </c>
      <c r="C2893" s="2">
        <v>0.89449999999999996</v>
      </c>
      <c r="D2893" s="2">
        <v>0.31340000000000001</v>
      </c>
      <c r="E2893" s="2">
        <v>0.25950000000000001</v>
      </c>
      <c r="F2893" s="2">
        <v>0.21340000000000001</v>
      </c>
      <c r="G2893" s="2">
        <v>0.20380000000000001</v>
      </c>
      <c r="H2893" s="2">
        <v>5.2299999999999999E-2</v>
      </c>
      <c r="I2893" s="2">
        <v>1.49E-2</v>
      </c>
      <c r="J2893" s="2">
        <v>6.6E-3</v>
      </c>
      <c r="L2893">
        <v>538</v>
      </c>
    </row>
    <row r="2894" spans="1:33" x14ac:dyDescent="0.35">
      <c r="A2894" t="s">
        <v>227</v>
      </c>
      <c r="B2894" t="s">
        <v>247</v>
      </c>
      <c r="C2894" s="2">
        <v>0.72650000000000003</v>
      </c>
      <c r="D2894" s="2">
        <v>0.3281</v>
      </c>
      <c r="E2894" s="2">
        <v>0.31919999999999998</v>
      </c>
      <c r="F2894" s="2">
        <v>0.34399999999999997</v>
      </c>
      <c r="G2894" s="2">
        <v>0.2702</v>
      </c>
      <c r="H2894" s="2">
        <v>0.13639999999999999</v>
      </c>
      <c r="I2894" s="2">
        <v>1.7899999999999999E-2</v>
      </c>
      <c r="J2894" s="2">
        <v>2.7000000000000001E-3</v>
      </c>
      <c r="K2894" s="2">
        <v>2.9999999999999997E-4</v>
      </c>
      <c r="L2894">
        <v>1470</v>
      </c>
    </row>
    <row r="2895" spans="1:33" x14ac:dyDescent="0.35">
      <c r="A2895" t="s">
        <v>228</v>
      </c>
      <c r="B2895" t="s">
        <v>228</v>
      </c>
      <c r="C2895" s="2">
        <v>0.80330000000000001</v>
      </c>
      <c r="D2895" s="2">
        <v>0.2999</v>
      </c>
      <c r="E2895" s="2">
        <v>0.25729999999999997</v>
      </c>
      <c r="F2895" s="2">
        <v>0.22720000000000001</v>
      </c>
      <c r="G2895" s="2">
        <v>0.19800000000000001</v>
      </c>
      <c r="H2895" s="2">
        <v>0.10780000000000001</v>
      </c>
      <c r="I2895" s="2">
        <v>2.1600000000000001E-2</v>
      </c>
      <c r="J2895" s="2">
        <v>3.5000000000000001E-3</v>
      </c>
      <c r="K2895" s="2">
        <v>2.0000000000000001E-4</v>
      </c>
      <c r="L2895">
        <v>2798</v>
      </c>
    </row>
    <row r="2897" spans="1:33" x14ac:dyDescent="0.35">
      <c r="A2897" s="1" t="s">
        <v>1027</v>
      </c>
    </row>
    <row r="2898" spans="1:33" x14ac:dyDescent="0.35">
      <c r="A2898" t="s">
        <v>219</v>
      </c>
      <c r="B2898" t="s">
        <v>301</v>
      </c>
      <c r="C2898" t="s">
        <v>988</v>
      </c>
      <c r="D2898" t="s">
        <v>989</v>
      </c>
      <c r="E2898" t="s">
        <v>990</v>
      </c>
      <c r="F2898" t="s">
        <v>991</v>
      </c>
      <c r="G2898" t="s">
        <v>992</v>
      </c>
      <c r="H2898" t="s">
        <v>993</v>
      </c>
      <c r="I2898" t="s">
        <v>994</v>
      </c>
      <c r="J2898" t="s">
        <v>995</v>
      </c>
      <c r="K2898" t="s">
        <v>996</v>
      </c>
      <c r="L2898" t="s">
        <v>997</v>
      </c>
      <c r="M2898" t="s">
        <v>998</v>
      </c>
      <c r="N2898" t="s">
        <v>999</v>
      </c>
      <c r="O2898" t="s">
        <v>1000</v>
      </c>
      <c r="P2898" t="s">
        <v>1001</v>
      </c>
      <c r="Q2898" t="s">
        <v>1002</v>
      </c>
      <c r="R2898" t="s">
        <v>1003</v>
      </c>
      <c r="S2898" t="s">
        <v>1004</v>
      </c>
      <c r="T2898" t="s">
        <v>1005</v>
      </c>
      <c r="U2898" t="s">
        <v>1006</v>
      </c>
      <c r="V2898" t="s">
        <v>1007</v>
      </c>
      <c r="W2898" t="s">
        <v>1008</v>
      </c>
      <c r="X2898" t="s">
        <v>1009</v>
      </c>
      <c r="Y2898" t="s">
        <v>1010</v>
      </c>
      <c r="Z2898" t="s">
        <v>1011</v>
      </c>
      <c r="AA2898" t="s">
        <v>1012</v>
      </c>
      <c r="AB2898" t="s">
        <v>1013</v>
      </c>
      <c r="AC2898" t="s">
        <v>1014</v>
      </c>
      <c r="AD2898" t="s">
        <v>1015</v>
      </c>
      <c r="AE2898" t="s">
        <v>1016</v>
      </c>
      <c r="AF2898" t="s">
        <v>1017</v>
      </c>
      <c r="AG2898" t="s">
        <v>957</v>
      </c>
    </row>
    <row r="2899" spans="1:33" x14ac:dyDescent="0.35">
      <c r="A2899" t="s">
        <v>227</v>
      </c>
      <c r="B2899" t="s">
        <v>248</v>
      </c>
      <c r="C2899">
        <v>5944.44</v>
      </c>
      <c r="D2899">
        <v>2600</v>
      </c>
      <c r="E2899">
        <v>180</v>
      </c>
      <c r="F2899">
        <v>150000</v>
      </c>
      <c r="G2899" s="6">
        <v>160</v>
      </c>
      <c r="H2899">
        <v>3586.58</v>
      </c>
      <c r="I2899">
        <v>2000</v>
      </c>
      <c r="J2899">
        <v>200</v>
      </c>
      <c r="K2899">
        <v>28900</v>
      </c>
      <c r="L2899" s="6">
        <v>75</v>
      </c>
      <c r="M2899">
        <v>6948.79</v>
      </c>
      <c r="N2899">
        <v>4000</v>
      </c>
      <c r="O2899">
        <v>100</v>
      </c>
      <c r="P2899">
        <v>70000</v>
      </c>
      <c r="Q2899" s="6">
        <v>589</v>
      </c>
      <c r="R2899">
        <v>24103.4</v>
      </c>
      <c r="S2899">
        <v>40000</v>
      </c>
      <c r="T2899">
        <v>800</v>
      </c>
      <c r="U2899">
        <v>40000</v>
      </c>
      <c r="V2899" s="6">
        <v>5</v>
      </c>
      <c r="W2899">
        <v>5208.5600000000004</v>
      </c>
      <c r="X2899">
        <v>3000</v>
      </c>
      <c r="Y2899">
        <v>200</v>
      </c>
      <c r="Z2899">
        <v>110000</v>
      </c>
      <c r="AA2899" s="6">
        <v>50</v>
      </c>
      <c r="AB2899">
        <v>4650.99</v>
      </c>
      <c r="AC2899">
        <v>2000</v>
      </c>
      <c r="AD2899">
        <v>100</v>
      </c>
      <c r="AE2899">
        <v>31000</v>
      </c>
      <c r="AF2899" s="6">
        <v>41</v>
      </c>
      <c r="AG2899">
        <v>589</v>
      </c>
    </row>
    <row r="2900" spans="1:33" x14ac:dyDescent="0.35">
      <c r="A2900" t="s">
        <v>227</v>
      </c>
      <c r="B2900" t="s">
        <v>249</v>
      </c>
      <c r="C2900">
        <v>14775</v>
      </c>
      <c r="D2900">
        <v>5000</v>
      </c>
      <c r="E2900">
        <v>150</v>
      </c>
      <c r="F2900">
        <v>200000</v>
      </c>
      <c r="G2900" s="6">
        <v>136</v>
      </c>
      <c r="H2900">
        <v>5569.82</v>
      </c>
      <c r="I2900">
        <v>3000</v>
      </c>
      <c r="J2900">
        <v>250</v>
      </c>
      <c r="K2900">
        <v>30000</v>
      </c>
      <c r="L2900" s="6">
        <v>91</v>
      </c>
      <c r="M2900">
        <v>13642.24</v>
      </c>
      <c r="N2900">
        <v>7000</v>
      </c>
      <c r="O2900">
        <v>200</v>
      </c>
      <c r="P2900">
        <v>100000</v>
      </c>
      <c r="Q2900" s="6">
        <v>396</v>
      </c>
      <c r="R2900">
        <v>6487.64</v>
      </c>
      <c r="S2900">
        <v>4000</v>
      </c>
      <c r="T2900">
        <v>300</v>
      </c>
      <c r="U2900">
        <v>45000</v>
      </c>
      <c r="V2900" s="6">
        <v>70</v>
      </c>
      <c r="W2900">
        <v>28907.47</v>
      </c>
      <c r="X2900">
        <v>10000</v>
      </c>
      <c r="Y2900">
        <v>250</v>
      </c>
      <c r="Z2900">
        <v>400000</v>
      </c>
      <c r="AA2900" s="6">
        <v>86</v>
      </c>
      <c r="AB2900">
        <v>5285.52</v>
      </c>
      <c r="AC2900">
        <v>2500</v>
      </c>
      <c r="AD2900">
        <v>200</v>
      </c>
      <c r="AE2900">
        <v>21000</v>
      </c>
      <c r="AF2900" s="6">
        <v>31</v>
      </c>
      <c r="AG2900">
        <v>396</v>
      </c>
    </row>
    <row r="2901" spans="1:33" x14ac:dyDescent="0.35">
      <c r="A2901" t="s">
        <v>227</v>
      </c>
      <c r="B2901" t="s">
        <v>247</v>
      </c>
      <c r="C2901">
        <v>18381.57</v>
      </c>
      <c r="D2901">
        <v>5000</v>
      </c>
      <c r="E2901">
        <v>100</v>
      </c>
      <c r="F2901">
        <v>200000</v>
      </c>
      <c r="G2901" s="6">
        <v>368</v>
      </c>
      <c r="H2901">
        <v>6092.16</v>
      </c>
      <c r="I2901">
        <v>3500</v>
      </c>
      <c r="J2901">
        <v>200</v>
      </c>
      <c r="K2901">
        <v>30000</v>
      </c>
      <c r="L2901" s="6">
        <v>326</v>
      </c>
      <c r="M2901">
        <v>8977.4699999999993</v>
      </c>
      <c r="N2901">
        <v>5000</v>
      </c>
      <c r="O2901">
        <v>100</v>
      </c>
      <c r="P2901">
        <v>100000</v>
      </c>
      <c r="Q2901" s="6">
        <v>888</v>
      </c>
      <c r="R2901">
        <v>8672.1</v>
      </c>
      <c r="S2901">
        <v>5000</v>
      </c>
      <c r="T2901">
        <v>150</v>
      </c>
      <c r="U2901">
        <v>45000</v>
      </c>
      <c r="V2901" s="6">
        <v>377</v>
      </c>
      <c r="W2901">
        <v>16653.55</v>
      </c>
      <c r="X2901">
        <v>10000</v>
      </c>
      <c r="Y2901">
        <v>200</v>
      </c>
      <c r="Z2901">
        <v>250000</v>
      </c>
      <c r="AA2901" s="6">
        <v>281</v>
      </c>
      <c r="AB2901">
        <v>7994.99</v>
      </c>
      <c r="AC2901">
        <v>6000</v>
      </c>
      <c r="AD2901">
        <v>350</v>
      </c>
      <c r="AE2901">
        <v>30000</v>
      </c>
      <c r="AF2901" s="6">
        <v>68</v>
      </c>
      <c r="AG2901">
        <v>888</v>
      </c>
    </row>
    <row r="2902" spans="1:33" x14ac:dyDescent="0.35">
      <c r="A2902" t="s">
        <v>228</v>
      </c>
      <c r="B2902" t="s">
        <v>228</v>
      </c>
      <c r="C2902">
        <v>14899.73</v>
      </c>
      <c r="D2902">
        <v>5000</v>
      </c>
      <c r="E2902">
        <v>100</v>
      </c>
      <c r="F2902">
        <v>200000</v>
      </c>
      <c r="G2902" s="6">
        <v>664</v>
      </c>
      <c r="H2902">
        <v>5630.43</v>
      </c>
      <c r="I2902">
        <v>3000</v>
      </c>
      <c r="J2902">
        <v>200</v>
      </c>
      <c r="K2902">
        <v>30000</v>
      </c>
      <c r="L2902" s="6">
        <v>492</v>
      </c>
      <c r="M2902">
        <v>9336.61</v>
      </c>
      <c r="N2902">
        <v>5000</v>
      </c>
      <c r="O2902">
        <v>100</v>
      </c>
      <c r="P2902">
        <v>100000</v>
      </c>
      <c r="Q2902" s="6">
        <v>1873</v>
      </c>
      <c r="R2902">
        <v>8628.5300000000007</v>
      </c>
      <c r="S2902">
        <v>5000</v>
      </c>
      <c r="T2902">
        <v>150</v>
      </c>
      <c r="U2902">
        <v>45000</v>
      </c>
      <c r="V2902" s="6">
        <v>452</v>
      </c>
      <c r="W2902">
        <v>18064.68</v>
      </c>
      <c r="X2902">
        <v>9000</v>
      </c>
      <c r="Y2902">
        <v>200</v>
      </c>
      <c r="Z2902">
        <v>400000</v>
      </c>
      <c r="AA2902" s="6">
        <v>417</v>
      </c>
      <c r="AB2902">
        <v>6639.38</v>
      </c>
      <c r="AC2902">
        <v>4000</v>
      </c>
      <c r="AD2902">
        <v>100</v>
      </c>
      <c r="AE2902">
        <v>31000</v>
      </c>
      <c r="AF2902" s="6">
        <v>140</v>
      </c>
      <c r="AG2902">
        <v>1873</v>
      </c>
    </row>
    <row r="2904" spans="1:33" x14ac:dyDescent="0.35">
      <c r="A2904" s="1" t="s">
        <v>1028</v>
      </c>
    </row>
    <row r="2905" spans="1:33" x14ac:dyDescent="0.35">
      <c r="A2905" t="s">
        <v>219</v>
      </c>
      <c r="B2905" t="s">
        <v>301</v>
      </c>
      <c r="C2905" t="s">
        <v>981</v>
      </c>
      <c r="D2905" t="s">
        <v>982</v>
      </c>
      <c r="E2905" t="s">
        <v>983</v>
      </c>
      <c r="F2905" t="s">
        <v>984</v>
      </c>
      <c r="G2905" t="s">
        <v>985</v>
      </c>
      <c r="H2905" t="s">
        <v>986</v>
      </c>
      <c r="I2905" t="s">
        <v>987</v>
      </c>
      <c r="J2905" t="s">
        <v>277</v>
      </c>
      <c r="K2905" t="s">
        <v>282</v>
      </c>
      <c r="L2905" t="s">
        <v>226</v>
      </c>
    </row>
    <row r="2906" spans="1:33" x14ac:dyDescent="0.35">
      <c r="A2906" t="s">
        <v>227</v>
      </c>
      <c r="B2906" t="s">
        <v>245</v>
      </c>
      <c r="C2906" s="2">
        <v>0.81520000000000004</v>
      </c>
      <c r="D2906" s="2">
        <v>0.3896</v>
      </c>
      <c r="E2906" s="2">
        <v>0.31819999999999998</v>
      </c>
      <c r="F2906" s="2">
        <v>0.62890000000000001</v>
      </c>
      <c r="G2906" s="2">
        <v>0.31169999999999998</v>
      </c>
      <c r="H2906" s="2">
        <v>5.6399999999999999E-2</v>
      </c>
      <c r="I2906" s="2">
        <v>1.4500000000000001E-2</v>
      </c>
      <c r="J2906" s="2">
        <v>2E-3</v>
      </c>
      <c r="K2906" s="2">
        <v>2.0000000000000001E-4</v>
      </c>
      <c r="L2906">
        <v>778</v>
      </c>
    </row>
    <row r="2907" spans="1:33" x14ac:dyDescent="0.35">
      <c r="A2907" t="s">
        <v>227</v>
      </c>
      <c r="B2907" t="s">
        <v>244</v>
      </c>
      <c r="C2907" s="2">
        <v>0.79859999999999998</v>
      </c>
      <c r="D2907" s="2">
        <v>0.26440000000000002</v>
      </c>
      <c r="E2907" s="2">
        <v>0.23319999999999999</v>
      </c>
      <c r="F2907" s="2">
        <v>6.83E-2</v>
      </c>
      <c r="G2907" s="2">
        <v>0.15310000000000001</v>
      </c>
      <c r="H2907" s="2">
        <v>0.12820000000000001</v>
      </c>
      <c r="I2907" s="2">
        <v>2.4400000000000002E-2</v>
      </c>
      <c r="J2907" s="2">
        <v>4.1000000000000003E-3</v>
      </c>
      <c r="K2907" s="2">
        <v>2.0000000000000001E-4</v>
      </c>
      <c r="L2907">
        <v>2020</v>
      </c>
    </row>
    <row r="2908" spans="1:33" x14ac:dyDescent="0.35">
      <c r="A2908" t="s">
        <v>228</v>
      </c>
      <c r="B2908" t="s">
        <v>228</v>
      </c>
      <c r="C2908" s="2">
        <v>0.80330000000000001</v>
      </c>
      <c r="D2908" s="2">
        <v>0.2999</v>
      </c>
      <c r="E2908" s="2">
        <v>0.25729999999999997</v>
      </c>
      <c r="F2908" s="2">
        <v>0.22720000000000001</v>
      </c>
      <c r="G2908" s="2">
        <v>0.19800000000000001</v>
      </c>
      <c r="H2908" s="2">
        <v>0.10780000000000001</v>
      </c>
      <c r="I2908" s="2">
        <v>2.1600000000000001E-2</v>
      </c>
      <c r="J2908" s="2">
        <v>3.5000000000000001E-3</v>
      </c>
      <c r="K2908" s="2">
        <v>2.0000000000000001E-4</v>
      </c>
      <c r="L2908">
        <v>2798</v>
      </c>
    </row>
    <row r="2910" spans="1:33" x14ac:dyDescent="0.35">
      <c r="A2910" s="1" t="s">
        <v>1029</v>
      </c>
    </row>
    <row r="2911" spans="1:33" x14ac:dyDescent="0.35">
      <c r="A2911" t="s">
        <v>219</v>
      </c>
      <c r="B2911" t="s">
        <v>301</v>
      </c>
      <c r="C2911" t="s">
        <v>988</v>
      </c>
      <c r="D2911" t="s">
        <v>989</v>
      </c>
      <c r="E2911" t="s">
        <v>990</v>
      </c>
      <c r="F2911" t="s">
        <v>991</v>
      </c>
      <c r="G2911" t="s">
        <v>992</v>
      </c>
      <c r="H2911" t="s">
        <v>993</v>
      </c>
      <c r="I2911" t="s">
        <v>994</v>
      </c>
      <c r="J2911" t="s">
        <v>995</v>
      </c>
      <c r="K2911" t="s">
        <v>996</v>
      </c>
      <c r="L2911" t="s">
        <v>997</v>
      </c>
      <c r="M2911" t="s">
        <v>998</v>
      </c>
      <c r="N2911" t="s">
        <v>999</v>
      </c>
      <c r="O2911" t="s">
        <v>1000</v>
      </c>
      <c r="P2911" t="s">
        <v>1001</v>
      </c>
      <c r="Q2911" t="s">
        <v>1002</v>
      </c>
      <c r="R2911" t="s">
        <v>1003</v>
      </c>
      <c r="S2911" t="s">
        <v>1004</v>
      </c>
      <c r="T2911" t="s">
        <v>1005</v>
      </c>
      <c r="U2911" t="s">
        <v>1006</v>
      </c>
      <c r="V2911" t="s">
        <v>1007</v>
      </c>
      <c r="W2911" t="s">
        <v>1008</v>
      </c>
      <c r="X2911" t="s">
        <v>1009</v>
      </c>
      <c r="Y2911" t="s">
        <v>1010</v>
      </c>
      <c r="Z2911" t="s">
        <v>1011</v>
      </c>
      <c r="AA2911" t="s">
        <v>1012</v>
      </c>
      <c r="AB2911" t="s">
        <v>1013</v>
      </c>
      <c r="AC2911" t="s">
        <v>1014</v>
      </c>
      <c r="AD2911" t="s">
        <v>1015</v>
      </c>
      <c r="AE2911" t="s">
        <v>1016</v>
      </c>
      <c r="AF2911" t="s">
        <v>1017</v>
      </c>
      <c r="AG2911" t="s">
        <v>957</v>
      </c>
    </row>
    <row r="2912" spans="1:33" x14ac:dyDescent="0.35">
      <c r="A2912" t="s">
        <v>227</v>
      </c>
      <c r="B2912" t="s">
        <v>245</v>
      </c>
      <c r="C2912">
        <v>16524.29</v>
      </c>
      <c r="D2912">
        <v>5000</v>
      </c>
      <c r="E2912">
        <v>100</v>
      </c>
      <c r="F2912">
        <v>200000</v>
      </c>
      <c r="G2912" s="6">
        <v>225</v>
      </c>
      <c r="H2912">
        <v>6077.76</v>
      </c>
      <c r="I2912">
        <v>4000</v>
      </c>
      <c r="J2912">
        <v>250</v>
      </c>
      <c r="K2912">
        <v>30000</v>
      </c>
      <c r="L2912" s="6">
        <v>177</v>
      </c>
      <c r="M2912">
        <v>10273.24</v>
      </c>
      <c r="N2912">
        <v>5000</v>
      </c>
      <c r="O2912">
        <v>300</v>
      </c>
      <c r="P2912">
        <v>100000</v>
      </c>
      <c r="Q2912" s="6">
        <v>516</v>
      </c>
      <c r="R2912">
        <v>6967.01</v>
      </c>
      <c r="S2912">
        <v>4500</v>
      </c>
      <c r="T2912">
        <v>150</v>
      </c>
      <c r="U2912">
        <v>42000</v>
      </c>
      <c r="V2912" s="6">
        <v>346</v>
      </c>
      <c r="W2912">
        <v>19391.439999999999</v>
      </c>
      <c r="X2912">
        <v>10000</v>
      </c>
      <c r="Y2912">
        <v>560</v>
      </c>
      <c r="Z2912">
        <v>250000</v>
      </c>
      <c r="AA2912" s="6">
        <v>173</v>
      </c>
      <c r="AB2912">
        <v>8794.09</v>
      </c>
      <c r="AC2912">
        <v>7000</v>
      </c>
      <c r="AD2912">
        <v>740</v>
      </c>
      <c r="AE2912">
        <v>30000</v>
      </c>
      <c r="AF2912" s="6">
        <v>43</v>
      </c>
      <c r="AG2912">
        <v>516</v>
      </c>
    </row>
    <row r="2913" spans="1:33" x14ac:dyDescent="0.35">
      <c r="A2913" t="s">
        <v>227</v>
      </c>
      <c r="B2913" t="s">
        <v>244</v>
      </c>
      <c r="C2913">
        <v>13945.2</v>
      </c>
      <c r="D2913">
        <v>4000</v>
      </c>
      <c r="E2913">
        <v>100</v>
      </c>
      <c r="F2913">
        <v>200000</v>
      </c>
      <c r="G2913" s="6">
        <v>439</v>
      </c>
      <c r="H2913">
        <v>5388.58</v>
      </c>
      <c r="I2913">
        <v>3000</v>
      </c>
      <c r="J2913">
        <v>200</v>
      </c>
      <c r="K2913">
        <v>30000</v>
      </c>
      <c r="L2913" s="6">
        <v>315</v>
      </c>
      <c r="M2913">
        <v>8969.7199999999993</v>
      </c>
      <c r="N2913">
        <v>5000</v>
      </c>
      <c r="O2913">
        <v>100</v>
      </c>
      <c r="P2913">
        <v>100000</v>
      </c>
      <c r="Q2913" s="6">
        <v>1357</v>
      </c>
      <c r="R2913">
        <v>14363.28</v>
      </c>
      <c r="S2913">
        <v>10000</v>
      </c>
      <c r="T2913">
        <v>300</v>
      </c>
      <c r="U2913">
        <v>45000</v>
      </c>
      <c r="V2913" s="6">
        <v>106</v>
      </c>
      <c r="W2913">
        <v>16973.14</v>
      </c>
      <c r="X2913">
        <v>7590</v>
      </c>
      <c r="Y2913">
        <v>200</v>
      </c>
      <c r="Z2913">
        <v>400000</v>
      </c>
      <c r="AA2913" s="6">
        <v>244</v>
      </c>
      <c r="AB2913">
        <v>5757.15</v>
      </c>
      <c r="AC2913">
        <v>2000</v>
      </c>
      <c r="AD2913">
        <v>100</v>
      </c>
      <c r="AE2913">
        <v>31000</v>
      </c>
      <c r="AF2913" s="6">
        <v>97</v>
      </c>
      <c r="AG2913">
        <v>1357</v>
      </c>
    </row>
    <row r="2914" spans="1:33" x14ac:dyDescent="0.35">
      <c r="A2914" t="s">
        <v>228</v>
      </c>
      <c r="B2914" t="s">
        <v>228</v>
      </c>
      <c r="C2914">
        <v>14899.73</v>
      </c>
      <c r="D2914">
        <v>5000</v>
      </c>
      <c r="E2914">
        <v>100</v>
      </c>
      <c r="F2914">
        <v>200000</v>
      </c>
      <c r="G2914" s="6">
        <v>664</v>
      </c>
      <c r="H2914">
        <v>5630.43</v>
      </c>
      <c r="I2914">
        <v>3000</v>
      </c>
      <c r="J2914">
        <v>200</v>
      </c>
      <c r="K2914">
        <v>30000</v>
      </c>
      <c r="L2914" s="6">
        <v>492</v>
      </c>
      <c r="M2914">
        <v>9336.61</v>
      </c>
      <c r="N2914">
        <v>5000</v>
      </c>
      <c r="O2914">
        <v>100</v>
      </c>
      <c r="P2914">
        <v>100000</v>
      </c>
      <c r="Q2914" s="6">
        <v>1873</v>
      </c>
      <c r="R2914">
        <v>8628.5300000000007</v>
      </c>
      <c r="S2914">
        <v>5000</v>
      </c>
      <c r="T2914">
        <v>150</v>
      </c>
      <c r="U2914">
        <v>45000</v>
      </c>
      <c r="V2914" s="6">
        <v>452</v>
      </c>
      <c r="W2914">
        <v>18064.68</v>
      </c>
      <c r="X2914">
        <v>9000</v>
      </c>
      <c r="Y2914">
        <v>200</v>
      </c>
      <c r="Z2914">
        <v>400000</v>
      </c>
      <c r="AA2914" s="6">
        <v>417</v>
      </c>
      <c r="AB2914">
        <v>6639.38</v>
      </c>
      <c r="AC2914">
        <v>4000</v>
      </c>
      <c r="AD2914">
        <v>100</v>
      </c>
      <c r="AE2914">
        <v>31000</v>
      </c>
      <c r="AF2914" s="6">
        <v>140</v>
      </c>
      <c r="AG2914">
        <v>1873</v>
      </c>
    </row>
    <row r="2916" spans="1:33" x14ac:dyDescent="0.35">
      <c r="A2916" s="1" t="s">
        <v>1030</v>
      </c>
    </row>
    <row r="2917" spans="1:33" x14ac:dyDescent="0.35">
      <c r="A2917" t="s">
        <v>219</v>
      </c>
      <c r="B2917" t="s">
        <v>301</v>
      </c>
      <c r="C2917" t="s">
        <v>981</v>
      </c>
      <c r="D2917" t="s">
        <v>982</v>
      </c>
      <c r="E2917" t="s">
        <v>983</v>
      </c>
      <c r="F2917" t="s">
        <v>984</v>
      </c>
      <c r="G2917" t="s">
        <v>985</v>
      </c>
      <c r="H2917" t="s">
        <v>986</v>
      </c>
      <c r="I2917" t="s">
        <v>987</v>
      </c>
      <c r="J2917" t="s">
        <v>277</v>
      </c>
      <c r="K2917" t="s">
        <v>282</v>
      </c>
      <c r="L2917" t="s">
        <v>226</v>
      </c>
    </row>
    <row r="2918" spans="1:33" x14ac:dyDescent="0.35">
      <c r="A2918" t="s">
        <v>227</v>
      </c>
      <c r="B2918" t="s">
        <v>259</v>
      </c>
      <c r="C2918" s="2">
        <v>0.87239999999999995</v>
      </c>
      <c r="D2918" s="2">
        <v>0.48049999999999998</v>
      </c>
      <c r="E2918" s="2">
        <v>0.1081</v>
      </c>
      <c r="F2918" s="2">
        <v>0.45810000000000001</v>
      </c>
      <c r="G2918" s="2">
        <v>0.36170000000000002</v>
      </c>
      <c r="I2918" s="2">
        <v>9.5999999999999992E-3</v>
      </c>
      <c r="K2918" s="2">
        <v>1.6000000000000001E-3</v>
      </c>
      <c r="L2918">
        <v>69</v>
      </c>
    </row>
    <row r="2919" spans="1:33" x14ac:dyDescent="0.35">
      <c r="A2919" t="s">
        <v>227</v>
      </c>
      <c r="B2919" t="s">
        <v>257</v>
      </c>
      <c r="C2919" s="2">
        <v>0.88319999999999999</v>
      </c>
      <c r="D2919" s="2">
        <v>0.27989999999999998</v>
      </c>
      <c r="E2919" s="2">
        <v>0.27660000000000001</v>
      </c>
      <c r="F2919" s="2">
        <v>0.1431</v>
      </c>
      <c r="G2919" s="2">
        <v>0.1502</v>
      </c>
      <c r="H2919" s="2">
        <v>5.8500000000000003E-2</v>
      </c>
      <c r="I2919" s="2">
        <v>1.55E-2</v>
      </c>
      <c r="J2919" s="2">
        <v>1.2999999999999999E-3</v>
      </c>
      <c r="L2919">
        <v>403</v>
      </c>
    </row>
    <row r="2920" spans="1:33" x14ac:dyDescent="0.35">
      <c r="A2920" t="s">
        <v>227</v>
      </c>
      <c r="B2920" t="s">
        <v>256</v>
      </c>
      <c r="C2920" s="2">
        <v>0.77849999999999997</v>
      </c>
      <c r="D2920" s="2">
        <v>0.29149999999999998</v>
      </c>
      <c r="E2920" s="2">
        <v>0.23949999999999999</v>
      </c>
      <c r="F2920" s="2">
        <v>0.20050000000000001</v>
      </c>
      <c r="G2920" s="2">
        <v>0.18079999999999999</v>
      </c>
      <c r="H2920" s="2">
        <v>0.1336</v>
      </c>
      <c r="I2920" s="2">
        <v>2.1399999999999999E-2</v>
      </c>
      <c r="J2920" s="2">
        <v>4.7999999999999996E-3</v>
      </c>
      <c r="L2920">
        <v>1795</v>
      </c>
    </row>
    <row r="2921" spans="1:33" x14ac:dyDescent="0.35">
      <c r="A2921" s="3" t="s">
        <v>227</v>
      </c>
      <c r="B2921" s="3" t="s">
        <v>232</v>
      </c>
      <c r="C2921" s="4">
        <v>0.56100000000000005</v>
      </c>
      <c r="D2921" s="4">
        <v>0.12509999999999999</v>
      </c>
      <c r="E2921" s="4">
        <v>0.13020000000000001</v>
      </c>
      <c r="F2921" s="4">
        <v>6.7100000000000007E-2</v>
      </c>
      <c r="G2921" s="5"/>
      <c r="H2921" s="4">
        <v>0.37140000000000001</v>
      </c>
      <c r="I2921" s="5"/>
      <c r="J2921" s="5"/>
      <c r="K2921" s="5"/>
      <c r="L2921" s="5" t="s">
        <v>307</v>
      </c>
    </row>
    <row r="2922" spans="1:33" x14ac:dyDescent="0.35">
      <c r="A2922" t="s">
        <v>227</v>
      </c>
      <c r="B2922" t="s">
        <v>258</v>
      </c>
      <c r="C2922" s="2">
        <v>0.81869999999999998</v>
      </c>
      <c r="D2922" s="2">
        <v>0.34279999999999999</v>
      </c>
      <c r="E2922" s="2">
        <v>0.3352</v>
      </c>
      <c r="F2922" s="2">
        <v>0.42249999999999999</v>
      </c>
      <c r="G2922" s="2">
        <v>0.316</v>
      </c>
      <c r="H2922" s="2">
        <v>5.6800000000000003E-2</v>
      </c>
      <c r="I2922" s="2">
        <v>3.1099999999999999E-2</v>
      </c>
      <c r="J2922" s="2">
        <v>5.0000000000000001E-4</v>
      </c>
      <c r="K2922" s="2">
        <v>1E-3</v>
      </c>
      <c r="L2922">
        <v>520</v>
      </c>
    </row>
    <row r="2923" spans="1:33" x14ac:dyDescent="0.35">
      <c r="A2923" t="s">
        <v>228</v>
      </c>
      <c r="B2923" t="s">
        <v>228</v>
      </c>
      <c r="C2923" s="2">
        <v>0.80330000000000001</v>
      </c>
      <c r="D2923" s="2">
        <v>0.2999</v>
      </c>
      <c r="E2923" s="2">
        <v>0.25729999999999997</v>
      </c>
      <c r="F2923" s="2">
        <v>0.22720000000000001</v>
      </c>
      <c r="G2923" s="2">
        <v>0.19800000000000001</v>
      </c>
      <c r="H2923" s="2">
        <v>0.10780000000000001</v>
      </c>
      <c r="I2923" s="2">
        <v>2.1600000000000001E-2</v>
      </c>
      <c r="J2923" s="2">
        <v>3.5000000000000001E-3</v>
      </c>
      <c r="K2923" s="2">
        <v>2.0000000000000001E-4</v>
      </c>
      <c r="L2923">
        <v>2798</v>
      </c>
    </row>
    <row r="2925" spans="1:33" x14ac:dyDescent="0.35">
      <c r="A2925" s="1" t="s">
        <v>1031</v>
      </c>
    </row>
    <row r="2926" spans="1:33" x14ac:dyDescent="0.35">
      <c r="A2926" t="s">
        <v>219</v>
      </c>
      <c r="B2926" t="s">
        <v>301</v>
      </c>
      <c r="C2926" t="s">
        <v>988</v>
      </c>
      <c r="D2926" t="s">
        <v>989</v>
      </c>
      <c r="E2926" t="s">
        <v>990</v>
      </c>
      <c r="F2926" t="s">
        <v>991</v>
      </c>
      <c r="G2926" t="s">
        <v>992</v>
      </c>
      <c r="H2926" t="s">
        <v>993</v>
      </c>
      <c r="I2926" t="s">
        <v>994</v>
      </c>
      <c r="J2926" t="s">
        <v>995</v>
      </c>
      <c r="K2926" t="s">
        <v>996</v>
      </c>
      <c r="L2926" t="s">
        <v>997</v>
      </c>
      <c r="M2926" t="s">
        <v>998</v>
      </c>
      <c r="N2926" t="s">
        <v>999</v>
      </c>
      <c r="O2926" t="s">
        <v>1000</v>
      </c>
      <c r="P2926" t="s">
        <v>1001</v>
      </c>
      <c r="Q2926" t="s">
        <v>1002</v>
      </c>
      <c r="R2926" t="s">
        <v>1003</v>
      </c>
      <c r="S2926" t="s">
        <v>1004</v>
      </c>
      <c r="T2926" t="s">
        <v>1005</v>
      </c>
      <c r="U2926" t="s">
        <v>1006</v>
      </c>
      <c r="V2926" t="s">
        <v>1007</v>
      </c>
      <c r="W2926" t="s">
        <v>1008</v>
      </c>
      <c r="X2926" t="s">
        <v>1009</v>
      </c>
      <c r="Y2926" t="s">
        <v>1010</v>
      </c>
      <c r="Z2926" t="s">
        <v>1011</v>
      </c>
      <c r="AA2926" t="s">
        <v>1012</v>
      </c>
      <c r="AB2926" t="s">
        <v>1013</v>
      </c>
      <c r="AC2926" t="s">
        <v>1014</v>
      </c>
      <c r="AD2926" t="s">
        <v>1015</v>
      </c>
      <c r="AE2926" t="s">
        <v>1016</v>
      </c>
      <c r="AF2926" t="s">
        <v>1017</v>
      </c>
      <c r="AG2926" t="s">
        <v>957</v>
      </c>
    </row>
    <row r="2927" spans="1:33" x14ac:dyDescent="0.35">
      <c r="A2927" t="s">
        <v>227</v>
      </c>
      <c r="B2927" t="s">
        <v>259</v>
      </c>
      <c r="C2927">
        <v>9859.2099999999991</v>
      </c>
      <c r="D2927">
        <v>5000</v>
      </c>
      <c r="E2927">
        <v>200</v>
      </c>
      <c r="F2927">
        <v>40000</v>
      </c>
      <c r="G2927" s="6">
        <v>26</v>
      </c>
      <c r="H2927">
        <v>4428.25</v>
      </c>
      <c r="I2927">
        <v>4000</v>
      </c>
      <c r="J2927">
        <v>400</v>
      </c>
      <c r="K2927">
        <v>15000</v>
      </c>
      <c r="L2927" s="6">
        <v>13</v>
      </c>
      <c r="M2927">
        <v>10110.83</v>
      </c>
      <c r="N2927">
        <v>10000</v>
      </c>
      <c r="O2927">
        <v>100</v>
      </c>
      <c r="P2927">
        <v>65000</v>
      </c>
      <c r="Q2927" s="6">
        <v>55</v>
      </c>
      <c r="R2927">
        <v>6269.4</v>
      </c>
      <c r="S2927">
        <v>6500</v>
      </c>
      <c r="T2927">
        <v>2000</v>
      </c>
      <c r="U2927">
        <v>15000</v>
      </c>
      <c r="V2927" s="6">
        <v>13</v>
      </c>
      <c r="W2927">
        <v>80122.880000000005</v>
      </c>
      <c r="X2927">
        <v>12000</v>
      </c>
      <c r="Y2927">
        <v>600</v>
      </c>
      <c r="Z2927">
        <v>400000</v>
      </c>
      <c r="AA2927" s="6">
        <v>16</v>
      </c>
      <c r="AB2927">
        <v>17949.91</v>
      </c>
      <c r="AC2927">
        <v>20000</v>
      </c>
      <c r="AD2927">
        <v>6000</v>
      </c>
      <c r="AE2927">
        <v>20000</v>
      </c>
      <c r="AF2927" s="6">
        <v>2</v>
      </c>
      <c r="AG2927">
        <v>55</v>
      </c>
    </row>
    <row r="2928" spans="1:33" x14ac:dyDescent="0.35">
      <c r="A2928" t="s">
        <v>227</v>
      </c>
      <c r="B2928" t="s">
        <v>257</v>
      </c>
      <c r="C2928">
        <v>6392.47</v>
      </c>
      <c r="D2928">
        <v>2500</v>
      </c>
      <c r="E2928">
        <v>150</v>
      </c>
      <c r="F2928">
        <v>100000</v>
      </c>
      <c r="G2928" s="6">
        <v>84</v>
      </c>
      <c r="H2928">
        <v>4481.45</v>
      </c>
      <c r="I2928">
        <v>3000</v>
      </c>
      <c r="J2928">
        <v>200</v>
      </c>
      <c r="K2928">
        <v>30000</v>
      </c>
      <c r="L2928" s="6">
        <v>72</v>
      </c>
      <c r="M2928">
        <v>8997.77</v>
      </c>
      <c r="N2928">
        <v>5000</v>
      </c>
      <c r="O2928">
        <v>150</v>
      </c>
      <c r="P2928">
        <v>70000</v>
      </c>
      <c r="Q2928" s="6">
        <v>272</v>
      </c>
      <c r="R2928">
        <v>6259.17</v>
      </c>
      <c r="S2928">
        <v>3000</v>
      </c>
      <c r="T2928">
        <v>200</v>
      </c>
      <c r="U2928">
        <v>30000</v>
      </c>
      <c r="V2928" s="6">
        <v>62</v>
      </c>
      <c r="W2928">
        <v>22858.19</v>
      </c>
      <c r="X2928">
        <v>10000</v>
      </c>
      <c r="Y2928">
        <v>250</v>
      </c>
      <c r="Z2928">
        <v>200000</v>
      </c>
      <c r="AA2928" s="6">
        <v>53</v>
      </c>
      <c r="AB2928">
        <v>3868.46</v>
      </c>
      <c r="AC2928">
        <v>4000</v>
      </c>
      <c r="AD2928">
        <v>800</v>
      </c>
      <c r="AE2928">
        <v>11600</v>
      </c>
      <c r="AF2928" s="6">
        <v>13</v>
      </c>
      <c r="AG2928">
        <v>272</v>
      </c>
    </row>
    <row r="2929" spans="1:33" x14ac:dyDescent="0.35">
      <c r="A2929" t="s">
        <v>227</v>
      </c>
      <c r="B2929" t="s">
        <v>256</v>
      </c>
      <c r="C2929">
        <v>17396.349999999999</v>
      </c>
      <c r="D2929">
        <v>5000</v>
      </c>
      <c r="E2929">
        <v>100</v>
      </c>
      <c r="F2929">
        <v>200000</v>
      </c>
      <c r="G2929" s="6">
        <v>404</v>
      </c>
      <c r="H2929">
        <v>5475.62</v>
      </c>
      <c r="I2929">
        <v>3000</v>
      </c>
      <c r="J2929">
        <v>200</v>
      </c>
      <c r="K2929">
        <v>30000</v>
      </c>
      <c r="L2929" s="6">
        <v>289</v>
      </c>
      <c r="M2929">
        <v>8752.11</v>
      </c>
      <c r="N2929">
        <v>5000</v>
      </c>
      <c r="O2929">
        <v>100</v>
      </c>
      <c r="P2929">
        <v>100000</v>
      </c>
      <c r="Q2929" s="6">
        <v>1165</v>
      </c>
      <c r="R2929">
        <v>9413.58</v>
      </c>
      <c r="S2929">
        <v>5000</v>
      </c>
      <c r="T2929">
        <v>200</v>
      </c>
      <c r="U2929">
        <v>45000</v>
      </c>
      <c r="V2929" s="6">
        <v>234</v>
      </c>
      <c r="W2929">
        <v>13763.34</v>
      </c>
      <c r="X2929">
        <v>8000</v>
      </c>
      <c r="Y2929">
        <v>200</v>
      </c>
      <c r="Z2929">
        <v>250000</v>
      </c>
      <c r="AA2929" s="6">
        <v>227</v>
      </c>
      <c r="AB2929">
        <v>5903.86</v>
      </c>
      <c r="AC2929">
        <v>4000</v>
      </c>
      <c r="AD2929">
        <v>100</v>
      </c>
      <c r="AE2929">
        <v>30000</v>
      </c>
      <c r="AF2929" s="6">
        <v>86</v>
      </c>
      <c r="AG2929">
        <v>1165</v>
      </c>
    </row>
    <row r="2930" spans="1:33" x14ac:dyDescent="0.35">
      <c r="A2930" t="s">
        <v>227</v>
      </c>
      <c r="B2930" t="s">
        <v>258</v>
      </c>
      <c r="C2930">
        <v>13863.61</v>
      </c>
      <c r="D2930">
        <v>5000</v>
      </c>
      <c r="E2930">
        <v>100</v>
      </c>
      <c r="F2930">
        <v>200000</v>
      </c>
      <c r="G2930" s="6">
        <v>150</v>
      </c>
      <c r="H2930">
        <v>7358.04</v>
      </c>
      <c r="I2930">
        <v>5000</v>
      </c>
      <c r="J2930">
        <v>200</v>
      </c>
      <c r="K2930">
        <v>30000</v>
      </c>
      <c r="L2930" s="6">
        <v>118</v>
      </c>
      <c r="M2930">
        <v>12237.8</v>
      </c>
      <c r="N2930">
        <v>7000</v>
      </c>
      <c r="O2930">
        <v>200</v>
      </c>
      <c r="P2930">
        <v>100000</v>
      </c>
      <c r="Q2930" s="6">
        <v>377</v>
      </c>
      <c r="R2930">
        <v>8136.81</v>
      </c>
      <c r="S2930">
        <v>5000</v>
      </c>
      <c r="T2930">
        <v>150</v>
      </c>
      <c r="U2930">
        <v>40000</v>
      </c>
      <c r="V2930" s="6">
        <v>143</v>
      </c>
      <c r="W2930">
        <v>19481.61</v>
      </c>
      <c r="X2930">
        <v>10000</v>
      </c>
      <c r="Y2930">
        <v>1000</v>
      </c>
      <c r="Z2930">
        <v>120000</v>
      </c>
      <c r="AA2930" s="6">
        <v>121</v>
      </c>
      <c r="AB2930">
        <v>10527.22</v>
      </c>
      <c r="AC2930">
        <v>10000</v>
      </c>
      <c r="AD2930">
        <v>800</v>
      </c>
      <c r="AE2930">
        <v>31000</v>
      </c>
      <c r="AF2930" s="6">
        <v>38</v>
      </c>
      <c r="AG2930">
        <v>377</v>
      </c>
    </row>
    <row r="2931" spans="1:33" x14ac:dyDescent="0.35">
      <c r="A2931" t="s">
        <v>228</v>
      </c>
      <c r="B2931" t="s">
        <v>228</v>
      </c>
      <c r="C2931">
        <v>14899.73</v>
      </c>
      <c r="D2931">
        <v>5000</v>
      </c>
      <c r="E2931">
        <v>100</v>
      </c>
      <c r="F2931">
        <v>200000</v>
      </c>
      <c r="G2931" s="6">
        <v>664</v>
      </c>
      <c r="H2931">
        <v>5630.43</v>
      </c>
      <c r="I2931">
        <v>3000</v>
      </c>
      <c r="J2931">
        <v>200</v>
      </c>
      <c r="K2931">
        <v>30000</v>
      </c>
      <c r="L2931" s="6">
        <v>492</v>
      </c>
      <c r="M2931">
        <v>9336.61</v>
      </c>
      <c r="N2931">
        <v>5000</v>
      </c>
      <c r="O2931">
        <v>100</v>
      </c>
      <c r="P2931">
        <v>100000</v>
      </c>
      <c r="Q2931" s="6">
        <v>1873</v>
      </c>
      <c r="R2931">
        <v>8628.5300000000007</v>
      </c>
      <c r="S2931">
        <v>5000</v>
      </c>
      <c r="T2931">
        <v>150</v>
      </c>
      <c r="U2931">
        <v>45000</v>
      </c>
      <c r="V2931" s="6">
        <v>452</v>
      </c>
      <c r="W2931">
        <v>18064.68</v>
      </c>
      <c r="X2931">
        <v>9000</v>
      </c>
      <c r="Y2931">
        <v>200</v>
      </c>
      <c r="Z2931">
        <v>400000</v>
      </c>
      <c r="AA2931" s="6">
        <v>417</v>
      </c>
      <c r="AB2931">
        <v>6639.38</v>
      </c>
      <c r="AC2931">
        <v>4000</v>
      </c>
      <c r="AD2931">
        <v>100</v>
      </c>
      <c r="AE2931">
        <v>31000</v>
      </c>
      <c r="AF2931" s="6">
        <v>140</v>
      </c>
      <c r="AG2931">
        <v>1873</v>
      </c>
    </row>
    <row r="2933" spans="1:33" x14ac:dyDescent="0.35">
      <c r="A2933" s="1" t="s">
        <v>1032</v>
      </c>
    </row>
    <row r="2934" spans="1:33" x14ac:dyDescent="0.35">
      <c r="A2934" t="s">
        <v>219</v>
      </c>
      <c r="B2934" t="s">
        <v>301</v>
      </c>
      <c r="C2934" t="s">
        <v>981</v>
      </c>
      <c r="D2934" t="s">
        <v>982</v>
      </c>
      <c r="E2934" t="s">
        <v>983</v>
      </c>
      <c r="F2934" t="s">
        <v>984</v>
      </c>
      <c r="G2934" t="s">
        <v>985</v>
      </c>
      <c r="H2934" t="s">
        <v>986</v>
      </c>
      <c r="I2934" t="s">
        <v>987</v>
      </c>
      <c r="J2934" t="s">
        <v>277</v>
      </c>
      <c r="K2934" t="s">
        <v>282</v>
      </c>
      <c r="L2934" t="s">
        <v>226</v>
      </c>
    </row>
    <row r="2935" spans="1:33" x14ac:dyDescent="0.35">
      <c r="A2935" t="s">
        <v>227</v>
      </c>
      <c r="B2935" t="s">
        <v>343</v>
      </c>
      <c r="C2935" s="2">
        <v>0.88319999999999999</v>
      </c>
      <c r="D2935" s="2">
        <v>0.27989999999999998</v>
      </c>
      <c r="E2935" s="2">
        <v>0.27660000000000001</v>
      </c>
      <c r="F2935" s="2">
        <v>0.1431</v>
      </c>
      <c r="G2935" s="2">
        <v>0.1502</v>
      </c>
      <c r="H2935" s="2">
        <v>5.8500000000000003E-2</v>
      </c>
      <c r="I2935" s="2">
        <v>1.55E-2</v>
      </c>
      <c r="J2935" s="2">
        <v>1.2999999999999999E-3</v>
      </c>
      <c r="L2935">
        <v>403</v>
      </c>
    </row>
    <row r="2936" spans="1:33" x14ac:dyDescent="0.35">
      <c r="A2936" t="s">
        <v>227</v>
      </c>
      <c r="B2936" t="s">
        <v>344</v>
      </c>
      <c r="C2936" s="2">
        <v>0.78700000000000003</v>
      </c>
      <c r="D2936" s="2">
        <v>0.30399999999999999</v>
      </c>
      <c r="E2936" s="2">
        <v>0.25330000000000003</v>
      </c>
      <c r="F2936" s="2">
        <v>0.24440000000000001</v>
      </c>
      <c r="G2936" s="2">
        <v>0.20780000000000001</v>
      </c>
      <c r="H2936" s="2">
        <v>0.1179</v>
      </c>
      <c r="I2936" s="2">
        <v>2.2800000000000001E-2</v>
      </c>
      <c r="J2936" s="2">
        <v>3.8999999999999998E-3</v>
      </c>
      <c r="K2936" s="2">
        <v>2.0000000000000001E-4</v>
      </c>
      <c r="L2936">
        <v>2395</v>
      </c>
    </row>
    <row r="2937" spans="1:33" x14ac:dyDescent="0.35">
      <c r="A2937" t="s">
        <v>228</v>
      </c>
      <c r="B2937" t="s">
        <v>228</v>
      </c>
      <c r="C2937" s="2">
        <v>0.80330000000000001</v>
      </c>
      <c r="D2937" s="2">
        <v>0.2999</v>
      </c>
      <c r="E2937" s="2">
        <v>0.25729999999999997</v>
      </c>
      <c r="F2937" s="2">
        <v>0.22720000000000001</v>
      </c>
      <c r="G2937" s="2">
        <v>0.19800000000000001</v>
      </c>
      <c r="H2937" s="2">
        <v>0.10780000000000001</v>
      </c>
      <c r="I2937" s="2">
        <v>2.1600000000000001E-2</v>
      </c>
      <c r="J2937" s="2">
        <v>3.5000000000000001E-3</v>
      </c>
      <c r="K2937" s="2">
        <v>2.0000000000000001E-4</v>
      </c>
      <c r="L2937">
        <v>2798</v>
      </c>
    </row>
    <row r="2939" spans="1:33" x14ac:dyDescent="0.35">
      <c r="A2939" s="1" t="s">
        <v>1033</v>
      </c>
    </row>
    <row r="2940" spans="1:33" x14ac:dyDescent="0.35">
      <c r="A2940" t="s">
        <v>219</v>
      </c>
      <c r="B2940" t="s">
        <v>301</v>
      </c>
      <c r="C2940" t="s">
        <v>988</v>
      </c>
      <c r="D2940" t="s">
        <v>989</v>
      </c>
      <c r="E2940" t="s">
        <v>990</v>
      </c>
      <c r="F2940" t="s">
        <v>991</v>
      </c>
      <c r="G2940" t="s">
        <v>992</v>
      </c>
      <c r="H2940" t="s">
        <v>993</v>
      </c>
      <c r="I2940" t="s">
        <v>994</v>
      </c>
      <c r="J2940" t="s">
        <v>995</v>
      </c>
      <c r="K2940" t="s">
        <v>996</v>
      </c>
      <c r="L2940" t="s">
        <v>997</v>
      </c>
      <c r="M2940" t="s">
        <v>998</v>
      </c>
      <c r="N2940" t="s">
        <v>999</v>
      </c>
      <c r="O2940" t="s">
        <v>1000</v>
      </c>
      <c r="P2940" t="s">
        <v>1001</v>
      </c>
      <c r="Q2940" t="s">
        <v>1002</v>
      </c>
      <c r="R2940" t="s">
        <v>1003</v>
      </c>
      <c r="S2940" t="s">
        <v>1004</v>
      </c>
      <c r="T2940" t="s">
        <v>1005</v>
      </c>
      <c r="U2940" t="s">
        <v>1006</v>
      </c>
      <c r="V2940" t="s">
        <v>1007</v>
      </c>
      <c r="W2940" t="s">
        <v>1008</v>
      </c>
      <c r="X2940" t="s">
        <v>1009</v>
      </c>
      <c r="Y2940" t="s">
        <v>1010</v>
      </c>
      <c r="Z2940" t="s">
        <v>1011</v>
      </c>
      <c r="AA2940" t="s">
        <v>1012</v>
      </c>
      <c r="AB2940" t="s">
        <v>1013</v>
      </c>
      <c r="AC2940" t="s">
        <v>1014</v>
      </c>
      <c r="AD2940" t="s">
        <v>1015</v>
      </c>
      <c r="AE2940" t="s">
        <v>1016</v>
      </c>
      <c r="AF2940" t="s">
        <v>1017</v>
      </c>
      <c r="AG2940" t="s">
        <v>957</v>
      </c>
    </row>
    <row r="2941" spans="1:33" x14ac:dyDescent="0.35">
      <c r="A2941" t="s">
        <v>227</v>
      </c>
      <c r="B2941" t="s">
        <v>343</v>
      </c>
      <c r="C2941">
        <v>6392.47</v>
      </c>
      <c r="D2941">
        <v>2500</v>
      </c>
      <c r="E2941">
        <v>150</v>
      </c>
      <c r="F2941">
        <v>100000</v>
      </c>
      <c r="G2941" s="6">
        <v>84</v>
      </c>
      <c r="H2941">
        <v>4481.45</v>
      </c>
      <c r="I2941">
        <v>3000</v>
      </c>
      <c r="J2941">
        <v>200</v>
      </c>
      <c r="K2941">
        <v>30000</v>
      </c>
      <c r="L2941" s="6">
        <v>72</v>
      </c>
      <c r="M2941">
        <v>8997.77</v>
      </c>
      <c r="N2941">
        <v>5000</v>
      </c>
      <c r="O2941">
        <v>150</v>
      </c>
      <c r="P2941">
        <v>70000</v>
      </c>
      <c r="Q2941" s="6">
        <v>272</v>
      </c>
      <c r="R2941">
        <v>6259.17</v>
      </c>
      <c r="S2941">
        <v>3000</v>
      </c>
      <c r="T2941">
        <v>200</v>
      </c>
      <c r="U2941">
        <v>30000</v>
      </c>
      <c r="V2941" s="6">
        <v>62</v>
      </c>
      <c r="W2941">
        <v>22858.19</v>
      </c>
      <c r="X2941">
        <v>10000</v>
      </c>
      <c r="Y2941">
        <v>250</v>
      </c>
      <c r="Z2941">
        <v>200000</v>
      </c>
      <c r="AA2941" s="6">
        <v>53</v>
      </c>
      <c r="AB2941">
        <v>3868.46</v>
      </c>
      <c r="AC2941">
        <v>4000</v>
      </c>
      <c r="AD2941">
        <v>800</v>
      </c>
      <c r="AE2941">
        <v>11600</v>
      </c>
      <c r="AF2941" s="6">
        <v>13</v>
      </c>
      <c r="AG2941">
        <v>272</v>
      </c>
    </row>
    <row r="2942" spans="1:33" x14ac:dyDescent="0.35">
      <c r="A2942" t="s">
        <v>227</v>
      </c>
      <c r="B2942" t="s">
        <v>344</v>
      </c>
      <c r="C2942">
        <v>16520.009999999998</v>
      </c>
      <c r="D2942">
        <v>5000</v>
      </c>
      <c r="E2942">
        <v>100</v>
      </c>
      <c r="F2942">
        <v>200000</v>
      </c>
      <c r="G2942" s="6">
        <v>580</v>
      </c>
      <c r="H2942">
        <v>5893.24</v>
      </c>
      <c r="I2942">
        <v>3000</v>
      </c>
      <c r="J2942">
        <v>200</v>
      </c>
      <c r="K2942">
        <v>30000</v>
      </c>
      <c r="L2942" s="6">
        <v>420</v>
      </c>
      <c r="M2942">
        <v>9406.07</v>
      </c>
      <c r="N2942">
        <v>5000</v>
      </c>
      <c r="O2942">
        <v>100</v>
      </c>
      <c r="P2942">
        <v>100000</v>
      </c>
      <c r="Q2942" s="6">
        <v>1601</v>
      </c>
      <c r="R2942">
        <v>8889.51</v>
      </c>
      <c r="S2942">
        <v>5000</v>
      </c>
      <c r="T2942">
        <v>150</v>
      </c>
      <c r="U2942">
        <v>45000</v>
      </c>
      <c r="V2942" s="6">
        <v>390</v>
      </c>
      <c r="W2942">
        <v>17460.599999999999</v>
      </c>
      <c r="X2942">
        <v>8000</v>
      </c>
      <c r="Y2942">
        <v>200</v>
      </c>
      <c r="Z2942">
        <v>400000</v>
      </c>
      <c r="AA2942" s="6">
        <v>364</v>
      </c>
      <c r="AB2942">
        <v>7184.86</v>
      </c>
      <c r="AC2942">
        <v>5000</v>
      </c>
      <c r="AD2942">
        <v>100</v>
      </c>
      <c r="AE2942">
        <v>31000</v>
      </c>
      <c r="AF2942" s="6">
        <v>127</v>
      </c>
      <c r="AG2942">
        <v>1601</v>
      </c>
    </row>
    <row r="2943" spans="1:33" x14ac:dyDescent="0.35">
      <c r="A2943" t="s">
        <v>228</v>
      </c>
      <c r="B2943" t="s">
        <v>228</v>
      </c>
      <c r="C2943">
        <v>14899.73</v>
      </c>
      <c r="D2943">
        <v>5000</v>
      </c>
      <c r="E2943">
        <v>100</v>
      </c>
      <c r="F2943">
        <v>200000</v>
      </c>
      <c r="G2943" s="6">
        <v>664</v>
      </c>
      <c r="H2943">
        <v>5630.43</v>
      </c>
      <c r="I2943">
        <v>3000</v>
      </c>
      <c r="J2943">
        <v>200</v>
      </c>
      <c r="K2943">
        <v>30000</v>
      </c>
      <c r="L2943" s="6">
        <v>492</v>
      </c>
      <c r="M2943">
        <v>9336.61</v>
      </c>
      <c r="N2943">
        <v>5000</v>
      </c>
      <c r="O2943">
        <v>100</v>
      </c>
      <c r="P2943">
        <v>100000</v>
      </c>
      <c r="Q2943" s="6">
        <v>1873</v>
      </c>
      <c r="R2943">
        <v>8628.5300000000007</v>
      </c>
      <c r="S2943">
        <v>5000</v>
      </c>
      <c r="T2943">
        <v>150</v>
      </c>
      <c r="U2943">
        <v>45000</v>
      </c>
      <c r="V2943" s="6">
        <v>452</v>
      </c>
      <c r="W2943">
        <v>18064.68</v>
      </c>
      <c r="X2943">
        <v>9000</v>
      </c>
      <c r="Y2943">
        <v>200</v>
      </c>
      <c r="Z2943">
        <v>400000</v>
      </c>
      <c r="AA2943" s="6">
        <v>417</v>
      </c>
      <c r="AB2943">
        <v>6639.38</v>
      </c>
      <c r="AC2943">
        <v>4000</v>
      </c>
      <c r="AD2943">
        <v>100</v>
      </c>
      <c r="AE2943">
        <v>31000</v>
      </c>
      <c r="AF2943" s="6">
        <v>140</v>
      </c>
      <c r="AG2943">
        <v>1873</v>
      </c>
    </row>
    <row r="2945" spans="1:33" x14ac:dyDescent="0.35">
      <c r="A2945" s="1" t="s">
        <v>1034</v>
      </c>
    </row>
    <row r="2946" spans="1:33" x14ac:dyDescent="0.35">
      <c r="A2946" t="s">
        <v>219</v>
      </c>
      <c r="B2946" t="s">
        <v>301</v>
      </c>
      <c r="C2946" t="s">
        <v>981</v>
      </c>
      <c r="D2946" t="s">
        <v>982</v>
      </c>
      <c r="E2946" t="s">
        <v>983</v>
      </c>
      <c r="F2946" t="s">
        <v>984</v>
      </c>
      <c r="G2946" t="s">
        <v>985</v>
      </c>
      <c r="H2946" t="s">
        <v>986</v>
      </c>
      <c r="I2946" t="s">
        <v>987</v>
      </c>
      <c r="J2946" t="s">
        <v>277</v>
      </c>
      <c r="K2946" t="s">
        <v>282</v>
      </c>
      <c r="L2946" t="s">
        <v>226</v>
      </c>
    </row>
    <row r="2947" spans="1:33" x14ac:dyDescent="0.35">
      <c r="A2947" t="s">
        <v>227</v>
      </c>
      <c r="B2947" t="s">
        <v>346</v>
      </c>
      <c r="C2947" s="2">
        <v>0.81100000000000005</v>
      </c>
      <c r="D2947" s="2">
        <v>0.30580000000000002</v>
      </c>
      <c r="E2947" s="2">
        <v>0.26579999999999998</v>
      </c>
      <c r="F2947" s="2">
        <v>0.23760000000000001</v>
      </c>
      <c r="G2947" s="2">
        <v>0.20449999999999999</v>
      </c>
      <c r="H2947" s="2">
        <v>0.1017</v>
      </c>
      <c r="I2947" s="2">
        <v>2.24E-2</v>
      </c>
      <c r="J2947" s="2">
        <v>3.5000000000000001E-3</v>
      </c>
      <c r="L2947">
        <v>1456</v>
      </c>
    </row>
    <row r="2948" spans="1:33" x14ac:dyDescent="0.35">
      <c r="A2948" t="s">
        <v>227</v>
      </c>
      <c r="B2948" t="s">
        <v>347</v>
      </c>
      <c r="C2948" s="2">
        <v>0.78759999999999997</v>
      </c>
      <c r="D2948" s="2">
        <v>0.2606</v>
      </c>
      <c r="E2948" s="2">
        <v>0.15720000000000001</v>
      </c>
      <c r="F2948" s="2">
        <v>0.17599999999999999</v>
      </c>
      <c r="G2948" s="2">
        <v>0.14990000000000001</v>
      </c>
      <c r="H2948" s="2">
        <v>0.13270000000000001</v>
      </c>
      <c r="I2948" s="2">
        <v>9.5999999999999992E-3</v>
      </c>
      <c r="J2948" s="2">
        <v>4.4000000000000003E-3</v>
      </c>
      <c r="K2948" s="2">
        <v>4.5999999999999999E-3</v>
      </c>
      <c r="L2948">
        <v>582</v>
      </c>
    </row>
    <row r="2949" spans="1:33" x14ac:dyDescent="0.35">
      <c r="A2949" t="s">
        <v>227</v>
      </c>
      <c r="B2949" t="s">
        <v>348</v>
      </c>
      <c r="C2949" s="2">
        <v>0.73960000000000004</v>
      </c>
      <c r="D2949" s="2">
        <v>0.26169999999999999</v>
      </c>
      <c r="E2949" s="2">
        <v>0.218</v>
      </c>
      <c r="F2949" s="2">
        <v>0.15279999999999999</v>
      </c>
      <c r="G2949" s="2">
        <v>0.1573</v>
      </c>
      <c r="H2949" s="2">
        <v>0.1542</v>
      </c>
      <c r="I2949" s="2">
        <v>1.89E-2</v>
      </c>
      <c r="J2949" s="2">
        <v>3.2000000000000002E-3</v>
      </c>
      <c r="L2949">
        <v>760</v>
      </c>
    </row>
    <row r="2950" spans="1:33" x14ac:dyDescent="0.35">
      <c r="A2950" t="s">
        <v>228</v>
      </c>
      <c r="B2950" t="s">
        <v>228</v>
      </c>
      <c r="C2950" s="2">
        <v>0.80330000000000001</v>
      </c>
      <c r="D2950" s="2">
        <v>0.2999</v>
      </c>
      <c r="E2950" s="2">
        <v>0.25729999999999997</v>
      </c>
      <c r="F2950" s="2">
        <v>0.22720000000000001</v>
      </c>
      <c r="G2950" s="2">
        <v>0.19800000000000001</v>
      </c>
      <c r="H2950" s="2">
        <v>0.10780000000000001</v>
      </c>
      <c r="I2950" s="2">
        <v>2.1600000000000001E-2</v>
      </c>
      <c r="J2950" s="2">
        <v>3.5000000000000001E-3</v>
      </c>
      <c r="K2950" s="2">
        <v>2.0000000000000001E-4</v>
      </c>
      <c r="L2950">
        <v>2798</v>
      </c>
    </row>
    <row r="2952" spans="1:33" x14ac:dyDescent="0.35">
      <c r="A2952" s="1" t="s">
        <v>1035</v>
      </c>
    </row>
    <row r="2953" spans="1:33" x14ac:dyDescent="0.35">
      <c r="A2953" t="s">
        <v>219</v>
      </c>
      <c r="B2953" t="s">
        <v>301</v>
      </c>
      <c r="C2953" t="s">
        <v>988</v>
      </c>
      <c r="D2953" t="s">
        <v>989</v>
      </c>
      <c r="E2953" t="s">
        <v>990</v>
      </c>
      <c r="F2953" t="s">
        <v>991</v>
      </c>
      <c r="G2953" t="s">
        <v>992</v>
      </c>
      <c r="H2953" t="s">
        <v>993</v>
      </c>
      <c r="I2953" t="s">
        <v>994</v>
      </c>
      <c r="J2953" t="s">
        <v>995</v>
      </c>
      <c r="K2953" t="s">
        <v>996</v>
      </c>
      <c r="L2953" t="s">
        <v>997</v>
      </c>
      <c r="M2953" t="s">
        <v>998</v>
      </c>
      <c r="N2953" t="s">
        <v>999</v>
      </c>
      <c r="O2953" t="s">
        <v>1000</v>
      </c>
      <c r="P2953" t="s">
        <v>1001</v>
      </c>
      <c r="Q2953" t="s">
        <v>1002</v>
      </c>
      <c r="R2953" t="s">
        <v>1003</v>
      </c>
      <c r="S2953" t="s">
        <v>1004</v>
      </c>
      <c r="T2953" t="s">
        <v>1005</v>
      </c>
      <c r="U2953" t="s">
        <v>1006</v>
      </c>
      <c r="V2953" t="s">
        <v>1007</v>
      </c>
      <c r="W2953" t="s">
        <v>1008</v>
      </c>
      <c r="X2953" t="s">
        <v>1009</v>
      </c>
      <c r="Y2953" t="s">
        <v>1010</v>
      </c>
      <c r="Z2953" t="s">
        <v>1011</v>
      </c>
      <c r="AA2953" t="s">
        <v>1012</v>
      </c>
      <c r="AB2953" t="s">
        <v>1013</v>
      </c>
      <c r="AC2953" t="s">
        <v>1014</v>
      </c>
      <c r="AD2953" t="s">
        <v>1015</v>
      </c>
      <c r="AE2953" t="s">
        <v>1016</v>
      </c>
      <c r="AF2953" t="s">
        <v>1017</v>
      </c>
      <c r="AG2953" t="s">
        <v>957</v>
      </c>
    </row>
    <row r="2954" spans="1:33" x14ac:dyDescent="0.35">
      <c r="A2954" t="s">
        <v>227</v>
      </c>
      <c r="B2954" t="s">
        <v>346</v>
      </c>
      <c r="C2954">
        <v>14726.98</v>
      </c>
      <c r="D2954">
        <v>5000</v>
      </c>
      <c r="E2954">
        <v>100</v>
      </c>
      <c r="F2954">
        <v>200000</v>
      </c>
      <c r="G2954" s="6">
        <v>375</v>
      </c>
      <c r="H2954">
        <v>5815.67</v>
      </c>
      <c r="I2954">
        <v>3000</v>
      </c>
      <c r="J2954">
        <v>200</v>
      </c>
      <c r="K2954">
        <v>30000</v>
      </c>
      <c r="L2954" s="6">
        <v>290</v>
      </c>
      <c r="M2954">
        <v>9309</v>
      </c>
      <c r="N2954">
        <v>5000</v>
      </c>
      <c r="O2954">
        <v>100</v>
      </c>
      <c r="P2954">
        <v>100000</v>
      </c>
      <c r="Q2954" s="6">
        <v>990</v>
      </c>
      <c r="R2954">
        <v>8844.02</v>
      </c>
      <c r="S2954">
        <v>5000</v>
      </c>
      <c r="T2954">
        <v>300</v>
      </c>
      <c r="U2954">
        <v>45000</v>
      </c>
      <c r="V2954" s="6">
        <v>281</v>
      </c>
      <c r="W2954">
        <v>18234.68</v>
      </c>
      <c r="X2954">
        <v>8500</v>
      </c>
      <c r="Y2954">
        <v>200</v>
      </c>
      <c r="Z2954">
        <v>400000</v>
      </c>
      <c r="AA2954" s="6">
        <v>238</v>
      </c>
      <c r="AB2954">
        <v>6588.46</v>
      </c>
      <c r="AC2954">
        <v>4600</v>
      </c>
      <c r="AD2954">
        <v>300</v>
      </c>
      <c r="AE2954">
        <v>31000</v>
      </c>
      <c r="AF2954" s="6">
        <v>80</v>
      </c>
      <c r="AG2954">
        <v>990</v>
      </c>
    </row>
    <row r="2955" spans="1:33" x14ac:dyDescent="0.35">
      <c r="A2955" t="s">
        <v>227</v>
      </c>
      <c r="B2955" t="s">
        <v>347</v>
      </c>
      <c r="C2955">
        <v>14647.96</v>
      </c>
      <c r="D2955">
        <v>5000</v>
      </c>
      <c r="E2955">
        <v>200</v>
      </c>
      <c r="F2955">
        <v>200000</v>
      </c>
      <c r="G2955" s="6">
        <v>120</v>
      </c>
      <c r="H2955">
        <v>3660.34</v>
      </c>
      <c r="I2955">
        <v>2000</v>
      </c>
      <c r="J2955">
        <v>300</v>
      </c>
      <c r="K2955">
        <v>30000</v>
      </c>
      <c r="L2955" s="6">
        <v>74</v>
      </c>
      <c r="M2955">
        <v>10048.02</v>
      </c>
      <c r="N2955">
        <v>5000</v>
      </c>
      <c r="O2955">
        <v>150</v>
      </c>
      <c r="P2955">
        <v>100000</v>
      </c>
      <c r="Q2955" s="6">
        <v>392</v>
      </c>
      <c r="R2955">
        <v>6527.77</v>
      </c>
      <c r="S2955">
        <v>4500</v>
      </c>
      <c r="T2955">
        <v>200</v>
      </c>
      <c r="U2955">
        <v>34000</v>
      </c>
      <c r="V2955" s="6">
        <v>78</v>
      </c>
      <c r="W2955">
        <v>14329.58</v>
      </c>
      <c r="X2955">
        <v>10000</v>
      </c>
      <c r="Y2955">
        <v>400</v>
      </c>
      <c r="Z2955">
        <v>81000</v>
      </c>
      <c r="AA2955" s="6">
        <v>79</v>
      </c>
      <c r="AB2955">
        <v>6186.41</v>
      </c>
      <c r="AC2955">
        <v>4000</v>
      </c>
      <c r="AD2955">
        <v>200</v>
      </c>
      <c r="AE2955">
        <v>30000</v>
      </c>
      <c r="AF2955" s="6">
        <v>22</v>
      </c>
      <c r="AG2955">
        <v>392</v>
      </c>
    </row>
    <row r="2956" spans="1:33" x14ac:dyDescent="0.35">
      <c r="A2956" t="s">
        <v>227</v>
      </c>
      <c r="B2956" t="s">
        <v>348</v>
      </c>
      <c r="C2956">
        <v>16910.509999999998</v>
      </c>
      <c r="D2956">
        <v>5000</v>
      </c>
      <c r="E2956">
        <v>100</v>
      </c>
      <c r="F2956">
        <v>200000</v>
      </c>
      <c r="G2956" s="6">
        <v>169</v>
      </c>
      <c r="H2956">
        <v>4096.71</v>
      </c>
      <c r="I2956">
        <v>2000</v>
      </c>
      <c r="J2956">
        <v>200</v>
      </c>
      <c r="K2956">
        <v>30000</v>
      </c>
      <c r="L2956" s="6">
        <v>128</v>
      </c>
      <c r="M2956">
        <v>9326.81</v>
      </c>
      <c r="N2956">
        <v>5000</v>
      </c>
      <c r="O2956">
        <v>200</v>
      </c>
      <c r="P2956">
        <v>100000</v>
      </c>
      <c r="Q2956" s="6">
        <v>491</v>
      </c>
      <c r="R2956">
        <v>6443.77</v>
      </c>
      <c r="S2956">
        <v>4500</v>
      </c>
      <c r="T2956">
        <v>150</v>
      </c>
      <c r="U2956">
        <v>40000</v>
      </c>
      <c r="V2956" s="6">
        <v>93</v>
      </c>
      <c r="W2956">
        <v>17270.259999999998</v>
      </c>
      <c r="X2956">
        <v>10000</v>
      </c>
      <c r="Y2956">
        <v>200</v>
      </c>
      <c r="Z2956">
        <v>250000</v>
      </c>
      <c r="AA2956" s="6">
        <v>100</v>
      </c>
      <c r="AB2956">
        <v>7333.45</v>
      </c>
      <c r="AC2956">
        <v>3000</v>
      </c>
      <c r="AD2956">
        <v>100</v>
      </c>
      <c r="AE2956">
        <v>30000</v>
      </c>
      <c r="AF2956" s="6">
        <v>38</v>
      </c>
      <c r="AG2956">
        <v>491</v>
      </c>
    </row>
    <row r="2957" spans="1:33" x14ac:dyDescent="0.35">
      <c r="A2957" t="s">
        <v>228</v>
      </c>
      <c r="B2957" t="s">
        <v>228</v>
      </c>
      <c r="C2957">
        <v>14899.73</v>
      </c>
      <c r="D2957">
        <v>5000</v>
      </c>
      <c r="E2957">
        <v>100</v>
      </c>
      <c r="F2957">
        <v>200000</v>
      </c>
      <c r="G2957" s="6">
        <v>664</v>
      </c>
      <c r="H2957">
        <v>5630.43</v>
      </c>
      <c r="I2957">
        <v>3000</v>
      </c>
      <c r="J2957">
        <v>200</v>
      </c>
      <c r="K2957">
        <v>30000</v>
      </c>
      <c r="L2957" s="6">
        <v>492</v>
      </c>
      <c r="M2957">
        <v>9336.61</v>
      </c>
      <c r="N2957">
        <v>5000</v>
      </c>
      <c r="O2957">
        <v>100</v>
      </c>
      <c r="P2957">
        <v>100000</v>
      </c>
      <c r="Q2957" s="6">
        <v>1873</v>
      </c>
      <c r="R2957">
        <v>8628.5300000000007</v>
      </c>
      <c r="S2957">
        <v>5000</v>
      </c>
      <c r="T2957">
        <v>150</v>
      </c>
      <c r="U2957">
        <v>45000</v>
      </c>
      <c r="V2957" s="6">
        <v>452</v>
      </c>
      <c r="W2957">
        <v>18064.68</v>
      </c>
      <c r="X2957">
        <v>9000</v>
      </c>
      <c r="Y2957">
        <v>200</v>
      </c>
      <c r="Z2957">
        <v>400000</v>
      </c>
      <c r="AA2957" s="6">
        <v>417</v>
      </c>
      <c r="AB2957">
        <v>6639.38</v>
      </c>
      <c r="AC2957">
        <v>4000</v>
      </c>
      <c r="AD2957">
        <v>100</v>
      </c>
      <c r="AE2957">
        <v>31000</v>
      </c>
      <c r="AF2957" s="6">
        <v>140</v>
      </c>
      <c r="AG2957">
        <v>1873</v>
      </c>
    </row>
    <row r="2959" spans="1:33" x14ac:dyDescent="0.35">
      <c r="A2959" s="1" t="s">
        <v>1036</v>
      </c>
    </row>
    <row r="2960" spans="1:33" x14ac:dyDescent="0.35">
      <c r="A2960" t="s">
        <v>219</v>
      </c>
      <c r="B2960" t="s">
        <v>301</v>
      </c>
      <c r="C2960" t="s">
        <v>981</v>
      </c>
      <c r="D2960" t="s">
        <v>982</v>
      </c>
      <c r="E2960" t="s">
        <v>983</v>
      </c>
      <c r="F2960" t="s">
        <v>984</v>
      </c>
      <c r="G2960" t="s">
        <v>985</v>
      </c>
      <c r="H2960" t="s">
        <v>986</v>
      </c>
      <c r="I2960" t="s">
        <v>987</v>
      </c>
      <c r="J2960" t="s">
        <v>277</v>
      </c>
      <c r="K2960" t="s">
        <v>282</v>
      </c>
      <c r="L2960" t="s">
        <v>226</v>
      </c>
    </row>
    <row r="2961" spans="1:33" x14ac:dyDescent="0.35">
      <c r="A2961" t="s">
        <v>227</v>
      </c>
      <c r="B2961" t="s">
        <v>251</v>
      </c>
      <c r="C2961" s="2">
        <v>0.79859999999999998</v>
      </c>
      <c r="D2961" s="2">
        <v>0.26440000000000002</v>
      </c>
      <c r="E2961" s="2">
        <v>0.23319999999999999</v>
      </c>
      <c r="F2961" s="2">
        <v>6.83E-2</v>
      </c>
      <c r="G2961" s="2">
        <v>0.15310000000000001</v>
      </c>
      <c r="H2961" s="2">
        <v>0.12820000000000001</v>
      </c>
      <c r="I2961" s="2">
        <v>2.4400000000000002E-2</v>
      </c>
      <c r="J2961" s="2">
        <v>4.1000000000000003E-3</v>
      </c>
      <c r="K2961" s="2">
        <v>2.0000000000000001E-4</v>
      </c>
      <c r="L2961">
        <v>2020</v>
      </c>
    </row>
    <row r="2962" spans="1:33" x14ac:dyDescent="0.35">
      <c r="A2962" t="s">
        <v>227</v>
      </c>
      <c r="B2962" t="s">
        <v>252</v>
      </c>
      <c r="C2962" s="2">
        <v>0.83989999999999998</v>
      </c>
      <c r="D2962" s="2">
        <v>0.40260000000000001</v>
      </c>
      <c r="E2962" s="2">
        <v>0.33779999999999999</v>
      </c>
      <c r="F2962" s="2">
        <v>0.63980000000000004</v>
      </c>
      <c r="G2962" s="2">
        <v>0.3271</v>
      </c>
      <c r="H2962" s="2">
        <v>4.7699999999999999E-2</v>
      </c>
      <c r="I2962" s="2">
        <v>1.7600000000000001E-2</v>
      </c>
      <c r="J2962" s="2">
        <v>1.6000000000000001E-3</v>
      </c>
      <c r="L2962">
        <v>617</v>
      </c>
    </row>
    <row r="2963" spans="1:33" x14ac:dyDescent="0.35">
      <c r="A2963" t="s">
        <v>227</v>
      </c>
      <c r="B2963" t="s">
        <v>253</v>
      </c>
      <c r="C2963" s="2">
        <v>0.7167</v>
      </c>
      <c r="D2963" s="2">
        <v>0.32150000000000001</v>
      </c>
      <c r="E2963" s="2">
        <v>0.2369</v>
      </c>
      <c r="F2963" s="2">
        <v>0.58940000000000003</v>
      </c>
      <c r="G2963" s="2">
        <v>0.25109999999999999</v>
      </c>
      <c r="H2963" s="2">
        <v>9.5899999999999999E-2</v>
      </c>
      <c r="I2963" s="2">
        <v>1.6000000000000001E-3</v>
      </c>
      <c r="J2963" s="2">
        <v>3.7000000000000002E-3</v>
      </c>
      <c r="K2963" s="2">
        <v>8.9999999999999998E-4</v>
      </c>
      <c r="L2963">
        <v>152</v>
      </c>
    </row>
    <row r="2964" spans="1:33" x14ac:dyDescent="0.35">
      <c r="A2964" s="3" t="s">
        <v>227</v>
      </c>
      <c r="B2964" s="3" t="s">
        <v>254</v>
      </c>
      <c r="C2964" s="4">
        <v>0.51480000000000004</v>
      </c>
      <c r="D2964" s="4">
        <v>0.68910000000000005</v>
      </c>
      <c r="E2964" s="4">
        <v>0.1817</v>
      </c>
      <c r="F2964" s="4">
        <v>0.39100000000000001</v>
      </c>
      <c r="G2964" s="4">
        <v>0.10920000000000001</v>
      </c>
      <c r="H2964" s="4">
        <v>2.9100000000000001E-2</v>
      </c>
      <c r="I2964" s="5"/>
      <c r="J2964" s="5"/>
      <c r="K2964" s="5"/>
      <c r="L2964" s="5" t="s">
        <v>515</v>
      </c>
    </row>
    <row r="2965" spans="1:33" x14ac:dyDescent="0.35">
      <c r="A2965" t="s">
        <v>228</v>
      </c>
      <c r="B2965" t="s">
        <v>228</v>
      </c>
      <c r="C2965" s="2">
        <v>0.80330000000000001</v>
      </c>
      <c r="D2965" s="2">
        <v>0.2999</v>
      </c>
      <c r="E2965" s="2">
        <v>0.25729999999999997</v>
      </c>
      <c r="F2965" s="2">
        <v>0.22720000000000001</v>
      </c>
      <c r="G2965" s="2">
        <v>0.19800000000000001</v>
      </c>
      <c r="H2965" s="2">
        <v>0.10780000000000001</v>
      </c>
      <c r="I2965" s="2">
        <v>2.1600000000000001E-2</v>
      </c>
      <c r="J2965" s="2">
        <v>3.5000000000000001E-3</v>
      </c>
      <c r="K2965" s="2">
        <v>2.0000000000000001E-4</v>
      </c>
      <c r="L2965">
        <v>2798</v>
      </c>
    </row>
    <row r="2967" spans="1:33" x14ac:dyDescent="0.35">
      <c r="A2967" s="1" t="s">
        <v>1037</v>
      </c>
    </row>
    <row r="2968" spans="1:33" x14ac:dyDescent="0.35">
      <c r="A2968" t="s">
        <v>219</v>
      </c>
      <c r="B2968" t="s">
        <v>301</v>
      </c>
      <c r="C2968" t="s">
        <v>988</v>
      </c>
      <c r="D2968" t="s">
        <v>989</v>
      </c>
      <c r="E2968" t="s">
        <v>990</v>
      </c>
      <c r="F2968" t="s">
        <v>991</v>
      </c>
      <c r="G2968" t="s">
        <v>992</v>
      </c>
      <c r="H2968" t="s">
        <v>993</v>
      </c>
      <c r="I2968" t="s">
        <v>994</v>
      </c>
      <c r="J2968" t="s">
        <v>995</v>
      </c>
      <c r="K2968" t="s">
        <v>996</v>
      </c>
      <c r="L2968" t="s">
        <v>997</v>
      </c>
      <c r="M2968" t="s">
        <v>998</v>
      </c>
      <c r="N2968" t="s">
        <v>999</v>
      </c>
      <c r="O2968" t="s">
        <v>1000</v>
      </c>
      <c r="P2968" t="s">
        <v>1001</v>
      </c>
      <c r="Q2968" t="s">
        <v>1002</v>
      </c>
      <c r="R2968" t="s">
        <v>1003</v>
      </c>
      <c r="S2968" t="s">
        <v>1004</v>
      </c>
      <c r="T2968" t="s">
        <v>1005</v>
      </c>
      <c r="U2968" t="s">
        <v>1006</v>
      </c>
      <c r="V2968" t="s">
        <v>1007</v>
      </c>
      <c r="W2968" t="s">
        <v>1008</v>
      </c>
      <c r="X2968" t="s">
        <v>1009</v>
      </c>
      <c r="Y2968" t="s">
        <v>1010</v>
      </c>
      <c r="Z2968" t="s">
        <v>1011</v>
      </c>
      <c r="AA2968" t="s">
        <v>1012</v>
      </c>
      <c r="AB2968" t="s">
        <v>1013</v>
      </c>
      <c r="AC2968" t="s">
        <v>1014</v>
      </c>
      <c r="AD2968" t="s">
        <v>1015</v>
      </c>
      <c r="AE2968" t="s">
        <v>1016</v>
      </c>
      <c r="AF2968" t="s">
        <v>1017</v>
      </c>
      <c r="AG2968" t="s">
        <v>957</v>
      </c>
    </row>
    <row r="2969" spans="1:33" x14ac:dyDescent="0.35">
      <c r="A2969" t="s">
        <v>227</v>
      </c>
      <c r="B2969" t="s">
        <v>251</v>
      </c>
      <c r="C2969">
        <v>13945.2</v>
      </c>
      <c r="D2969">
        <v>4000</v>
      </c>
      <c r="E2969">
        <v>100</v>
      </c>
      <c r="F2969">
        <v>200000</v>
      </c>
      <c r="G2969" s="6">
        <v>439</v>
      </c>
      <c r="H2969">
        <v>5388.58</v>
      </c>
      <c r="I2969">
        <v>3000</v>
      </c>
      <c r="J2969">
        <v>200</v>
      </c>
      <c r="K2969">
        <v>30000</v>
      </c>
      <c r="L2969" s="6">
        <v>315</v>
      </c>
      <c r="M2969">
        <v>8969.7199999999993</v>
      </c>
      <c r="N2969">
        <v>5000</v>
      </c>
      <c r="O2969">
        <v>100</v>
      </c>
      <c r="P2969">
        <v>100000</v>
      </c>
      <c r="Q2969" s="6">
        <v>1357</v>
      </c>
      <c r="R2969">
        <v>14363.28</v>
      </c>
      <c r="S2969">
        <v>10000</v>
      </c>
      <c r="T2969">
        <v>300</v>
      </c>
      <c r="U2969">
        <v>45000</v>
      </c>
      <c r="V2969" s="6">
        <v>106</v>
      </c>
      <c r="W2969">
        <v>16973.14</v>
      </c>
      <c r="X2969">
        <v>7590</v>
      </c>
      <c r="Y2969">
        <v>200</v>
      </c>
      <c r="Z2969">
        <v>400000</v>
      </c>
      <c r="AA2969" s="6">
        <v>244</v>
      </c>
      <c r="AB2969">
        <v>5757.15</v>
      </c>
      <c r="AC2969">
        <v>2000</v>
      </c>
      <c r="AD2969">
        <v>100</v>
      </c>
      <c r="AE2969">
        <v>31000</v>
      </c>
      <c r="AF2969" s="6">
        <v>97</v>
      </c>
      <c r="AG2969">
        <v>1357</v>
      </c>
    </row>
    <row r="2970" spans="1:33" x14ac:dyDescent="0.35">
      <c r="A2970" t="s">
        <v>227</v>
      </c>
      <c r="B2970" t="s">
        <v>252</v>
      </c>
      <c r="C2970">
        <v>18903.849999999999</v>
      </c>
      <c r="D2970">
        <v>7000</v>
      </c>
      <c r="E2970">
        <v>100</v>
      </c>
      <c r="F2970">
        <v>200000</v>
      </c>
      <c r="G2970" s="6">
        <v>183</v>
      </c>
      <c r="H2970">
        <v>6212.35</v>
      </c>
      <c r="I2970">
        <v>4000</v>
      </c>
      <c r="J2970">
        <v>250</v>
      </c>
      <c r="K2970">
        <v>30000</v>
      </c>
      <c r="L2970" s="6">
        <v>142</v>
      </c>
      <c r="M2970">
        <v>11053.72</v>
      </c>
      <c r="N2970">
        <v>5000</v>
      </c>
      <c r="O2970">
        <v>300</v>
      </c>
      <c r="P2970">
        <v>100000</v>
      </c>
      <c r="Q2970" s="6">
        <v>422</v>
      </c>
      <c r="R2970">
        <v>7087.58</v>
      </c>
      <c r="S2970">
        <v>5000</v>
      </c>
      <c r="T2970">
        <v>150</v>
      </c>
      <c r="U2970">
        <v>42000</v>
      </c>
      <c r="V2970" s="6">
        <v>271</v>
      </c>
      <c r="W2970">
        <v>20230.7</v>
      </c>
      <c r="X2970">
        <v>12000</v>
      </c>
      <c r="Y2970">
        <v>1000</v>
      </c>
      <c r="Z2970">
        <v>250000</v>
      </c>
      <c r="AA2970" s="6">
        <v>146</v>
      </c>
      <c r="AB2970">
        <v>8786.14</v>
      </c>
      <c r="AC2970">
        <v>7000</v>
      </c>
      <c r="AD2970">
        <v>740</v>
      </c>
      <c r="AE2970">
        <v>30000</v>
      </c>
      <c r="AF2970" s="6">
        <v>38</v>
      </c>
      <c r="AG2970">
        <v>422</v>
      </c>
    </row>
    <row r="2971" spans="1:33" x14ac:dyDescent="0.35">
      <c r="A2971" t="s">
        <v>227</v>
      </c>
      <c r="B2971" t="s">
        <v>253</v>
      </c>
      <c r="C2971">
        <v>4650.6499999999996</v>
      </c>
      <c r="D2971">
        <v>3000</v>
      </c>
      <c r="E2971">
        <v>260</v>
      </c>
      <c r="F2971">
        <v>100000</v>
      </c>
      <c r="G2971" s="6">
        <v>37</v>
      </c>
      <c r="H2971">
        <v>5408.68</v>
      </c>
      <c r="I2971">
        <v>5000</v>
      </c>
      <c r="J2971">
        <v>500</v>
      </c>
      <c r="K2971">
        <v>30000</v>
      </c>
      <c r="L2971" s="6">
        <v>33</v>
      </c>
      <c r="M2971">
        <v>6393.69</v>
      </c>
      <c r="N2971">
        <v>4000</v>
      </c>
      <c r="O2971">
        <v>405</v>
      </c>
      <c r="P2971">
        <v>20000</v>
      </c>
      <c r="Q2971" s="6">
        <v>90</v>
      </c>
      <c r="R2971">
        <v>6527.52</v>
      </c>
      <c r="S2971">
        <v>3000</v>
      </c>
      <c r="T2971">
        <v>200</v>
      </c>
      <c r="U2971">
        <v>40000</v>
      </c>
      <c r="V2971" s="6">
        <v>72</v>
      </c>
      <c r="W2971">
        <v>14931.82</v>
      </c>
      <c r="X2971">
        <v>6000</v>
      </c>
      <c r="Y2971">
        <v>560</v>
      </c>
      <c r="Z2971">
        <v>50000</v>
      </c>
      <c r="AA2971" s="6">
        <v>26</v>
      </c>
      <c r="AB2971">
        <v>8859.0499999999993</v>
      </c>
      <c r="AC2971">
        <v>12000</v>
      </c>
      <c r="AD2971">
        <v>1500</v>
      </c>
      <c r="AE2971">
        <v>20000</v>
      </c>
      <c r="AF2971" s="6">
        <v>5</v>
      </c>
      <c r="AG2971">
        <v>90</v>
      </c>
    </row>
    <row r="2972" spans="1:33" x14ac:dyDescent="0.35">
      <c r="A2972" s="3" t="s">
        <v>227</v>
      </c>
      <c r="B2972" s="3" t="s">
        <v>254</v>
      </c>
      <c r="C2972" s="5">
        <v>4918.28</v>
      </c>
      <c r="D2972" s="5">
        <v>5000</v>
      </c>
      <c r="E2972" s="5">
        <v>1500</v>
      </c>
      <c r="F2972" s="5">
        <v>8000</v>
      </c>
      <c r="G2972" s="5">
        <v>5</v>
      </c>
      <c r="H2972" s="5">
        <v>1840.44</v>
      </c>
      <c r="I2972" s="5">
        <v>2000</v>
      </c>
      <c r="J2972" s="5">
        <v>1500</v>
      </c>
      <c r="K2972" s="5">
        <v>2000</v>
      </c>
      <c r="L2972" s="5">
        <v>2</v>
      </c>
      <c r="M2972" s="5">
        <v>11435</v>
      </c>
      <c r="N2972" s="5">
        <v>10000</v>
      </c>
      <c r="O2972" s="5">
        <v>500</v>
      </c>
      <c r="P2972" s="5">
        <v>70000</v>
      </c>
      <c r="Q2972" s="5">
        <v>4</v>
      </c>
      <c r="R2972" s="5">
        <v>3074.14</v>
      </c>
      <c r="S2972" s="5">
        <v>5000</v>
      </c>
      <c r="T2972" s="5">
        <v>1300</v>
      </c>
      <c r="U2972" s="5">
        <v>5000</v>
      </c>
      <c r="V2972" s="5">
        <v>3</v>
      </c>
      <c r="W2972" s="5">
        <v>10000</v>
      </c>
      <c r="X2972" s="5">
        <v>10000</v>
      </c>
      <c r="Y2972" s="5">
        <v>10000</v>
      </c>
      <c r="Z2972" s="5">
        <v>10000</v>
      </c>
      <c r="AA2972" s="5">
        <v>1</v>
      </c>
      <c r="AB2972" s="5"/>
      <c r="AC2972" s="5"/>
      <c r="AD2972" s="5"/>
      <c r="AE2972" s="5"/>
      <c r="AF2972" s="5"/>
      <c r="AG2972" s="5">
        <v>5</v>
      </c>
    </row>
    <row r="2973" spans="1:33" x14ac:dyDescent="0.35">
      <c r="A2973" t="s">
        <v>228</v>
      </c>
      <c r="B2973" t="s">
        <v>228</v>
      </c>
      <c r="C2973">
        <v>14899.73</v>
      </c>
      <c r="D2973">
        <v>5000</v>
      </c>
      <c r="E2973">
        <v>100</v>
      </c>
      <c r="F2973">
        <v>200000</v>
      </c>
      <c r="G2973" s="6">
        <v>664</v>
      </c>
      <c r="H2973">
        <v>5630.43</v>
      </c>
      <c r="I2973">
        <v>3000</v>
      </c>
      <c r="J2973">
        <v>200</v>
      </c>
      <c r="K2973">
        <v>30000</v>
      </c>
      <c r="L2973" s="6">
        <v>492</v>
      </c>
      <c r="M2973">
        <v>9336.61</v>
      </c>
      <c r="N2973">
        <v>5000</v>
      </c>
      <c r="O2973">
        <v>100</v>
      </c>
      <c r="P2973">
        <v>100000</v>
      </c>
      <c r="Q2973" s="6">
        <v>1873</v>
      </c>
      <c r="R2973">
        <v>8628.5300000000007</v>
      </c>
      <c r="S2973">
        <v>5000</v>
      </c>
      <c r="T2973">
        <v>150</v>
      </c>
      <c r="U2973">
        <v>45000</v>
      </c>
      <c r="V2973" s="6">
        <v>452</v>
      </c>
      <c r="W2973">
        <v>18064.68</v>
      </c>
      <c r="X2973">
        <v>9000</v>
      </c>
      <c r="Y2973">
        <v>200</v>
      </c>
      <c r="Z2973">
        <v>400000</v>
      </c>
      <c r="AA2973" s="6">
        <v>417</v>
      </c>
      <c r="AB2973">
        <v>6639.38</v>
      </c>
      <c r="AC2973">
        <v>4000</v>
      </c>
      <c r="AD2973">
        <v>100</v>
      </c>
      <c r="AE2973">
        <v>31000</v>
      </c>
      <c r="AF2973" s="6">
        <v>140</v>
      </c>
      <c r="AG2973">
        <v>1873</v>
      </c>
    </row>
    <row r="2975" spans="1:33" x14ac:dyDescent="0.35">
      <c r="A2975" s="1" t="s">
        <v>1038</v>
      </c>
    </row>
    <row r="2976" spans="1:33" x14ac:dyDescent="0.35">
      <c r="A2976" t="s">
        <v>219</v>
      </c>
      <c r="B2976" t="s">
        <v>524</v>
      </c>
      <c r="C2976" t="s">
        <v>525</v>
      </c>
      <c r="D2976" t="s">
        <v>526</v>
      </c>
      <c r="E2976" t="s">
        <v>527</v>
      </c>
      <c r="F2976" t="s">
        <v>226</v>
      </c>
    </row>
    <row r="2977" spans="1:7" x14ac:dyDescent="0.35">
      <c r="A2977" t="s">
        <v>227</v>
      </c>
      <c r="B2977">
        <v>10625.29</v>
      </c>
      <c r="C2977">
        <v>7296.7</v>
      </c>
      <c r="D2977">
        <v>0</v>
      </c>
      <c r="E2977">
        <v>122633.3</v>
      </c>
      <c r="F2977">
        <v>2723</v>
      </c>
    </row>
    <row r="2978" spans="1:7" x14ac:dyDescent="0.35">
      <c r="A2978" t="s">
        <v>228</v>
      </c>
      <c r="B2978">
        <v>10625.29</v>
      </c>
      <c r="C2978">
        <v>7296.7</v>
      </c>
      <c r="D2978">
        <v>0</v>
      </c>
      <c r="E2978">
        <v>122633.3</v>
      </c>
      <c r="F2978">
        <v>2723</v>
      </c>
    </row>
    <row r="2980" spans="1:7" x14ac:dyDescent="0.35">
      <c r="A2980" s="1" t="s">
        <v>1039</v>
      </c>
    </row>
    <row r="2981" spans="1:7" x14ac:dyDescent="0.35">
      <c r="A2981" t="s">
        <v>219</v>
      </c>
      <c r="B2981" t="s">
        <v>301</v>
      </c>
      <c r="C2981" t="s">
        <v>524</v>
      </c>
      <c r="D2981" t="s">
        <v>525</v>
      </c>
      <c r="E2981" t="s">
        <v>526</v>
      </c>
      <c r="F2981" t="s">
        <v>527</v>
      </c>
      <c r="G2981" t="s">
        <v>226</v>
      </c>
    </row>
    <row r="2982" spans="1:7" x14ac:dyDescent="0.35">
      <c r="A2982" t="s">
        <v>227</v>
      </c>
      <c r="B2982" t="s">
        <v>238</v>
      </c>
      <c r="C2982">
        <v>9362.15</v>
      </c>
      <c r="D2982">
        <v>6741.7</v>
      </c>
      <c r="E2982">
        <v>0</v>
      </c>
      <c r="F2982">
        <v>102149.5</v>
      </c>
      <c r="G2982">
        <v>980</v>
      </c>
    </row>
    <row r="2983" spans="1:7" x14ac:dyDescent="0.35">
      <c r="A2983" t="s">
        <v>227</v>
      </c>
      <c r="B2983" t="s">
        <v>237</v>
      </c>
      <c r="C2983">
        <v>11363.66</v>
      </c>
      <c r="D2983">
        <v>7672</v>
      </c>
      <c r="E2983">
        <v>0</v>
      </c>
      <c r="F2983">
        <v>122633.3</v>
      </c>
      <c r="G2983">
        <v>1743</v>
      </c>
    </row>
    <row r="2984" spans="1:7" x14ac:dyDescent="0.35">
      <c r="A2984" t="s">
        <v>228</v>
      </c>
      <c r="B2984" t="s">
        <v>228</v>
      </c>
      <c r="C2984">
        <v>10625.29</v>
      </c>
      <c r="D2984">
        <v>7296.7</v>
      </c>
      <c r="E2984">
        <v>0</v>
      </c>
      <c r="F2984">
        <v>122633.3</v>
      </c>
      <c r="G2984">
        <v>2723</v>
      </c>
    </row>
    <row r="2986" spans="1:7" x14ac:dyDescent="0.35">
      <c r="A2986" s="1" t="s">
        <v>1040</v>
      </c>
    </row>
    <row r="2987" spans="1:7" x14ac:dyDescent="0.35">
      <c r="A2987" t="s">
        <v>219</v>
      </c>
      <c r="B2987" t="s">
        <v>301</v>
      </c>
      <c r="C2987" t="s">
        <v>524</v>
      </c>
      <c r="D2987" t="s">
        <v>525</v>
      </c>
      <c r="E2987" t="s">
        <v>526</v>
      </c>
      <c r="F2987" t="s">
        <v>527</v>
      </c>
      <c r="G2987" t="s">
        <v>226</v>
      </c>
    </row>
    <row r="2988" spans="1:7" x14ac:dyDescent="0.35">
      <c r="A2988" t="s">
        <v>227</v>
      </c>
      <c r="B2988" t="s">
        <v>235</v>
      </c>
      <c r="C2988">
        <v>8286.43</v>
      </c>
      <c r="D2988">
        <v>5844.4</v>
      </c>
      <c r="E2988">
        <v>41.7</v>
      </c>
      <c r="F2988">
        <v>92200</v>
      </c>
      <c r="G2988">
        <v>950</v>
      </c>
    </row>
    <row r="2989" spans="1:7" x14ac:dyDescent="0.35">
      <c r="A2989" t="s">
        <v>227</v>
      </c>
      <c r="B2989" t="s">
        <v>234</v>
      </c>
      <c r="C2989">
        <v>11597.46</v>
      </c>
      <c r="D2989">
        <v>7816.7</v>
      </c>
      <c r="E2989">
        <v>0</v>
      </c>
      <c r="F2989">
        <v>122633.3</v>
      </c>
      <c r="G2989">
        <v>1773</v>
      </c>
    </row>
    <row r="2990" spans="1:7" x14ac:dyDescent="0.35">
      <c r="A2990" t="s">
        <v>228</v>
      </c>
      <c r="B2990" t="s">
        <v>228</v>
      </c>
      <c r="C2990">
        <v>10625.29</v>
      </c>
      <c r="D2990">
        <v>7296.7</v>
      </c>
      <c r="E2990">
        <v>0</v>
      </c>
      <c r="F2990">
        <v>122633.3</v>
      </c>
      <c r="G2990">
        <v>2723</v>
      </c>
    </row>
    <row r="2992" spans="1:7" x14ac:dyDescent="0.35">
      <c r="A2992" s="1" t="s">
        <v>1041</v>
      </c>
    </row>
    <row r="2993" spans="1:7" x14ac:dyDescent="0.35">
      <c r="A2993" t="s">
        <v>219</v>
      </c>
      <c r="B2993" t="s">
        <v>301</v>
      </c>
      <c r="C2993" t="s">
        <v>524</v>
      </c>
      <c r="D2993" t="s">
        <v>525</v>
      </c>
      <c r="E2993" t="s">
        <v>526</v>
      </c>
      <c r="F2993" t="s">
        <v>527</v>
      </c>
      <c r="G2993" t="s">
        <v>226</v>
      </c>
    </row>
    <row r="2994" spans="1:7" x14ac:dyDescent="0.35">
      <c r="A2994" t="s">
        <v>227</v>
      </c>
      <c r="B2994" t="s">
        <v>240</v>
      </c>
      <c r="C2994">
        <v>10365.129999999999</v>
      </c>
      <c r="D2994">
        <v>7405.6</v>
      </c>
      <c r="E2994">
        <v>0</v>
      </c>
      <c r="F2994">
        <v>122633.3</v>
      </c>
      <c r="G2994">
        <v>1703</v>
      </c>
    </row>
    <row r="2995" spans="1:7" x14ac:dyDescent="0.35">
      <c r="A2995" t="s">
        <v>227</v>
      </c>
      <c r="B2995" t="s">
        <v>241</v>
      </c>
      <c r="C2995">
        <v>12347.32</v>
      </c>
      <c r="D2995">
        <v>7800</v>
      </c>
      <c r="E2995">
        <v>0</v>
      </c>
      <c r="F2995">
        <v>114386.7</v>
      </c>
      <c r="G2995">
        <v>858</v>
      </c>
    </row>
    <row r="2996" spans="1:7" x14ac:dyDescent="0.35">
      <c r="A2996" t="s">
        <v>227</v>
      </c>
      <c r="B2996" t="s">
        <v>242</v>
      </c>
      <c r="C2996">
        <v>5478.66</v>
      </c>
      <c r="D2996">
        <v>4093.3</v>
      </c>
      <c r="E2996">
        <v>100</v>
      </c>
      <c r="F2996">
        <v>30900</v>
      </c>
      <c r="G2996">
        <v>162</v>
      </c>
    </row>
    <row r="2997" spans="1:7" x14ac:dyDescent="0.35">
      <c r="A2997" t="s">
        <v>228</v>
      </c>
      <c r="B2997" t="s">
        <v>228</v>
      </c>
      <c r="C2997">
        <v>10625.29</v>
      </c>
      <c r="D2997">
        <v>7296.7</v>
      </c>
      <c r="E2997">
        <v>0</v>
      </c>
      <c r="F2997">
        <v>122633.3</v>
      </c>
      <c r="G2997">
        <v>2723</v>
      </c>
    </row>
    <row r="2999" spans="1:7" x14ac:dyDescent="0.35">
      <c r="A2999" s="1" t="s">
        <v>1042</v>
      </c>
    </row>
    <row r="3000" spans="1:7" x14ac:dyDescent="0.35">
      <c r="A3000" t="s">
        <v>219</v>
      </c>
      <c r="B3000" t="s">
        <v>301</v>
      </c>
      <c r="C3000" t="s">
        <v>524</v>
      </c>
      <c r="D3000" t="s">
        <v>525</v>
      </c>
      <c r="E3000" t="s">
        <v>526</v>
      </c>
      <c r="F3000" t="s">
        <v>527</v>
      </c>
      <c r="G3000" t="s">
        <v>226</v>
      </c>
    </row>
    <row r="3001" spans="1:7" x14ac:dyDescent="0.35">
      <c r="A3001" t="s">
        <v>227</v>
      </c>
      <c r="B3001" t="s">
        <v>334</v>
      </c>
      <c r="C3001">
        <v>5310.64</v>
      </c>
      <c r="D3001">
        <v>3966.7</v>
      </c>
      <c r="E3001">
        <v>0</v>
      </c>
      <c r="F3001">
        <v>37516.699999999997</v>
      </c>
      <c r="G3001">
        <v>610</v>
      </c>
    </row>
    <row r="3002" spans="1:7" x14ac:dyDescent="0.35">
      <c r="A3002" t="s">
        <v>227</v>
      </c>
      <c r="B3002" t="s">
        <v>335</v>
      </c>
      <c r="C3002">
        <v>17717.39</v>
      </c>
      <c r="D3002">
        <v>14177.8</v>
      </c>
      <c r="E3002">
        <v>255.6</v>
      </c>
      <c r="F3002">
        <v>114386.7</v>
      </c>
      <c r="G3002">
        <v>624</v>
      </c>
    </row>
    <row r="3003" spans="1:7" x14ac:dyDescent="0.35">
      <c r="A3003" t="s">
        <v>227</v>
      </c>
      <c r="B3003" t="s">
        <v>336</v>
      </c>
      <c r="C3003">
        <v>7062.53</v>
      </c>
      <c r="D3003">
        <v>5658.3</v>
      </c>
      <c r="E3003">
        <v>27.8</v>
      </c>
      <c r="F3003">
        <v>69366.7</v>
      </c>
      <c r="G3003">
        <v>611</v>
      </c>
    </row>
    <row r="3004" spans="1:7" x14ac:dyDescent="0.35">
      <c r="A3004" t="s">
        <v>227</v>
      </c>
      <c r="B3004" t="s">
        <v>337</v>
      </c>
      <c r="C3004">
        <v>9124.35</v>
      </c>
      <c r="D3004">
        <v>7591.7</v>
      </c>
      <c r="E3004">
        <v>41.7</v>
      </c>
      <c r="F3004">
        <v>102149.5</v>
      </c>
      <c r="G3004">
        <v>598</v>
      </c>
    </row>
    <row r="3005" spans="1:7" x14ac:dyDescent="0.35">
      <c r="A3005" t="s">
        <v>228</v>
      </c>
      <c r="B3005" t="s">
        <v>228</v>
      </c>
      <c r="C3005">
        <v>10625.29</v>
      </c>
      <c r="D3005">
        <v>7296.7</v>
      </c>
      <c r="E3005">
        <v>0</v>
      </c>
      <c r="F3005">
        <v>122633.3</v>
      </c>
      <c r="G3005">
        <v>2723</v>
      </c>
    </row>
    <row r="3007" spans="1:7" x14ac:dyDescent="0.35">
      <c r="A3007" s="1" t="s">
        <v>1043</v>
      </c>
    </row>
    <row r="3008" spans="1:7" x14ac:dyDescent="0.35">
      <c r="A3008" t="s">
        <v>219</v>
      </c>
      <c r="B3008" t="s">
        <v>301</v>
      </c>
      <c r="C3008" t="s">
        <v>524</v>
      </c>
      <c r="D3008" t="s">
        <v>525</v>
      </c>
      <c r="E3008" t="s">
        <v>526</v>
      </c>
      <c r="F3008" t="s">
        <v>527</v>
      </c>
      <c r="G3008" t="s">
        <v>226</v>
      </c>
    </row>
    <row r="3009" spans="1:7" x14ac:dyDescent="0.35">
      <c r="A3009" t="s">
        <v>227</v>
      </c>
      <c r="B3009" t="s">
        <v>263</v>
      </c>
      <c r="C3009">
        <v>12166.01</v>
      </c>
      <c r="D3009">
        <v>8458.2999999999993</v>
      </c>
      <c r="E3009">
        <v>0</v>
      </c>
      <c r="F3009">
        <v>122633.3</v>
      </c>
      <c r="G3009">
        <v>570</v>
      </c>
    </row>
    <row r="3010" spans="1:7" x14ac:dyDescent="0.35">
      <c r="A3010" t="s">
        <v>227</v>
      </c>
      <c r="B3010" t="s">
        <v>262</v>
      </c>
      <c r="C3010">
        <v>10302.540000000001</v>
      </c>
      <c r="D3010">
        <v>6837</v>
      </c>
      <c r="E3010">
        <v>0</v>
      </c>
      <c r="F3010">
        <v>114386.7</v>
      </c>
      <c r="G3010">
        <v>1116</v>
      </c>
    </row>
    <row r="3011" spans="1:7" x14ac:dyDescent="0.35">
      <c r="A3011" t="s">
        <v>227</v>
      </c>
      <c r="B3011" t="s">
        <v>261</v>
      </c>
      <c r="C3011">
        <v>10127.64</v>
      </c>
      <c r="D3011">
        <v>7300</v>
      </c>
      <c r="E3011">
        <v>166.7</v>
      </c>
      <c r="F3011">
        <v>92200</v>
      </c>
      <c r="G3011">
        <v>1035</v>
      </c>
    </row>
    <row r="3012" spans="1:7" x14ac:dyDescent="0.35">
      <c r="A3012" s="3" t="s">
        <v>227</v>
      </c>
      <c r="B3012" s="3" t="s">
        <v>232</v>
      </c>
      <c r="C3012" s="5">
        <v>18994.169999999998</v>
      </c>
      <c r="D3012" s="5">
        <v>9718.2999999999993</v>
      </c>
      <c r="E3012" s="5">
        <v>9718.2999999999993</v>
      </c>
      <c r="F3012" s="5">
        <v>28270</v>
      </c>
      <c r="G3012" s="5">
        <v>2</v>
      </c>
    </row>
    <row r="3013" spans="1:7" x14ac:dyDescent="0.35">
      <c r="A3013" t="s">
        <v>228</v>
      </c>
      <c r="B3013" t="s">
        <v>228</v>
      </c>
      <c r="C3013">
        <v>10625.29</v>
      </c>
      <c r="D3013">
        <v>7296.7</v>
      </c>
      <c r="E3013">
        <v>0</v>
      </c>
      <c r="F3013">
        <v>122633.3</v>
      </c>
      <c r="G3013">
        <v>2723</v>
      </c>
    </row>
    <row r="3015" spans="1:7" x14ac:dyDescent="0.35">
      <c r="A3015" s="1" t="s">
        <v>1044</v>
      </c>
    </row>
    <row r="3016" spans="1:7" x14ac:dyDescent="0.35">
      <c r="A3016" t="s">
        <v>219</v>
      </c>
      <c r="B3016" t="s">
        <v>301</v>
      </c>
      <c r="C3016" t="s">
        <v>524</v>
      </c>
      <c r="D3016" t="s">
        <v>525</v>
      </c>
      <c r="E3016" t="s">
        <v>526</v>
      </c>
      <c r="F3016" t="s">
        <v>527</v>
      </c>
      <c r="G3016" t="s">
        <v>226</v>
      </c>
    </row>
    <row r="3017" spans="1:7" x14ac:dyDescent="0.35">
      <c r="A3017" t="s">
        <v>227</v>
      </c>
      <c r="B3017" t="s">
        <v>248</v>
      </c>
      <c r="C3017">
        <v>7338.49</v>
      </c>
      <c r="D3017">
        <v>5660</v>
      </c>
      <c r="E3017">
        <v>0</v>
      </c>
      <c r="F3017">
        <v>69366.7</v>
      </c>
      <c r="G3017">
        <v>766</v>
      </c>
    </row>
    <row r="3018" spans="1:7" x14ac:dyDescent="0.35">
      <c r="A3018" t="s">
        <v>227</v>
      </c>
      <c r="B3018" t="s">
        <v>249</v>
      </c>
      <c r="C3018">
        <v>8412.3799999999992</v>
      </c>
      <c r="D3018">
        <v>6147</v>
      </c>
      <c r="E3018">
        <v>100</v>
      </c>
      <c r="F3018">
        <v>102149.5</v>
      </c>
      <c r="G3018">
        <v>524</v>
      </c>
    </row>
    <row r="3019" spans="1:7" x14ac:dyDescent="0.35">
      <c r="A3019" t="s">
        <v>227</v>
      </c>
      <c r="B3019" t="s">
        <v>247</v>
      </c>
      <c r="C3019">
        <v>13130.16</v>
      </c>
      <c r="D3019">
        <v>9333.2999999999993</v>
      </c>
      <c r="E3019">
        <v>27.8</v>
      </c>
      <c r="F3019">
        <v>122633.3</v>
      </c>
      <c r="G3019">
        <v>1433</v>
      </c>
    </row>
    <row r="3020" spans="1:7" x14ac:dyDescent="0.35">
      <c r="A3020" t="s">
        <v>228</v>
      </c>
      <c r="B3020" t="s">
        <v>228</v>
      </c>
      <c r="C3020">
        <v>10625.29</v>
      </c>
      <c r="D3020">
        <v>7296.7</v>
      </c>
      <c r="E3020">
        <v>0</v>
      </c>
      <c r="F3020">
        <v>122633.3</v>
      </c>
      <c r="G3020">
        <v>2723</v>
      </c>
    </row>
    <row r="3022" spans="1:7" x14ac:dyDescent="0.35">
      <c r="A3022" s="1" t="s">
        <v>1045</v>
      </c>
    </row>
    <row r="3023" spans="1:7" x14ac:dyDescent="0.35">
      <c r="A3023" t="s">
        <v>219</v>
      </c>
      <c r="B3023" t="s">
        <v>301</v>
      </c>
      <c r="C3023" t="s">
        <v>524</v>
      </c>
      <c r="D3023" t="s">
        <v>525</v>
      </c>
      <c r="E3023" t="s">
        <v>526</v>
      </c>
      <c r="F3023" t="s">
        <v>527</v>
      </c>
      <c r="G3023" t="s">
        <v>226</v>
      </c>
    </row>
    <row r="3024" spans="1:7" x14ac:dyDescent="0.35">
      <c r="A3024" t="s">
        <v>227</v>
      </c>
      <c r="B3024" t="s">
        <v>245</v>
      </c>
      <c r="C3024">
        <v>9665.09</v>
      </c>
      <c r="D3024">
        <v>6875</v>
      </c>
      <c r="E3024">
        <v>27.8</v>
      </c>
      <c r="F3024">
        <v>122633.3</v>
      </c>
      <c r="G3024">
        <v>756</v>
      </c>
    </row>
    <row r="3025" spans="1:7" x14ac:dyDescent="0.35">
      <c r="A3025" t="s">
        <v>227</v>
      </c>
      <c r="B3025" t="s">
        <v>244</v>
      </c>
      <c r="C3025">
        <v>11005.05</v>
      </c>
      <c r="D3025">
        <v>7433.3</v>
      </c>
      <c r="E3025">
        <v>0</v>
      </c>
      <c r="F3025">
        <v>114386.7</v>
      </c>
      <c r="G3025">
        <v>1967</v>
      </c>
    </row>
    <row r="3026" spans="1:7" x14ac:dyDescent="0.35">
      <c r="A3026" t="s">
        <v>228</v>
      </c>
      <c r="B3026" t="s">
        <v>228</v>
      </c>
      <c r="C3026">
        <v>10625.29</v>
      </c>
      <c r="D3026">
        <v>7296.7</v>
      </c>
      <c r="E3026">
        <v>0</v>
      </c>
      <c r="F3026">
        <v>122633.3</v>
      </c>
      <c r="G3026">
        <v>2723</v>
      </c>
    </row>
    <row r="3028" spans="1:7" x14ac:dyDescent="0.35">
      <c r="A3028" s="1" t="s">
        <v>1046</v>
      </c>
    </row>
    <row r="3029" spans="1:7" x14ac:dyDescent="0.35">
      <c r="A3029" t="s">
        <v>219</v>
      </c>
      <c r="B3029" t="s">
        <v>301</v>
      </c>
      <c r="C3029" t="s">
        <v>524</v>
      </c>
      <c r="D3029" t="s">
        <v>525</v>
      </c>
      <c r="E3029" t="s">
        <v>526</v>
      </c>
      <c r="F3029" t="s">
        <v>527</v>
      </c>
      <c r="G3029" t="s">
        <v>226</v>
      </c>
    </row>
    <row r="3030" spans="1:7" x14ac:dyDescent="0.35">
      <c r="A3030" t="s">
        <v>227</v>
      </c>
      <c r="B3030" t="s">
        <v>259</v>
      </c>
      <c r="C3030">
        <v>15004.59</v>
      </c>
      <c r="D3030">
        <v>7161.1</v>
      </c>
      <c r="E3030">
        <v>800</v>
      </c>
      <c r="F3030">
        <v>102149.5</v>
      </c>
      <c r="G3030">
        <v>68</v>
      </c>
    </row>
    <row r="3031" spans="1:7" x14ac:dyDescent="0.35">
      <c r="A3031" t="s">
        <v>227</v>
      </c>
      <c r="B3031" t="s">
        <v>257</v>
      </c>
      <c r="C3031">
        <v>10102.120000000001</v>
      </c>
      <c r="D3031">
        <v>7444.4</v>
      </c>
      <c r="E3031">
        <v>27.8</v>
      </c>
      <c r="F3031">
        <v>68666.7</v>
      </c>
      <c r="G3031">
        <v>391</v>
      </c>
    </row>
    <row r="3032" spans="1:7" x14ac:dyDescent="0.35">
      <c r="A3032" t="s">
        <v>227</v>
      </c>
      <c r="B3032" t="s">
        <v>256</v>
      </c>
      <c r="C3032">
        <v>10168.76</v>
      </c>
      <c r="D3032">
        <v>6808.3</v>
      </c>
      <c r="E3032">
        <v>0</v>
      </c>
      <c r="F3032">
        <v>114386.7</v>
      </c>
      <c r="G3032">
        <v>1743</v>
      </c>
    </row>
    <row r="3033" spans="1:7" x14ac:dyDescent="0.35">
      <c r="A3033" s="3" t="s">
        <v>227</v>
      </c>
      <c r="B3033" s="3" t="s">
        <v>232</v>
      </c>
      <c r="C3033" s="5">
        <v>8023.37</v>
      </c>
      <c r="D3033" s="5">
        <v>9650</v>
      </c>
      <c r="E3033" s="5">
        <v>1470</v>
      </c>
      <c r="F3033" s="5">
        <v>11091.7</v>
      </c>
      <c r="G3033" s="5">
        <v>8</v>
      </c>
    </row>
    <row r="3034" spans="1:7" x14ac:dyDescent="0.35">
      <c r="A3034" t="s">
        <v>227</v>
      </c>
      <c r="B3034" t="s">
        <v>258</v>
      </c>
      <c r="C3034">
        <v>12816.89</v>
      </c>
      <c r="D3034">
        <v>10133.299999999999</v>
      </c>
      <c r="E3034">
        <v>240</v>
      </c>
      <c r="F3034">
        <v>122633.3</v>
      </c>
      <c r="G3034">
        <v>513</v>
      </c>
    </row>
    <row r="3035" spans="1:7" x14ac:dyDescent="0.35">
      <c r="A3035" t="s">
        <v>228</v>
      </c>
      <c r="B3035" t="s">
        <v>228</v>
      </c>
      <c r="C3035">
        <v>10625.29</v>
      </c>
      <c r="D3035">
        <v>7296.7</v>
      </c>
      <c r="E3035">
        <v>0</v>
      </c>
      <c r="F3035">
        <v>122633.3</v>
      </c>
      <c r="G3035">
        <v>2723</v>
      </c>
    </row>
    <row r="3037" spans="1:7" x14ac:dyDescent="0.35">
      <c r="A3037" s="1" t="s">
        <v>1047</v>
      </c>
    </row>
    <row r="3038" spans="1:7" x14ac:dyDescent="0.35">
      <c r="A3038" t="s">
        <v>219</v>
      </c>
      <c r="B3038" t="s">
        <v>301</v>
      </c>
      <c r="C3038" t="s">
        <v>524</v>
      </c>
      <c r="D3038" t="s">
        <v>525</v>
      </c>
      <c r="E3038" t="s">
        <v>526</v>
      </c>
      <c r="F3038" t="s">
        <v>527</v>
      </c>
      <c r="G3038" t="s">
        <v>226</v>
      </c>
    </row>
    <row r="3039" spans="1:7" x14ac:dyDescent="0.35">
      <c r="A3039" t="s">
        <v>227</v>
      </c>
      <c r="B3039" t="s">
        <v>343</v>
      </c>
      <c r="C3039">
        <v>10102.120000000001</v>
      </c>
      <c r="D3039">
        <v>7444.4</v>
      </c>
      <c r="E3039">
        <v>27.8</v>
      </c>
      <c r="F3039">
        <v>68666.7</v>
      </c>
      <c r="G3039">
        <v>391</v>
      </c>
    </row>
    <row r="3040" spans="1:7" x14ac:dyDescent="0.35">
      <c r="A3040" t="s">
        <v>227</v>
      </c>
      <c r="B3040" t="s">
        <v>344</v>
      </c>
      <c r="C3040">
        <v>10731.25</v>
      </c>
      <c r="D3040">
        <v>7250</v>
      </c>
      <c r="E3040">
        <v>0</v>
      </c>
      <c r="F3040">
        <v>122633.3</v>
      </c>
      <c r="G3040">
        <v>2332</v>
      </c>
    </row>
    <row r="3041" spans="1:7" x14ac:dyDescent="0.35">
      <c r="A3041" t="s">
        <v>228</v>
      </c>
      <c r="B3041" t="s">
        <v>228</v>
      </c>
      <c r="C3041">
        <v>10625.29</v>
      </c>
      <c r="D3041">
        <v>7296.7</v>
      </c>
      <c r="E3041">
        <v>0</v>
      </c>
      <c r="F3041">
        <v>122633.3</v>
      </c>
      <c r="G3041">
        <v>2723</v>
      </c>
    </row>
    <row r="3043" spans="1:7" x14ac:dyDescent="0.35">
      <c r="A3043" s="1" t="s">
        <v>1048</v>
      </c>
    </row>
    <row r="3044" spans="1:7" x14ac:dyDescent="0.35">
      <c r="A3044" t="s">
        <v>219</v>
      </c>
      <c r="B3044" t="s">
        <v>301</v>
      </c>
      <c r="C3044" t="s">
        <v>524</v>
      </c>
      <c r="D3044" t="s">
        <v>525</v>
      </c>
      <c r="E3044" t="s">
        <v>526</v>
      </c>
      <c r="F3044" t="s">
        <v>527</v>
      </c>
      <c r="G3044" t="s">
        <v>226</v>
      </c>
    </row>
    <row r="3045" spans="1:7" x14ac:dyDescent="0.35">
      <c r="A3045" t="s">
        <v>227</v>
      </c>
      <c r="B3045" t="s">
        <v>346</v>
      </c>
      <c r="C3045">
        <v>10936.91</v>
      </c>
      <c r="D3045">
        <v>7400</v>
      </c>
      <c r="E3045">
        <v>0</v>
      </c>
      <c r="F3045">
        <v>122633.3</v>
      </c>
      <c r="G3045">
        <v>1422</v>
      </c>
    </row>
    <row r="3046" spans="1:7" x14ac:dyDescent="0.35">
      <c r="A3046" t="s">
        <v>227</v>
      </c>
      <c r="B3046" t="s">
        <v>347</v>
      </c>
      <c r="C3046">
        <v>7602.64</v>
      </c>
      <c r="D3046">
        <v>5641.5</v>
      </c>
      <c r="E3046">
        <v>0</v>
      </c>
      <c r="F3046">
        <v>67388.899999999994</v>
      </c>
      <c r="G3046">
        <v>562</v>
      </c>
    </row>
    <row r="3047" spans="1:7" x14ac:dyDescent="0.35">
      <c r="A3047" t="s">
        <v>227</v>
      </c>
      <c r="B3047" t="s">
        <v>348</v>
      </c>
      <c r="C3047">
        <v>8872.57</v>
      </c>
      <c r="D3047">
        <v>6633.3</v>
      </c>
      <c r="E3047">
        <v>100</v>
      </c>
      <c r="F3047">
        <v>114386.7</v>
      </c>
      <c r="G3047">
        <v>739</v>
      </c>
    </row>
    <row r="3048" spans="1:7" x14ac:dyDescent="0.35">
      <c r="A3048" t="s">
        <v>228</v>
      </c>
      <c r="B3048" t="s">
        <v>228</v>
      </c>
      <c r="C3048">
        <v>10625.29</v>
      </c>
      <c r="D3048">
        <v>7296.7</v>
      </c>
      <c r="E3048">
        <v>0</v>
      </c>
      <c r="F3048">
        <v>122633.3</v>
      </c>
      <c r="G3048">
        <v>2723</v>
      </c>
    </row>
    <row r="3050" spans="1:7" x14ac:dyDescent="0.35">
      <c r="A3050" s="1" t="s">
        <v>1049</v>
      </c>
    </row>
    <row r="3051" spans="1:7" x14ac:dyDescent="0.35">
      <c r="A3051" t="s">
        <v>219</v>
      </c>
      <c r="B3051" t="s">
        <v>301</v>
      </c>
      <c r="C3051" t="s">
        <v>524</v>
      </c>
      <c r="D3051" t="s">
        <v>525</v>
      </c>
      <c r="E3051" t="s">
        <v>526</v>
      </c>
      <c r="F3051" t="s">
        <v>527</v>
      </c>
      <c r="G3051" t="s">
        <v>226</v>
      </c>
    </row>
    <row r="3052" spans="1:7" x14ac:dyDescent="0.35">
      <c r="A3052" t="s">
        <v>227</v>
      </c>
      <c r="B3052" t="s">
        <v>251</v>
      </c>
      <c r="C3052">
        <v>11005.05</v>
      </c>
      <c r="D3052">
        <v>7433.3</v>
      </c>
      <c r="E3052">
        <v>0</v>
      </c>
      <c r="F3052">
        <v>114386.7</v>
      </c>
      <c r="G3052">
        <v>1967</v>
      </c>
    </row>
    <row r="3053" spans="1:7" x14ac:dyDescent="0.35">
      <c r="A3053" t="s">
        <v>227</v>
      </c>
      <c r="B3053" t="s">
        <v>252</v>
      </c>
      <c r="C3053">
        <v>9969.34</v>
      </c>
      <c r="D3053">
        <v>6900</v>
      </c>
      <c r="E3053">
        <v>116.7</v>
      </c>
      <c r="F3053">
        <v>122633.3</v>
      </c>
      <c r="G3053">
        <v>599</v>
      </c>
    </row>
    <row r="3054" spans="1:7" x14ac:dyDescent="0.35">
      <c r="A3054" t="s">
        <v>227</v>
      </c>
      <c r="B3054" t="s">
        <v>253</v>
      </c>
      <c r="C3054">
        <v>8245.4699999999993</v>
      </c>
      <c r="D3054">
        <v>6833.3</v>
      </c>
      <c r="E3054">
        <v>27.8</v>
      </c>
      <c r="F3054">
        <v>41500</v>
      </c>
      <c r="G3054">
        <v>149</v>
      </c>
    </row>
    <row r="3055" spans="1:7" x14ac:dyDescent="0.35">
      <c r="A3055" s="3" t="s">
        <v>227</v>
      </c>
      <c r="B3055" s="3" t="s">
        <v>254</v>
      </c>
      <c r="C3055" s="5">
        <v>12635.36</v>
      </c>
      <c r="D3055" s="5">
        <v>13050</v>
      </c>
      <c r="E3055" s="5">
        <v>4050</v>
      </c>
      <c r="F3055" s="5">
        <v>22166.7</v>
      </c>
      <c r="G3055" s="5">
        <v>8</v>
      </c>
    </row>
    <row r="3056" spans="1:7" x14ac:dyDescent="0.35">
      <c r="A3056" t="s">
        <v>228</v>
      </c>
      <c r="B3056" t="s">
        <v>228</v>
      </c>
      <c r="C3056">
        <v>10625.29</v>
      </c>
      <c r="D3056">
        <v>7296.7</v>
      </c>
      <c r="E3056">
        <v>0</v>
      </c>
      <c r="F3056">
        <v>122633.3</v>
      </c>
      <c r="G3056">
        <v>2723</v>
      </c>
    </row>
    <row r="3058" spans="1:17" x14ac:dyDescent="0.35">
      <c r="A3058" s="1" t="s">
        <v>1050</v>
      </c>
    </row>
    <row r="3059" spans="1:17" x14ac:dyDescent="0.35">
      <c r="A3059" t="s">
        <v>219</v>
      </c>
      <c r="B3059" t="s">
        <v>540</v>
      </c>
      <c r="C3059" t="s">
        <v>1051</v>
      </c>
      <c r="D3059" t="s">
        <v>1052</v>
      </c>
      <c r="E3059" t="s">
        <v>1053</v>
      </c>
      <c r="F3059" t="s">
        <v>1054</v>
      </c>
      <c r="G3059" t="s">
        <v>1055</v>
      </c>
      <c r="H3059" t="s">
        <v>1056</v>
      </c>
      <c r="I3059" t="s">
        <v>1057</v>
      </c>
      <c r="J3059" t="s">
        <v>1058</v>
      </c>
      <c r="K3059" t="s">
        <v>1059</v>
      </c>
      <c r="L3059" t="s">
        <v>277</v>
      </c>
      <c r="M3059" t="s">
        <v>1060</v>
      </c>
      <c r="N3059" t="s">
        <v>318</v>
      </c>
      <c r="O3059" t="s">
        <v>282</v>
      </c>
      <c r="P3059" t="s">
        <v>226</v>
      </c>
    </row>
    <row r="3060" spans="1:17" x14ac:dyDescent="0.35">
      <c r="A3060" t="s">
        <v>227</v>
      </c>
      <c r="B3060" s="2">
        <v>0.7006</v>
      </c>
      <c r="C3060" s="2">
        <v>0.128</v>
      </c>
      <c r="D3060" s="2">
        <v>0.1031</v>
      </c>
      <c r="E3060" s="2">
        <v>0.10249999999999999</v>
      </c>
      <c r="F3060" s="2">
        <v>7.0099999999999996E-2</v>
      </c>
      <c r="G3060" s="2">
        <v>6.1899999999999997E-2</v>
      </c>
      <c r="H3060" s="2">
        <v>5.4199999999999998E-2</v>
      </c>
      <c r="I3060" s="2">
        <v>5.4100000000000002E-2</v>
      </c>
      <c r="J3060" s="2">
        <v>4.9599999999999998E-2</v>
      </c>
      <c r="K3060" s="2">
        <v>4.0099999999999997E-2</v>
      </c>
      <c r="L3060" s="2">
        <v>1.23E-2</v>
      </c>
      <c r="M3060" s="2">
        <v>6.4000000000000003E-3</v>
      </c>
      <c r="N3060" s="2">
        <v>2E-3</v>
      </c>
      <c r="O3060" s="2">
        <v>1.8E-3</v>
      </c>
      <c r="P3060">
        <v>2795</v>
      </c>
    </row>
    <row r="3061" spans="1:17" x14ac:dyDescent="0.35">
      <c r="A3061" t="s">
        <v>228</v>
      </c>
      <c r="B3061" s="2">
        <v>0.7006</v>
      </c>
      <c r="C3061" s="2">
        <v>0.128</v>
      </c>
      <c r="D3061" s="2">
        <v>0.1031</v>
      </c>
      <c r="E3061" s="2">
        <v>0.10249999999999999</v>
      </c>
      <c r="F3061" s="2">
        <v>7.0099999999999996E-2</v>
      </c>
      <c r="G3061" s="2">
        <v>6.1899999999999997E-2</v>
      </c>
      <c r="H3061" s="2">
        <v>5.4199999999999998E-2</v>
      </c>
      <c r="I3061" s="2">
        <v>5.4100000000000002E-2</v>
      </c>
      <c r="J3061" s="2">
        <v>4.9599999999999998E-2</v>
      </c>
      <c r="K3061" s="2">
        <v>4.0099999999999997E-2</v>
      </c>
      <c r="L3061" s="2">
        <v>1.23E-2</v>
      </c>
      <c r="M3061" s="2">
        <v>6.4000000000000003E-3</v>
      </c>
      <c r="N3061" s="2">
        <v>2E-3</v>
      </c>
      <c r="O3061" s="2">
        <v>1.8E-3</v>
      </c>
      <c r="P3061">
        <v>2795</v>
      </c>
    </row>
    <row r="3063" spans="1:17" x14ac:dyDescent="0.35">
      <c r="A3063" s="1" t="s">
        <v>1061</v>
      </c>
    </row>
    <row r="3064" spans="1:17" x14ac:dyDescent="0.35">
      <c r="A3064" t="s">
        <v>219</v>
      </c>
      <c r="B3064" t="s">
        <v>301</v>
      </c>
      <c r="C3064" t="s">
        <v>540</v>
      </c>
      <c r="D3064" t="s">
        <v>1051</v>
      </c>
      <c r="E3064" t="s">
        <v>1052</v>
      </c>
      <c r="F3064" t="s">
        <v>1053</v>
      </c>
      <c r="G3064" t="s">
        <v>1054</v>
      </c>
      <c r="H3064" t="s">
        <v>1055</v>
      </c>
      <c r="I3064" t="s">
        <v>1056</v>
      </c>
      <c r="J3064" t="s">
        <v>1057</v>
      </c>
      <c r="K3064" t="s">
        <v>1058</v>
      </c>
      <c r="L3064" t="s">
        <v>1059</v>
      </c>
      <c r="M3064" t="s">
        <v>277</v>
      </c>
      <c r="N3064" t="s">
        <v>1060</v>
      </c>
      <c r="O3064" t="s">
        <v>318</v>
      </c>
      <c r="P3064" t="s">
        <v>282</v>
      </c>
      <c r="Q3064" t="s">
        <v>226</v>
      </c>
    </row>
    <row r="3065" spans="1:17" x14ac:dyDescent="0.35">
      <c r="A3065" t="s">
        <v>227</v>
      </c>
      <c r="B3065" t="s">
        <v>238</v>
      </c>
      <c r="C3065" s="2">
        <v>0.58179999999999998</v>
      </c>
      <c r="D3065" s="2">
        <v>0.19089999999999999</v>
      </c>
      <c r="E3065" s="2">
        <v>0.16139999999999999</v>
      </c>
      <c r="F3065" s="2">
        <v>0.1762</v>
      </c>
      <c r="G3065" s="2">
        <v>9.4100000000000003E-2</v>
      </c>
      <c r="H3065" s="2">
        <v>9.5899999999999999E-2</v>
      </c>
      <c r="I3065" s="2">
        <v>9.5500000000000002E-2</v>
      </c>
      <c r="J3065" s="2">
        <v>7.1599999999999997E-2</v>
      </c>
      <c r="K3065" s="2">
        <v>5.9499999999999997E-2</v>
      </c>
      <c r="L3065" s="2">
        <v>6.9400000000000003E-2</v>
      </c>
      <c r="M3065" s="2">
        <v>1.2E-2</v>
      </c>
      <c r="N3065" s="2">
        <v>4.4999999999999997E-3</v>
      </c>
      <c r="O3065" s="2">
        <v>1.6999999999999999E-3</v>
      </c>
      <c r="P3065" s="2">
        <v>5.0000000000000001E-4</v>
      </c>
      <c r="Q3065">
        <v>995</v>
      </c>
    </row>
    <row r="3066" spans="1:17" x14ac:dyDescent="0.35">
      <c r="A3066" t="s">
        <v>227</v>
      </c>
      <c r="B3066" t="s">
        <v>237</v>
      </c>
      <c r="C3066" s="2">
        <v>0.76900000000000002</v>
      </c>
      <c r="D3066" s="2">
        <v>9.1800000000000007E-2</v>
      </c>
      <c r="E3066" s="2">
        <v>6.9599999999999995E-2</v>
      </c>
      <c r="F3066" s="2">
        <v>6.0199999999999997E-2</v>
      </c>
      <c r="G3066" s="2">
        <v>5.6300000000000003E-2</v>
      </c>
      <c r="H3066" s="2">
        <v>4.24E-2</v>
      </c>
      <c r="I3066" s="2">
        <v>3.04E-2</v>
      </c>
      <c r="J3066" s="2">
        <v>4.3999999999999997E-2</v>
      </c>
      <c r="K3066" s="2">
        <v>4.3799999999999999E-2</v>
      </c>
      <c r="L3066" s="2">
        <v>2.3300000000000001E-2</v>
      </c>
      <c r="M3066" s="2">
        <v>1.2500000000000001E-2</v>
      </c>
      <c r="N3066" s="2">
        <v>7.6E-3</v>
      </c>
      <c r="O3066" s="2">
        <v>2.2000000000000001E-3</v>
      </c>
      <c r="P3066" s="2">
        <v>2.5000000000000001E-3</v>
      </c>
      <c r="Q3066">
        <v>1800</v>
      </c>
    </row>
    <row r="3067" spans="1:17" x14ac:dyDescent="0.35">
      <c r="A3067" t="s">
        <v>228</v>
      </c>
      <c r="B3067" t="s">
        <v>228</v>
      </c>
      <c r="C3067" s="2">
        <v>0.7006</v>
      </c>
      <c r="D3067" s="2">
        <v>0.128</v>
      </c>
      <c r="E3067" s="2">
        <v>0.1031</v>
      </c>
      <c r="F3067" s="2">
        <v>0.10249999999999999</v>
      </c>
      <c r="G3067" s="2">
        <v>7.0099999999999996E-2</v>
      </c>
      <c r="H3067" s="2">
        <v>6.1899999999999997E-2</v>
      </c>
      <c r="I3067" s="2">
        <v>5.4199999999999998E-2</v>
      </c>
      <c r="J3067" s="2">
        <v>5.4100000000000002E-2</v>
      </c>
      <c r="K3067" s="2">
        <v>4.9599999999999998E-2</v>
      </c>
      <c r="L3067" s="2">
        <v>4.0099999999999997E-2</v>
      </c>
      <c r="M3067" s="2">
        <v>1.23E-2</v>
      </c>
      <c r="N3067" s="2">
        <v>6.4000000000000003E-3</v>
      </c>
      <c r="O3067" s="2">
        <v>2E-3</v>
      </c>
      <c r="P3067" s="2">
        <v>1.8E-3</v>
      </c>
      <c r="Q3067">
        <v>2795</v>
      </c>
    </row>
    <row r="3069" spans="1:17" x14ac:dyDescent="0.35">
      <c r="A3069" s="1" t="s">
        <v>1062</v>
      </c>
    </row>
    <row r="3070" spans="1:17" x14ac:dyDescent="0.35">
      <c r="A3070" t="s">
        <v>219</v>
      </c>
      <c r="B3070" t="s">
        <v>301</v>
      </c>
      <c r="C3070" t="s">
        <v>540</v>
      </c>
      <c r="D3070" t="s">
        <v>1051</v>
      </c>
      <c r="E3070" t="s">
        <v>1052</v>
      </c>
      <c r="F3070" t="s">
        <v>1053</v>
      </c>
      <c r="G3070" t="s">
        <v>1054</v>
      </c>
      <c r="H3070" t="s">
        <v>1055</v>
      </c>
      <c r="I3070" t="s">
        <v>1056</v>
      </c>
      <c r="J3070" t="s">
        <v>1057</v>
      </c>
      <c r="K3070" t="s">
        <v>1058</v>
      </c>
      <c r="L3070" t="s">
        <v>1059</v>
      </c>
      <c r="M3070" t="s">
        <v>277</v>
      </c>
      <c r="N3070" t="s">
        <v>1060</v>
      </c>
      <c r="O3070" t="s">
        <v>318</v>
      </c>
      <c r="P3070" t="s">
        <v>282</v>
      </c>
      <c r="Q3070" t="s">
        <v>226</v>
      </c>
    </row>
    <row r="3071" spans="1:17" x14ac:dyDescent="0.35">
      <c r="A3071" t="s">
        <v>227</v>
      </c>
      <c r="B3071" t="s">
        <v>235</v>
      </c>
      <c r="C3071" s="2">
        <v>0.66169999999999995</v>
      </c>
      <c r="D3071" s="2">
        <v>0.13489999999999999</v>
      </c>
      <c r="E3071" s="2">
        <v>0.1019</v>
      </c>
      <c r="F3071" s="2">
        <v>0.12089999999999999</v>
      </c>
      <c r="G3071" s="2">
        <v>0.16120000000000001</v>
      </c>
      <c r="H3071" s="2">
        <v>6.5199999999999994E-2</v>
      </c>
      <c r="I3071" s="2">
        <v>6.2399999999999997E-2</v>
      </c>
      <c r="J3071" s="2">
        <v>5.9900000000000002E-2</v>
      </c>
      <c r="K3071" s="2">
        <v>4.2700000000000002E-2</v>
      </c>
      <c r="L3071" s="2">
        <v>5.21E-2</v>
      </c>
      <c r="M3071" s="2">
        <v>1.6799999999999999E-2</v>
      </c>
      <c r="N3071" s="2">
        <v>1.2800000000000001E-2</v>
      </c>
      <c r="P3071" s="2">
        <v>2.0000000000000001E-4</v>
      </c>
      <c r="Q3071">
        <v>988</v>
      </c>
    </row>
    <row r="3072" spans="1:17" x14ac:dyDescent="0.35">
      <c r="A3072" t="s">
        <v>227</v>
      </c>
      <c r="B3072" t="s">
        <v>234</v>
      </c>
      <c r="C3072" s="2">
        <v>0.71679999999999999</v>
      </c>
      <c r="D3072" s="2">
        <v>0.12509999999999999</v>
      </c>
      <c r="E3072" s="2">
        <v>0.1036</v>
      </c>
      <c r="F3072" s="2">
        <v>9.4899999999999998E-2</v>
      </c>
      <c r="G3072" s="2">
        <v>3.2199999999999999E-2</v>
      </c>
      <c r="H3072" s="2">
        <v>6.0600000000000001E-2</v>
      </c>
      <c r="I3072" s="2">
        <v>5.0799999999999998E-2</v>
      </c>
      <c r="J3072" s="2">
        <v>5.16E-2</v>
      </c>
      <c r="K3072" s="2">
        <v>5.2400000000000002E-2</v>
      </c>
      <c r="L3072" s="2">
        <v>3.5200000000000002E-2</v>
      </c>
      <c r="M3072" s="2">
        <v>1.04E-2</v>
      </c>
      <c r="N3072" s="2">
        <v>3.8E-3</v>
      </c>
      <c r="O3072" s="2">
        <v>2.8E-3</v>
      </c>
      <c r="P3072" s="2">
        <v>2.3999999999999998E-3</v>
      </c>
      <c r="Q3072">
        <v>1807</v>
      </c>
    </row>
    <row r="3073" spans="1:17" x14ac:dyDescent="0.35">
      <c r="A3073" t="s">
        <v>228</v>
      </c>
      <c r="B3073" t="s">
        <v>228</v>
      </c>
      <c r="C3073" s="2">
        <v>0.7006</v>
      </c>
      <c r="D3073" s="2">
        <v>0.128</v>
      </c>
      <c r="E3073" s="2">
        <v>0.1031</v>
      </c>
      <c r="F3073" s="2">
        <v>0.10249999999999999</v>
      </c>
      <c r="G3073" s="2">
        <v>7.0099999999999996E-2</v>
      </c>
      <c r="H3073" s="2">
        <v>6.1899999999999997E-2</v>
      </c>
      <c r="I3073" s="2">
        <v>5.4199999999999998E-2</v>
      </c>
      <c r="J3073" s="2">
        <v>5.4100000000000002E-2</v>
      </c>
      <c r="K3073" s="2">
        <v>4.9599999999999998E-2</v>
      </c>
      <c r="L3073" s="2">
        <v>4.0099999999999997E-2</v>
      </c>
      <c r="M3073" s="2">
        <v>1.23E-2</v>
      </c>
      <c r="N3073" s="2">
        <v>6.4000000000000003E-3</v>
      </c>
      <c r="O3073" s="2">
        <v>2E-3</v>
      </c>
      <c r="P3073" s="2">
        <v>1.8E-3</v>
      </c>
      <c r="Q3073">
        <v>2795</v>
      </c>
    </row>
    <row r="3075" spans="1:17" x14ac:dyDescent="0.35">
      <c r="A3075" s="1" t="s">
        <v>1063</v>
      </c>
    </row>
    <row r="3076" spans="1:17" x14ac:dyDescent="0.35">
      <c r="A3076" t="s">
        <v>219</v>
      </c>
      <c r="B3076" t="s">
        <v>301</v>
      </c>
      <c r="C3076" t="s">
        <v>540</v>
      </c>
      <c r="D3076" t="s">
        <v>1051</v>
      </c>
      <c r="E3076" t="s">
        <v>1052</v>
      </c>
      <c r="F3076" t="s">
        <v>1053</v>
      </c>
      <c r="G3076" t="s">
        <v>1054</v>
      </c>
      <c r="H3076" t="s">
        <v>1055</v>
      </c>
      <c r="I3076" t="s">
        <v>1056</v>
      </c>
      <c r="J3076" t="s">
        <v>1057</v>
      </c>
      <c r="K3076" t="s">
        <v>1058</v>
      </c>
      <c r="L3076" t="s">
        <v>1059</v>
      </c>
      <c r="M3076" t="s">
        <v>277</v>
      </c>
      <c r="N3076" t="s">
        <v>1060</v>
      </c>
      <c r="O3076" t="s">
        <v>318</v>
      </c>
      <c r="P3076" t="s">
        <v>282</v>
      </c>
      <c r="Q3076" t="s">
        <v>226</v>
      </c>
    </row>
    <row r="3077" spans="1:17" x14ac:dyDescent="0.35">
      <c r="A3077" t="s">
        <v>227</v>
      </c>
      <c r="B3077" t="s">
        <v>240</v>
      </c>
      <c r="C3077" s="2">
        <v>0.71350000000000002</v>
      </c>
      <c r="D3077" s="2">
        <v>0.124</v>
      </c>
      <c r="E3077" s="2">
        <v>0.1014</v>
      </c>
      <c r="F3077" s="2">
        <v>9.1600000000000001E-2</v>
      </c>
      <c r="G3077" s="2">
        <v>6.3700000000000007E-2</v>
      </c>
      <c r="H3077" s="2">
        <v>5.8500000000000003E-2</v>
      </c>
      <c r="I3077" s="2">
        <v>4.7E-2</v>
      </c>
      <c r="J3077" s="2">
        <v>5.6500000000000002E-2</v>
      </c>
      <c r="K3077" s="2">
        <v>5.0599999999999999E-2</v>
      </c>
      <c r="L3077" s="2">
        <v>4.2799999999999998E-2</v>
      </c>
      <c r="M3077" s="2">
        <v>1.32E-2</v>
      </c>
      <c r="N3077" s="2">
        <v>3.5000000000000001E-3</v>
      </c>
      <c r="O3077" s="2">
        <v>1.8E-3</v>
      </c>
      <c r="P3077" s="2">
        <v>2.5000000000000001E-3</v>
      </c>
      <c r="Q3077">
        <v>1743</v>
      </c>
    </row>
    <row r="3078" spans="1:17" x14ac:dyDescent="0.35">
      <c r="A3078" t="s">
        <v>227</v>
      </c>
      <c r="B3078" t="s">
        <v>241</v>
      </c>
      <c r="C3078" s="2">
        <v>0.68659999999999999</v>
      </c>
      <c r="D3078" s="2">
        <v>0.12759999999999999</v>
      </c>
      <c r="E3078" s="2">
        <v>9.2499999999999999E-2</v>
      </c>
      <c r="F3078" s="2">
        <v>0.1027</v>
      </c>
      <c r="G3078" s="2">
        <v>5.4899999999999997E-2</v>
      </c>
      <c r="H3078" s="2">
        <v>6.1600000000000002E-2</v>
      </c>
      <c r="I3078" s="2">
        <v>5.8099999999999999E-2</v>
      </c>
      <c r="J3078" s="2">
        <v>5.3999999999999999E-2</v>
      </c>
      <c r="K3078" s="2">
        <v>4.5100000000000001E-2</v>
      </c>
      <c r="L3078" s="2">
        <v>2.3599999999999999E-2</v>
      </c>
      <c r="M3078" s="2">
        <v>1.2999999999999999E-2</v>
      </c>
      <c r="N3078" s="2">
        <v>2.9999999999999997E-4</v>
      </c>
      <c r="O3078" s="2">
        <v>2.7000000000000001E-3</v>
      </c>
      <c r="P3078" s="2">
        <v>4.0000000000000002E-4</v>
      </c>
      <c r="Q3078">
        <v>886</v>
      </c>
    </row>
    <row r="3079" spans="1:17" x14ac:dyDescent="0.35">
      <c r="A3079" t="s">
        <v>227</v>
      </c>
      <c r="B3079" t="s">
        <v>242</v>
      </c>
      <c r="C3079" s="2">
        <v>0.64029999999999998</v>
      </c>
      <c r="D3079" s="2">
        <v>0.1681</v>
      </c>
      <c r="E3079" s="2">
        <v>0.16650000000000001</v>
      </c>
      <c r="F3079" s="2">
        <v>0.20599999999999999</v>
      </c>
      <c r="G3079" s="2">
        <v>0.19839999999999999</v>
      </c>
      <c r="H3079" s="2">
        <v>9.6100000000000005E-2</v>
      </c>
      <c r="I3079" s="2">
        <v>0.105</v>
      </c>
      <c r="J3079" s="2">
        <v>3.1199999999999999E-2</v>
      </c>
      <c r="K3079" s="2">
        <v>5.9700000000000003E-2</v>
      </c>
      <c r="L3079" s="2">
        <v>8.7900000000000006E-2</v>
      </c>
      <c r="N3079" s="2">
        <v>6.1600000000000002E-2</v>
      </c>
      <c r="P3079" s="2">
        <v>1.1000000000000001E-3</v>
      </c>
      <c r="Q3079">
        <v>166</v>
      </c>
    </row>
    <row r="3080" spans="1:17" x14ac:dyDescent="0.35">
      <c r="A3080" t="s">
        <v>228</v>
      </c>
      <c r="B3080" t="s">
        <v>228</v>
      </c>
      <c r="C3080" s="2">
        <v>0.7006</v>
      </c>
      <c r="D3080" s="2">
        <v>0.128</v>
      </c>
      <c r="E3080" s="2">
        <v>0.1031</v>
      </c>
      <c r="F3080" s="2">
        <v>0.10249999999999999</v>
      </c>
      <c r="G3080" s="2">
        <v>7.0099999999999996E-2</v>
      </c>
      <c r="H3080" s="2">
        <v>6.1899999999999997E-2</v>
      </c>
      <c r="I3080" s="2">
        <v>5.4199999999999998E-2</v>
      </c>
      <c r="J3080" s="2">
        <v>5.4100000000000002E-2</v>
      </c>
      <c r="K3080" s="2">
        <v>4.9599999999999998E-2</v>
      </c>
      <c r="L3080" s="2">
        <v>4.0099999999999997E-2</v>
      </c>
      <c r="M3080" s="2">
        <v>1.23E-2</v>
      </c>
      <c r="N3080" s="2">
        <v>6.4000000000000003E-3</v>
      </c>
      <c r="O3080" s="2">
        <v>2E-3</v>
      </c>
      <c r="P3080" s="2">
        <v>1.8E-3</v>
      </c>
      <c r="Q3080">
        <v>2795</v>
      </c>
    </row>
    <row r="3082" spans="1:17" x14ac:dyDescent="0.35">
      <c r="A3082" s="1" t="s">
        <v>1064</v>
      </c>
    </row>
    <row r="3083" spans="1:17" x14ac:dyDescent="0.35">
      <c r="A3083" t="s">
        <v>219</v>
      </c>
      <c r="B3083" t="s">
        <v>301</v>
      </c>
      <c r="C3083" t="s">
        <v>540</v>
      </c>
      <c r="D3083" t="s">
        <v>1051</v>
      </c>
      <c r="E3083" t="s">
        <v>1052</v>
      </c>
      <c r="F3083" t="s">
        <v>1053</v>
      </c>
      <c r="G3083" t="s">
        <v>1054</v>
      </c>
      <c r="H3083" t="s">
        <v>1055</v>
      </c>
      <c r="I3083" t="s">
        <v>1056</v>
      </c>
      <c r="J3083" t="s">
        <v>1057</v>
      </c>
      <c r="K3083" t="s">
        <v>1058</v>
      </c>
      <c r="L3083" t="s">
        <v>1059</v>
      </c>
      <c r="M3083" t="s">
        <v>277</v>
      </c>
      <c r="N3083" t="s">
        <v>1060</v>
      </c>
      <c r="O3083" t="s">
        <v>318</v>
      </c>
      <c r="P3083" t="s">
        <v>282</v>
      </c>
      <c r="Q3083" t="s">
        <v>226</v>
      </c>
    </row>
    <row r="3084" spans="1:17" x14ac:dyDescent="0.35">
      <c r="A3084" t="s">
        <v>227</v>
      </c>
      <c r="B3084" t="s">
        <v>334</v>
      </c>
      <c r="C3084" s="2">
        <v>0.56489999999999996</v>
      </c>
      <c r="D3084" s="2">
        <v>0.19</v>
      </c>
      <c r="E3084" s="2">
        <v>0.161</v>
      </c>
      <c r="F3084" s="2">
        <v>0.14940000000000001</v>
      </c>
      <c r="G3084" s="2">
        <v>0.16</v>
      </c>
      <c r="H3084" s="2">
        <v>7.5999999999999998E-2</v>
      </c>
      <c r="I3084" s="2">
        <v>9.9000000000000005E-2</v>
      </c>
      <c r="J3084" s="2">
        <v>6.8900000000000003E-2</v>
      </c>
      <c r="K3084" s="2">
        <v>7.8899999999999998E-2</v>
      </c>
      <c r="L3084" s="2">
        <v>5.3400000000000003E-2</v>
      </c>
      <c r="M3084" s="2">
        <v>2.3199999999999998E-2</v>
      </c>
      <c r="N3084" s="2">
        <v>1.8499999999999999E-2</v>
      </c>
      <c r="O3084" s="2">
        <v>2.5000000000000001E-3</v>
      </c>
      <c r="Q3084">
        <v>621</v>
      </c>
    </row>
    <row r="3085" spans="1:17" x14ac:dyDescent="0.35">
      <c r="A3085" t="s">
        <v>227</v>
      </c>
      <c r="B3085" t="s">
        <v>335</v>
      </c>
      <c r="C3085" s="2">
        <v>0.82630000000000003</v>
      </c>
      <c r="D3085" s="2">
        <v>9.35E-2</v>
      </c>
      <c r="E3085" s="2">
        <v>5.3100000000000001E-2</v>
      </c>
      <c r="F3085" s="2">
        <v>5.7000000000000002E-2</v>
      </c>
      <c r="G3085" s="2">
        <v>1.7100000000000001E-2</v>
      </c>
      <c r="H3085" s="2">
        <v>6.08E-2</v>
      </c>
      <c r="I3085" s="2">
        <v>2.3300000000000001E-2</v>
      </c>
      <c r="J3085" s="2">
        <v>2.3699999999999999E-2</v>
      </c>
      <c r="K3085" s="2">
        <v>3.0200000000000001E-2</v>
      </c>
      <c r="L3085" s="2">
        <v>1.6E-2</v>
      </c>
      <c r="M3085" s="2">
        <v>6.0000000000000001E-3</v>
      </c>
      <c r="N3085" s="2">
        <v>1.8E-3</v>
      </c>
      <c r="O3085" s="2">
        <v>2.2000000000000001E-3</v>
      </c>
      <c r="P3085" s="2">
        <v>2.8999999999999998E-3</v>
      </c>
      <c r="Q3085">
        <v>626</v>
      </c>
    </row>
    <row r="3086" spans="1:17" x14ac:dyDescent="0.35">
      <c r="A3086" t="s">
        <v>227</v>
      </c>
      <c r="B3086" t="s">
        <v>336</v>
      </c>
      <c r="C3086" s="2">
        <v>0.64439999999999997</v>
      </c>
      <c r="D3086" s="2">
        <v>0.1303</v>
      </c>
      <c r="E3086" s="2">
        <v>0.1125</v>
      </c>
      <c r="F3086" s="2">
        <v>0.1444</v>
      </c>
      <c r="G3086" s="2">
        <v>7.9100000000000004E-2</v>
      </c>
      <c r="H3086" s="2">
        <v>5.8799999999999998E-2</v>
      </c>
      <c r="I3086" s="2">
        <v>3.56E-2</v>
      </c>
      <c r="J3086" s="2">
        <v>6.4199999999999993E-2</v>
      </c>
      <c r="K3086" s="2">
        <v>2.2200000000000001E-2</v>
      </c>
      <c r="L3086" s="2">
        <v>4.5499999999999999E-2</v>
      </c>
      <c r="M3086" s="2">
        <v>1.18E-2</v>
      </c>
      <c r="N3086" s="2">
        <v>3.5000000000000001E-3</v>
      </c>
      <c r="O3086" s="2">
        <v>4.1000000000000003E-3</v>
      </c>
      <c r="P3086" s="2">
        <v>5.0000000000000001E-4</v>
      </c>
      <c r="Q3086">
        <v>614</v>
      </c>
    </row>
    <row r="3087" spans="1:17" x14ac:dyDescent="0.35">
      <c r="A3087" t="s">
        <v>227</v>
      </c>
      <c r="B3087" t="s">
        <v>337</v>
      </c>
      <c r="C3087" s="2">
        <v>0.70099999999999996</v>
      </c>
      <c r="D3087" s="2">
        <v>0.15040000000000001</v>
      </c>
      <c r="E3087" s="2">
        <v>0.1101</v>
      </c>
      <c r="F3087" s="2">
        <v>9.4600000000000004E-2</v>
      </c>
      <c r="G3087" s="2">
        <v>6.3500000000000001E-2</v>
      </c>
      <c r="H3087" s="2">
        <v>6.7900000000000002E-2</v>
      </c>
      <c r="I3087" s="2">
        <v>7.9399999999999998E-2</v>
      </c>
      <c r="J3087" s="2">
        <v>7.7799999999999994E-2</v>
      </c>
      <c r="K3087" s="2">
        <v>6.6299999999999998E-2</v>
      </c>
      <c r="L3087" s="2">
        <v>7.0800000000000002E-2</v>
      </c>
      <c r="M3087" s="2">
        <v>3.8999999999999998E-3</v>
      </c>
      <c r="N3087" s="2">
        <v>5.8999999999999999E-3</v>
      </c>
      <c r="Q3087">
        <v>600</v>
      </c>
    </row>
    <row r="3088" spans="1:17" x14ac:dyDescent="0.35">
      <c r="A3088" t="s">
        <v>228</v>
      </c>
      <c r="B3088" t="s">
        <v>228</v>
      </c>
      <c r="C3088" s="2">
        <v>0.7006</v>
      </c>
      <c r="D3088" s="2">
        <v>0.128</v>
      </c>
      <c r="E3088" s="2">
        <v>0.1031</v>
      </c>
      <c r="F3088" s="2">
        <v>0.10249999999999999</v>
      </c>
      <c r="G3088" s="2">
        <v>7.0099999999999996E-2</v>
      </c>
      <c r="H3088" s="2">
        <v>6.1899999999999997E-2</v>
      </c>
      <c r="I3088" s="2">
        <v>5.4199999999999998E-2</v>
      </c>
      <c r="J3088" s="2">
        <v>5.4100000000000002E-2</v>
      </c>
      <c r="K3088" s="2">
        <v>4.9599999999999998E-2</v>
      </c>
      <c r="L3088" s="2">
        <v>4.0099999999999997E-2</v>
      </c>
      <c r="M3088" s="2">
        <v>1.23E-2</v>
      </c>
      <c r="N3088" s="2">
        <v>6.4000000000000003E-3</v>
      </c>
      <c r="O3088" s="2">
        <v>2E-3</v>
      </c>
      <c r="P3088" s="2">
        <v>1.8E-3</v>
      </c>
      <c r="Q3088">
        <v>2461</v>
      </c>
    </row>
    <row r="3090" spans="1:17" x14ac:dyDescent="0.35">
      <c r="A3090" s="1" t="s">
        <v>1065</v>
      </c>
    </row>
    <row r="3091" spans="1:17" x14ac:dyDescent="0.35">
      <c r="A3091" t="s">
        <v>219</v>
      </c>
      <c r="B3091" t="s">
        <v>301</v>
      </c>
      <c r="C3091" t="s">
        <v>540</v>
      </c>
      <c r="D3091" t="s">
        <v>1051</v>
      </c>
      <c r="E3091" t="s">
        <v>1052</v>
      </c>
      <c r="F3091" t="s">
        <v>1053</v>
      </c>
      <c r="G3091" t="s">
        <v>1054</v>
      </c>
      <c r="H3091" t="s">
        <v>1055</v>
      </c>
      <c r="I3091" t="s">
        <v>1056</v>
      </c>
      <c r="J3091" t="s">
        <v>1057</v>
      </c>
      <c r="K3091" t="s">
        <v>1058</v>
      </c>
      <c r="L3091" t="s">
        <v>1059</v>
      </c>
      <c r="M3091" t="s">
        <v>277</v>
      </c>
      <c r="N3091" t="s">
        <v>1060</v>
      </c>
      <c r="O3091" t="s">
        <v>318</v>
      </c>
      <c r="P3091" t="s">
        <v>282</v>
      </c>
      <c r="Q3091" t="s">
        <v>226</v>
      </c>
    </row>
    <row r="3092" spans="1:17" x14ac:dyDescent="0.35">
      <c r="A3092" t="s">
        <v>227</v>
      </c>
      <c r="B3092" t="s">
        <v>263</v>
      </c>
      <c r="C3092" s="2">
        <v>0.79990000000000006</v>
      </c>
      <c r="D3092" s="2">
        <v>7.8E-2</v>
      </c>
      <c r="E3092" s="2">
        <v>5.9200000000000003E-2</v>
      </c>
      <c r="F3092" s="2">
        <v>5.8099999999999999E-2</v>
      </c>
      <c r="G3092" s="2">
        <v>4.1399999999999999E-2</v>
      </c>
      <c r="H3092" s="2">
        <v>2.9000000000000001E-2</v>
      </c>
      <c r="I3092" s="2">
        <v>1.3599999999999999E-2</v>
      </c>
      <c r="J3092" s="2">
        <v>2.93E-2</v>
      </c>
      <c r="K3092" s="2">
        <v>2.76E-2</v>
      </c>
      <c r="L3092" s="2">
        <v>2.9000000000000001E-2</v>
      </c>
      <c r="M3092" s="2">
        <v>1.2200000000000001E-2</v>
      </c>
      <c r="N3092" s="2">
        <v>6.9999999999999999E-4</v>
      </c>
      <c r="P3092" s="2">
        <v>5.0000000000000001E-4</v>
      </c>
      <c r="Q3092">
        <v>580</v>
      </c>
    </row>
    <row r="3093" spans="1:17" x14ac:dyDescent="0.35">
      <c r="A3093" t="s">
        <v>227</v>
      </c>
      <c r="B3093" t="s">
        <v>262</v>
      </c>
      <c r="C3093" s="2">
        <v>0.64390000000000003</v>
      </c>
      <c r="D3093" s="2">
        <v>0.1593</v>
      </c>
      <c r="E3093" s="2">
        <v>0.1263</v>
      </c>
      <c r="F3093" s="2">
        <v>0.12889999999999999</v>
      </c>
      <c r="G3093" s="2">
        <v>6.0600000000000001E-2</v>
      </c>
      <c r="H3093" s="2">
        <v>9.3799999999999994E-2</v>
      </c>
      <c r="I3093" s="2">
        <v>8.48E-2</v>
      </c>
      <c r="J3093" s="2">
        <v>6.2899999999999998E-2</v>
      </c>
      <c r="K3093" s="2">
        <v>5.67E-2</v>
      </c>
      <c r="L3093" s="2">
        <v>4.5600000000000002E-2</v>
      </c>
      <c r="M3093" s="2">
        <v>6.3E-3</v>
      </c>
      <c r="N3093" s="2">
        <v>7.7999999999999996E-3</v>
      </c>
      <c r="O3093" s="2">
        <v>3.8999999999999998E-3</v>
      </c>
      <c r="P3093" s="2">
        <v>2.0000000000000001E-4</v>
      </c>
      <c r="Q3093">
        <v>1158</v>
      </c>
    </row>
    <row r="3094" spans="1:17" x14ac:dyDescent="0.35">
      <c r="A3094" t="s">
        <v>227</v>
      </c>
      <c r="B3094" t="s">
        <v>261</v>
      </c>
      <c r="C3094" s="2">
        <v>0.70189999999999997</v>
      </c>
      <c r="D3094" s="2">
        <v>0.12570000000000001</v>
      </c>
      <c r="E3094" s="2">
        <v>0.1033</v>
      </c>
      <c r="F3094" s="2">
        <v>0.1017</v>
      </c>
      <c r="G3094" s="2">
        <v>9.2700000000000005E-2</v>
      </c>
      <c r="H3094" s="2">
        <v>5.0500000000000003E-2</v>
      </c>
      <c r="I3094" s="2">
        <v>4.7500000000000001E-2</v>
      </c>
      <c r="J3094" s="2">
        <v>5.8700000000000002E-2</v>
      </c>
      <c r="K3094" s="2">
        <v>5.4300000000000001E-2</v>
      </c>
      <c r="L3094" s="2">
        <v>4.1000000000000002E-2</v>
      </c>
      <c r="M3094" s="2">
        <v>1.7600000000000001E-2</v>
      </c>
      <c r="N3094" s="2">
        <v>8.0999999999999996E-3</v>
      </c>
      <c r="O3094" s="2">
        <v>1.1999999999999999E-3</v>
      </c>
      <c r="P3094" s="2">
        <v>3.8E-3</v>
      </c>
      <c r="Q3094">
        <v>1055</v>
      </c>
    </row>
    <row r="3095" spans="1:17" x14ac:dyDescent="0.35">
      <c r="A3095" s="3" t="s">
        <v>227</v>
      </c>
      <c r="B3095" s="3" t="s">
        <v>232</v>
      </c>
      <c r="C3095" s="4">
        <v>0.5</v>
      </c>
      <c r="D3095" s="5"/>
      <c r="E3095" s="4">
        <v>0.5</v>
      </c>
      <c r="F3095" s="5"/>
      <c r="G3095" s="5"/>
      <c r="H3095" s="5"/>
      <c r="I3095" s="5"/>
      <c r="J3095" s="5"/>
      <c r="K3095" s="5"/>
      <c r="L3095" s="5"/>
      <c r="M3095" s="5"/>
      <c r="N3095" s="5"/>
      <c r="O3095" s="5"/>
      <c r="P3095" s="5"/>
      <c r="Q3095" s="5" t="s">
        <v>434</v>
      </c>
    </row>
    <row r="3096" spans="1:17" x14ac:dyDescent="0.35">
      <c r="A3096" t="s">
        <v>228</v>
      </c>
      <c r="B3096" t="s">
        <v>228</v>
      </c>
      <c r="C3096" s="2">
        <v>0.7006</v>
      </c>
      <c r="D3096" s="2">
        <v>0.128</v>
      </c>
      <c r="E3096" s="2">
        <v>0.1031</v>
      </c>
      <c r="F3096" s="2">
        <v>0.10249999999999999</v>
      </c>
      <c r="G3096" s="2">
        <v>7.0099999999999996E-2</v>
      </c>
      <c r="H3096" s="2">
        <v>6.1899999999999997E-2</v>
      </c>
      <c r="I3096" s="2">
        <v>5.4199999999999998E-2</v>
      </c>
      <c r="J3096" s="2">
        <v>5.4100000000000002E-2</v>
      </c>
      <c r="K3096" s="2">
        <v>4.9599999999999998E-2</v>
      </c>
      <c r="L3096" s="2">
        <v>4.0099999999999997E-2</v>
      </c>
      <c r="M3096" s="2">
        <v>1.23E-2</v>
      </c>
      <c r="N3096" s="2">
        <v>6.4000000000000003E-3</v>
      </c>
      <c r="O3096" s="2">
        <v>2E-3</v>
      </c>
      <c r="P3096" s="2">
        <v>1.8E-3</v>
      </c>
      <c r="Q3096">
        <v>2795</v>
      </c>
    </row>
    <row r="3098" spans="1:17" x14ac:dyDescent="0.35">
      <c r="A3098" s="1" t="s">
        <v>1066</v>
      </c>
    </row>
    <row r="3099" spans="1:17" x14ac:dyDescent="0.35">
      <c r="A3099" t="s">
        <v>219</v>
      </c>
      <c r="B3099" t="s">
        <v>301</v>
      </c>
      <c r="C3099" t="s">
        <v>540</v>
      </c>
      <c r="D3099" t="s">
        <v>1051</v>
      </c>
      <c r="E3099" t="s">
        <v>1052</v>
      </c>
      <c r="F3099" t="s">
        <v>1053</v>
      </c>
      <c r="G3099" t="s">
        <v>1054</v>
      </c>
      <c r="H3099" t="s">
        <v>1055</v>
      </c>
      <c r="I3099" t="s">
        <v>1056</v>
      </c>
      <c r="J3099" t="s">
        <v>1057</v>
      </c>
      <c r="K3099" t="s">
        <v>1058</v>
      </c>
      <c r="L3099" t="s">
        <v>1059</v>
      </c>
      <c r="M3099" t="s">
        <v>277</v>
      </c>
      <c r="N3099" t="s">
        <v>1060</v>
      </c>
      <c r="O3099" t="s">
        <v>318</v>
      </c>
      <c r="P3099" t="s">
        <v>282</v>
      </c>
      <c r="Q3099" t="s">
        <v>226</v>
      </c>
    </row>
    <row r="3100" spans="1:17" x14ac:dyDescent="0.35">
      <c r="A3100" t="s">
        <v>227</v>
      </c>
      <c r="B3100" t="s">
        <v>248</v>
      </c>
      <c r="C3100" s="2">
        <v>0.65239999999999998</v>
      </c>
      <c r="D3100" s="2">
        <v>0.1116</v>
      </c>
      <c r="E3100" s="2">
        <v>9.3399999999999997E-2</v>
      </c>
      <c r="F3100" s="2">
        <v>0.1159</v>
      </c>
      <c r="G3100" s="2">
        <v>7.0400000000000004E-2</v>
      </c>
      <c r="H3100" s="2">
        <v>4.87E-2</v>
      </c>
      <c r="I3100" s="2">
        <v>5.9900000000000002E-2</v>
      </c>
      <c r="J3100" s="2">
        <v>7.1900000000000006E-2</v>
      </c>
      <c r="K3100" s="2">
        <v>3.9899999999999998E-2</v>
      </c>
      <c r="L3100" s="2">
        <v>3.4599999999999999E-2</v>
      </c>
      <c r="M3100" s="2">
        <v>2.2100000000000002E-2</v>
      </c>
      <c r="N3100" s="2">
        <v>2.9999999999999997E-4</v>
      </c>
      <c r="O3100" s="2">
        <v>2.9999999999999997E-4</v>
      </c>
      <c r="P3100" s="2">
        <v>4.0000000000000002E-4</v>
      </c>
      <c r="Q3100">
        <v>790</v>
      </c>
    </row>
    <row r="3101" spans="1:17" x14ac:dyDescent="0.35">
      <c r="A3101" t="s">
        <v>227</v>
      </c>
      <c r="B3101" t="s">
        <v>249</v>
      </c>
      <c r="C3101" s="2">
        <v>0.67379999999999995</v>
      </c>
      <c r="D3101" s="2">
        <v>0.12529999999999999</v>
      </c>
      <c r="E3101" s="2">
        <v>0.1168</v>
      </c>
      <c r="F3101" s="2">
        <v>0.108</v>
      </c>
      <c r="G3101" s="2">
        <v>8.7499999999999994E-2</v>
      </c>
      <c r="H3101" s="2">
        <v>6.9099999999999995E-2</v>
      </c>
      <c r="I3101" s="2">
        <v>5.9700000000000003E-2</v>
      </c>
      <c r="J3101" s="2">
        <v>5.8200000000000002E-2</v>
      </c>
      <c r="K3101" s="2">
        <v>6.3600000000000004E-2</v>
      </c>
      <c r="L3101" s="2">
        <v>6.25E-2</v>
      </c>
      <c r="M3101" s="2">
        <v>9.1000000000000004E-3</v>
      </c>
      <c r="N3101" s="2">
        <v>7.3000000000000001E-3</v>
      </c>
      <c r="O3101" s="2">
        <v>2.7000000000000001E-3</v>
      </c>
      <c r="Q3101">
        <v>537</v>
      </c>
    </row>
    <row r="3102" spans="1:17" x14ac:dyDescent="0.35">
      <c r="A3102" t="s">
        <v>227</v>
      </c>
      <c r="B3102" t="s">
        <v>247</v>
      </c>
      <c r="C3102" s="2">
        <v>0.73529999999999995</v>
      </c>
      <c r="D3102" s="2">
        <v>0.13750000000000001</v>
      </c>
      <c r="E3102" s="2">
        <v>0.1032</v>
      </c>
      <c r="F3102" s="2">
        <v>9.3600000000000003E-2</v>
      </c>
      <c r="G3102" s="2">
        <v>6.3700000000000007E-2</v>
      </c>
      <c r="H3102" s="2">
        <v>6.6199999999999995E-2</v>
      </c>
      <c r="I3102" s="2">
        <v>4.9200000000000001E-2</v>
      </c>
      <c r="J3102" s="2">
        <v>4.3299999999999998E-2</v>
      </c>
      <c r="K3102" s="2">
        <v>4.9500000000000002E-2</v>
      </c>
      <c r="L3102" s="2">
        <v>3.49E-2</v>
      </c>
      <c r="M3102" s="2">
        <v>8.3000000000000001E-3</v>
      </c>
      <c r="N3102" s="2">
        <v>9.2999999999999992E-3</v>
      </c>
      <c r="O3102" s="2">
        <v>2.5999999999999999E-3</v>
      </c>
      <c r="P3102" s="2">
        <v>3.0999999999999999E-3</v>
      </c>
      <c r="Q3102">
        <v>1468</v>
      </c>
    </row>
    <row r="3103" spans="1:17" x14ac:dyDescent="0.35">
      <c r="A3103" t="s">
        <v>228</v>
      </c>
      <c r="B3103" t="s">
        <v>228</v>
      </c>
      <c r="C3103" s="2">
        <v>0.7006</v>
      </c>
      <c r="D3103" s="2">
        <v>0.128</v>
      </c>
      <c r="E3103" s="2">
        <v>0.1031</v>
      </c>
      <c r="F3103" s="2">
        <v>0.10249999999999999</v>
      </c>
      <c r="G3103" s="2">
        <v>7.0099999999999996E-2</v>
      </c>
      <c r="H3103" s="2">
        <v>6.1899999999999997E-2</v>
      </c>
      <c r="I3103" s="2">
        <v>5.4199999999999998E-2</v>
      </c>
      <c r="J3103" s="2">
        <v>5.4100000000000002E-2</v>
      </c>
      <c r="K3103" s="2">
        <v>4.9599999999999998E-2</v>
      </c>
      <c r="L3103" s="2">
        <v>4.0099999999999997E-2</v>
      </c>
      <c r="M3103" s="2">
        <v>1.23E-2</v>
      </c>
      <c r="N3103" s="2">
        <v>6.4000000000000003E-3</v>
      </c>
      <c r="O3103" s="2">
        <v>2E-3</v>
      </c>
      <c r="P3103" s="2">
        <v>1.8E-3</v>
      </c>
      <c r="Q3103">
        <v>2795</v>
      </c>
    </row>
    <row r="3105" spans="1:17" x14ac:dyDescent="0.35">
      <c r="A3105" s="1" t="s">
        <v>1067</v>
      </c>
    </row>
    <row r="3106" spans="1:17" x14ac:dyDescent="0.35">
      <c r="A3106" t="s">
        <v>219</v>
      </c>
      <c r="B3106" t="s">
        <v>301</v>
      </c>
      <c r="C3106" t="s">
        <v>540</v>
      </c>
      <c r="D3106" t="s">
        <v>1051</v>
      </c>
      <c r="E3106" t="s">
        <v>1052</v>
      </c>
      <c r="F3106" t="s">
        <v>1053</v>
      </c>
      <c r="G3106" t="s">
        <v>1054</v>
      </c>
      <c r="H3106" t="s">
        <v>1055</v>
      </c>
      <c r="I3106" t="s">
        <v>1056</v>
      </c>
      <c r="J3106" t="s">
        <v>1057</v>
      </c>
      <c r="K3106" t="s">
        <v>1058</v>
      </c>
      <c r="L3106" t="s">
        <v>1059</v>
      </c>
      <c r="M3106" t="s">
        <v>277</v>
      </c>
      <c r="N3106" t="s">
        <v>1060</v>
      </c>
      <c r="O3106" t="s">
        <v>318</v>
      </c>
      <c r="P3106" t="s">
        <v>282</v>
      </c>
      <c r="Q3106" t="s">
        <v>226</v>
      </c>
    </row>
    <row r="3107" spans="1:17" x14ac:dyDescent="0.35">
      <c r="A3107" t="s">
        <v>227</v>
      </c>
      <c r="B3107" t="s">
        <v>245</v>
      </c>
      <c r="C3107" s="2">
        <v>0.6835</v>
      </c>
      <c r="D3107" s="2">
        <v>0.16600000000000001</v>
      </c>
      <c r="E3107" s="2">
        <v>0.12740000000000001</v>
      </c>
      <c r="F3107" s="2">
        <v>0.1133</v>
      </c>
      <c r="G3107" s="2">
        <v>9.4600000000000004E-2</v>
      </c>
      <c r="H3107" s="2">
        <v>7.3200000000000001E-2</v>
      </c>
      <c r="I3107" s="2">
        <v>5.7500000000000002E-2</v>
      </c>
      <c r="J3107" s="2">
        <v>4.7899999999999998E-2</v>
      </c>
      <c r="K3107" s="2">
        <v>5.7000000000000002E-2</v>
      </c>
      <c r="L3107" s="2">
        <v>4.2799999999999998E-2</v>
      </c>
      <c r="M3107" s="2">
        <v>6.1000000000000004E-3</v>
      </c>
      <c r="N3107" s="2">
        <v>2.2100000000000002E-2</v>
      </c>
      <c r="P3107" s="2">
        <v>5.5999999999999999E-3</v>
      </c>
      <c r="Q3107">
        <v>781</v>
      </c>
    </row>
    <row r="3108" spans="1:17" x14ac:dyDescent="0.35">
      <c r="A3108" t="s">
        <v>227</v>
      </c>
      <c r="B3108" t="s">
        <v>244</v>
      </c>
      <c r="C3108" s="2">
        <v>0.70740000000000003</v>
      </c>
      <c r="D3108" s="2">
        <v>0.1129</v>
      </c>
      <c r="E3108" s="2">
        <v>9.35E-2</v>
      </c>
      <c r="F3108" s="2">
        <v>9.8199999999999996E-2</v>
      </c>
      <c r="G3108" s="2">
        <v>6.0400000000000002E-2</v>
      </c>
      <c r="H3108" s="2">
        <v>5.74E-2</v>
      </c>
      <c r="I3108" s="2">
        <v>5.28E-2</v>
      </c>
      <c r="J3108" s="2">
        <v>5.6500000000000002E-2</v>
      </c>
      <c r="K3108" s="2">
        <v>4.6600000000000003E-2</v>
      </c>
      <c r="L3108" s="2">
        <v>3.9100000000000003E-2</v>
      </c>
      <c r="M3108" s="2">
        <v>1.47E-2</v>
      </c>
      <c r="N3108" s="2">
        <v>2.0000000000000001E-4</v>
      </c>
      <c r="O3108" s="2">
        <v>2.8E-3</v>
      </c>
      <c r="P3108" s="2">
        <v>2.9999999999999997E-4</v>
      </c>
      <c r="Q3108">
        <v>2014</v>
      </c>
    </row>
    <row r="3109" spans="1:17" x14ac:dyDescent="0.35">
      <c r="A3109" t="s">
        <v>228</v>
      </c>
      <c r="B3109" t="s">
        <v>228</v>
      </c>
      <c r="C3109" s="2">
        <v>0.7006</v>
      </c>
      <c r="D3109" s="2">
        <v>0.128</v>
      </c>
      <c r="E3109" s="2">
        <v>0.1031</v>
      </c>
      <c r="F3109" s="2">
        <v>0.10249999999999999</v>
      </c>
      <c r="G3109" s="2">
        <v>7.0099999999999996E-2</v>
      </c>
      <c r="H3109" s="2">
        <v>6.1899999999999997E-2</v>
      </c>
      <c r="I3109" s="2">
        <v>5.4199999999999998E-2</v>
      </c>
      <c r="J3109" s="2">
        <v>5.4100000000000002E-2</v>
      </c>
      <c r="K3109" s="2">
        <v>4.9599999999999998E-2</v>
      </c>
      <c r="L3109" s="2">
        <v>4.0099999999999997E-2</v>
      </c>
      <c r="M3109" s="2">
        <v>1.23E-2</v>
      </c>
      <c r="N3109" s="2">
        <v>6.4000000000000003E-3</v>
      </c>
      <c r="O3109" s="2">
        <v>2E-3</v>
      </c>
      <c r="P3109" s="2">
        <v>1.8E-3</v>
      </c>
      <c r="Q3109">
        <v>2795</v>
      </c>
    </row>
    <row r="3111" spans="1:17" x14ac:dyDescent="0.35">
      <c r="A3111" s="1" t="s">
        <v>1068</v>
      </c>
    </row>
    <row r="3112" spans="1:17" x14ac:dyDescent="0.35">
      <c r="A3112" t="s">
        <v>219</v>
      </c>
      <c r="B3112" t="s">
        <v>301</v>
      </c>
      <c r="C3112" t="s">
        <v>540</v>
      </c>
      <c r="D3112" t="s">
        <v>1051</v>
      </c>
      <c r="E3112" t="s">
        <v>1052</v>
      </c>
      <c r="F3112" t="s">
        <v>1053</v>
      </c>
      <c r="G3112" t="s">
        <v>1054</v>
      </c>
      <c r="H3112" t="s">
        <v>1055</v>
      </c>
      <c r="I3112" t="s">
        <v>1056</v>
      </c>
      <c r="J3112" t="s">
        <v>1057</v>
      </c>
      <c r="K3112" t="s">
        <v>1058</v>
      </c>
      <c r="L3112" t="s">
        <v>1059</v>
      </c>
      <c r="M3112" t="s">
        <v>277</v>
      </c>
      <c r="N3112" t="s">
        <v>1060</v>
      </c>
      <c r="O3112" t="s">
        <v>318</v>
      </c>
      <c r="P3112" t="s">
        <v>282</v>
      </c>
      <c r="Q3112" t="s">
        <v>226</v>
      </c>
    </row>
    <row r="3113" spans="1:17" x14ac:dyDescent="0.35">
      <c r="A3113" t="s">
        <v>227</v>
      </c>
      <c r="B3113" t="s">
        <v>259</v>
      </c>
      <c r="C3113" s="2">
        <v>0.55169999999999997</v>
      </c>
      <c r="D3113" s="2">
        <v>0.21379999999999999</v>
      </c>
      <c r="E3113" s="2">
        <v>0.26910000000000001</v>
      </c>
      <c r="F3113" s="2">
        <v>0.34860000000000002</v>
      </c>
      <c r="G3113" s="2">
        <v>4.3700000000000003E-2</v>
      </c>
      <c r="H3113" s="2">
        <v>9.4200000000000006E-2</v>
      </c>
      <c r="I3113" s="2">
        <v>0.1331</v>
      </c>
      <c r="J3113" s="2">
        <v>0.11509999999999999</v>
      </c>
      <c r="K3113" s="2">
        <v>6.6E-3</v>
      </c>
      <c r="L3113" s="2">
        <v>4.5699999999999998E-2</v>
      </c>
      <c r="Q3113">
        <v>69</v>
      </c>
    </row>
    <row r="3114" spans="1:17" x14ac:dyDescent="0.35">
      <c r="A3114" t="s">
        <v>227</v>
      </c>
      <c r="B3114" t="s">
        <v>257</v>
      </c>
      <c r="C3114" s="2">
        <v>0.60919999999999996</v>
      </c>
      <c r="D3114" s="2">
        <v>0.187</v>
      </c>
      <c r="E3114" s="2">
        <v>0.1552</v>
      </c>
      <c r="F3114" s="2">
        <v>0.151</v>
      </c>
      <c r="G3114" s="2">
        <v>5.2400000000000002E-2</v>
      </c>
      <c r="H3114" s="2">
        <v>0.13250000000000001</v>
      </c>
      <c r="I3114" s="2">
        <v>5.6000000000000001E-2</v>
      </c>
      <c r="J3114" s="2">
        <v>9.4600000000000004E-2</v>
      </c>
      <c r="K3114" s="2">
        <v>9.7900000000000001E-2</v>
      </c>
      <c r="L3114" s="2">
        <v>5.0599999999999999E-2</v>
      </c>
      <c r="M3114" s="2">
        <v>1.0200000000000001E-2</v>
      </c>
      <c r="N3114" s="2">
        <v>9.4000000000000004E-3</v>
      </c>
      <c r="P3114" s="2">
        <v>8.9999999999999993E-3</v>
      </c>
      <c r="Q3114">
        <v>401</v>
      </c>
    </row>
    <row r="3115" spans="1:17" x14ac:dyDescent="0.35">
      <c r="A3115" t="s">
        <v>227</v>
      </c>
      <c r="B3115" t="s">
        <v>256</v>
      </c>
      <c r="C3115" s="2">
        <v>0.71750000000000003</v>
      </c>
      <c r="D3115" s="2">
        <v>0.1137</v>
      </c>
      <c r="E3115" s="2">
        <v>8.43E-2</v>
      </c>
      <c r="F3115" s="2">
        <v>9.2399999999999996E-2</v>
      </c>
      <c r="G3115" s="2">
        <v>8.2100000000000006E-2</v>
      </c>
      <c r="H3115" s="2">
        <v>4.9599999999999998E-2</v>
      </c>
      <c r="I3115" s="2">
        <v>5.04E-2</v>
      </c>
      <c r="J3115" s="2">
        <v>4.3499999999999997E-2</v>
      </c>
      <c r="K3115" s="2">
        <v>4.4999999999999998E-2</v>
      </c>
      <c r="L3115" s="2">
        <v>3.8100000000000002E-2</v>
      </c>
      <c r="M3115" s="2">
        <v>1.54E-2</v>
      </c>
      <c r="N3115" s="2">
        <v>5.7000000000000002E-3</v>
      </c>
      <c r="O3115" s="2">
        <v>3.0000000000000001E-3</v>
      </c>
      <c r="P3115" s="2">
        <v>2.0000000000000001E-4</v>
      </c>
      <c r="Q3115">
        <v>1792</v>
      </c>
    </row>
    <row r="3116" spans="1:17" x14ac:dyDescent="0.35">
      <c r="A3116" s="3" t="s">
        <v>227</v>
      </c>
      <c r="B3116" s="3" t="s">
        <v>232</v>
      </c>
      <c r="C3116" s="4">
        <v>0.10829999999999999</v>
      </c>
      <c r="D3116" s="4">
        <v>0.22090000000000001</v>
      </c>
      <c r="E3116" s="4">
        <v>0.11509999999999999</v>
      </c>
      <c r="F3116" s="4">
        <v>0.44230000000000003</v>
      </c>
      <c r="G3116" s="4">
        <v>1.3299999999999999E-2</v>
      </c>
      <c r="H3116" s="4">
        <v>6.8099999999999994E-2</v>
      </c>
      <c r="I3116" s="4">
        <v>0.26219999999999999</v>
      </c>
      <c r="J3116" s="4">
        <v>2.3900000000000001E-2</v>
      </c>
      <c r="K3116" s="5"/>
      <c r="L3116" s="5"/>
      <c r="M3116" s="5"/>
      <c r="N3116" s="5"/>
      <c r="O3116" s="5"/>
      <c r="P3116" s="5"/>
      <c r="Q3116" s="5" t="s">
        <v>307</v>
      </c>
    </row>
    <row r="3117" spans="1:17" x14ac:dyDescent="0.35">
      <c r="A3117" t="s">
        <v>227</v>
      </c>
      <c r="B3117" t="s">
        <v>258</v>
      </c>
      <c r="C3117" s="2">
        <v>0.75349999999999995</v>
      </c>
      <c r="D3117" s="2">
        <v>0.1142</v>
      </c>
      <c r="E3117" s="2">
        <v>0.1094</v>
      </c>
      <c r="F3117" s="2">
        <v>6.0299999999999999E-2</v>
      </c>
      <c r="G3117" s="2">
        <v>4.02E-2</v>
      </c>
      <c r="H3117" s="2">
        <v>3.3399999999999999E-2</v>
      </c>
      <c r="I3117" s="2">
        <v>5.7000000000000002E-2</v>
      </c>
      <c r="J3117" s="2">
        <v>4.9000000000000002E-2</v>
      </c>
      <c r="K3117" s="2">
        <v>2.0899999999999998E-2</v>
      </c>
      <c r="L3117" s="2">
        <v>3.73E-2</v>
      </c>
      <c r="M3117" s="2">
        <v>2E-3</v>
      </c>
      <c r="N3117" s="2">
        <v>7.0000000000000001E-3</v>
      </c>
      <c r="P3117" s="2">
        <v>1.1000000000000001E-3</v>
      </c>
      <c r="Q3117">
        <v>522</v>
      </c>
    </row>
    <row r="3118" spans="1:17" x14ac:dyDescent="0.35">
      <c r="A3118" t="s">
        <v>228</v>
      </c>
      <c r="B3118" t="s">
        <v>228</v>
      </c>
      <c r="C3118" s="2">
        <v>0.7006</v>
      </c>
      <c r="D3118" s="2">
        <v>0.128</v>
      </c>
      <c r="E3118" s="2">
        <v>0.1031</v>
      </c>
      <c r="F3118" s="2">
        <v>0.10249999999999999</v>
      </c>
      <c r="G3118" s="2">
        <v>7.0099999999999996E-2</v>
      </c>
      <c r="H3118" s="2">
        <v>6.1899999999999997E-2</v>
      </c>
      <c r="I3118" s="2">
        <v>5.4199999999999998E-2</v>
      </c>
      <c r="J3118" s="2">
        <v>5.4100000000000002E-2</v>
      </c>
      <c r="K3118" s="2">
        <v>4.9599999999999998E-2</v>
      </c>
      <c r="L3118" s="2">
        <v>4.0099999999999997E-2</v>
      </c>
      <c r="M3118" s="2">
        <v>1.23E-2</v>
      </c>
      <c r="N3118" s="2">
        <v>6.4000000000000003E-3</v>
      </c>
      <c r="O3118" s="2">
        <v>2E-3</v>
      </c>
      <c r="P3118" s="2">
        <v>1.8E-3</v>
      </c>
      <c r="Q3118">
        <v>2795</v>
      </c>
    </row>
    <row r="3120" spans="1:17" x14ac:dyDescent="0.35">
      <c r="A3120" s="1" t="s">
        <v>1069</v>
      </c>
    </row>
    <row r="3121" spans="1:17" x14ac:dyDescent="0.35">
      <c r="A3121" t="s">
        <v>219</v>
      </c>
      <c r="B3121" t="s">
        <v>301</v>
      </c>
      <c r="C3121" t="s">
        <v>540</v>
      </c>
      <c r="D3121" t="s">
        <v>1051</v>
      </c>
      <c r="E3121" t="s">
        <v>1052</v>
      </c>
      <c r="F3121" t="s">
        <v>1053</v>
      </c>
      <c r="G3121" t="s">
        <v>1054</v>
      </c>
      <c r="H3121" t="s">
        <v>1055</v>
      </c>
      <c r="I3121" t="s">
        <v>1056</v>
      </c>
      <c r="J3121" t="s">
        <v>1057</v>
      </c>
      <c r="K3121" t="s">
        <v>1058</v>
      </c>
      <c r="L3121" t="s">
        <v>1059</v>
      </c>
      <c r="M3121" t="s">
        <v>277</v>
      </c>
      <c r="N3121" t="s">
        <v>1060</v>
      </c>
      <c r="O3121" t="s">
        <v>318</v>
      </c>
      <c r="P3121" t="s">
        <v>282</v>
      </c>
      <c r="Q3121" t="s">
        <v>226</v>
      </c>
    </row>
    <row r="3122" spans="1:17" x14ac:dyDescent="0.35">
      <c r="A3122" t="s">
        <v>227</v>
      </c>
      <c r="B3122" t="s">
        <v>343</v>
      </c>
      <c r="C3122" s="2">
        <v>0.60919999999999996</v>
      </c>
      <c r="D3122" s="2">
        <v>0.187</v>
      </c>
      <c r="E3122" s="2">
        <v>0.1552</v>
      </c>
      <c r="F3122" s="2">
        <v>0.151</v>
      </c>
      <c r="G3122" s="2">
        <v>5.2400000000000002E-2</v>
      </c>
      <c r="H3122" s="2">
        <v>0.13250000000000001</v>
      </c>
      <c r="I3122" s="2">
        <v>5.6000000000000001E-2</v>
      </c>
      <c r="J3122" s="2">
        <v>9.4600000000000004E-2</v>
      </c>
      <c r="K3122" s="2">
        <v>9.7900000000000001E-2</v>
      </c>
      <c r="L3122" s="2">
        <v>5.0599999999999999E-2</v>
      </c>
      <c r="M3122" s="2">
        <v>1.0200000000000001E-2</v>
      </c>
      <c r="N3122" s="2">
        <v>9.4000000000000004E-3</v>
      </c>
      <c r="P3122" s="2">
        <v>8.9999999999999993E-3</v>
      </c>
      <c r="Q3122">
        <v>401</v>
      </c>
    </row>
    <row r="3123" spans="1:17" x14ac:dyDescent="0.35">
      <c r="A3123" t="s">
        <v>227</v>
      </c>
      <c r="B3123" t="s">
        <v>344</v>
      </c>
      <c r="C3123" s="2">
        <v>0.71909999999999996</v>
      </c>
      <c r="D3123" s="2">
        <v>0.11609999999999999</v>
      </c>
      <c r="E3123" s="2">
        <v>9.2600000000000002E-2</v>
      </c>
      <c r="F3123" s="2">
        <v>9.2799999999999994E-2</v>
      </c>
      <c r="G3123" s="2">
        <v>7.3700000000000002E-2</v>
      </c>
      <c r="H3123" s="2">
        <v>4.7699999999999999E-2</v>
      </c>
      <c r="I3123" s="2">
        <v>5.3800000000000001E-2</v>
      </c>
      <c r="J3123" s="2">
        <v>4.5900000000000003E-2</v>
      </c>
      <c r="K3123" s="2">
        <v>3.9800000000000002E-2</v>
      </c>
      <c r="L3123" s="2">
        <v>3.7999999999999999E-2</v>
      </c>
      <c r="M3123" s="2">
        <v>1.2699999999999999E-2</v>
      </c>
      <c r="N3123" s="2">
        <v>5.7999999999999996E-3</v>
      </c>
      <c r="O3123" s="2">
        <v>2.3999999999999998E-3</v>
      </c>
      <c r="P3123" s="2">
        <v>2.9999999999999997E-4</v>
      </c>
      <c r="Q3123">
        <v>2394</v>
      </c>
    </row>
    <row r="3124" spans="1:17" x14ac:dyDescent="0.35">
      <c r="A3124" t="s">
        <v>228</v>
      </c>
      <c r="B3124" t="s">
        <v>228</v>
      </c>
      <c r="C3124" s="2">
        <v>0.7006</v>
      </c>
      <c r="D3124" s="2">
        <v>0.128</v>
      </c>
      <c r="E3124" s="2">
        <v>0.1031</v>
      </c>
      <c r="F3124" s="2">
        <v>0.10249999999999999</v>
      </c>
      <c r="G3124" s="2">
        <v>7.0099999999999996E-2</v>
      </c>
      <c r="H3124" s="2">
        <v>6.1899999999999997E-2</v>
      </c>
      <c r="I3124" s="2">
        <v>5.4199999999999998E-2</v>
      </c>
      <c r="J3124" s="2">
        <v>5.4100000000000002E-2</v>
      </c>
      <c r="K3124" s="2">
        <v>4.9599999999999998E-2</v>
      </c>
      <c r="L3124" s="2">
        <v>4.0099999999999997E-2</v>
      </c>
      <c r="M3124" s="2">
        <v>1.23E-2</v>
      </c>
      <c r="N3124" s="2">
        <v>6.4000000000000003E-3</v>
      </c>
      <c r="O3124" s="2">
        <v>2E-3</v>
      </c>
      <c r="P3124" s="2">
        <v>1.8E-3</v>
      </c>
      <c r="Q3124">
        <v>2795</v>
      </c>
    </row>
    <row r="3126" spans="1:17" x14ac:dyDescent="0.35">
      <c r="A3126" s="1" t="s">
        <v>1070</v>
      </c>
    </row>
    <row r="3127" spans="1:17" x14ac:dyDescent="0.35">
      <c r="A3127" t="s">
        <v>219</v>
      </c>
      <c r="B3127" t="s">
        <v>301</v>
      </c>
      <c r="C3127" t="s">
        <v>540</v>
      </c>
      <c r="D3127" t="s">
        <v>1051</v>
      </c>
      <c r="E3127" t="s">
        <v>1052</v>
      </c>
      <c r="F3127" t="s">
        <v>1053</v>
      </c>
      <c r="G3127" t="s">
        <v>1054</v>
      </c>
      <c r="H3127" t="s">
        <v>1055</v>
      </c>
      <c r="I3127" t="s">
        <v>1056</v>
      </c>
      <c r="J3127" t="s">
        <v>1057</v>
      </c>
      <c r="K3127" t="s">
        <v>1058</v>
      </c>
      <c r="L3127" t="s">
        <v>1059</v>
      </c>
      <c r="M3127" t="s">
        <v>277</v>
      </c>
      <c r="N3127" t="s">
        <v>1060</v>
      </c>
      <c r="O3127" t="s">
        <v>318</v>
      </c>
      <c r="P3127" t="s">
        <v>282</v>
      </c>
      <c r="Q3127" t="s">
        <v>226</v>
      </c>
    </row>
    <row r="3128" spans="1:17" x14ac:dyDescent="0.35">
      <c r="A3128" t="s">
        <v>227</v>
      </c>
      <c r="B3128" t="s">
        <v>346</v>
      </c>
      <c r="C3128" s="2">
        <v>0.70250000000000001</v>
      </c>
      <c r="D3128" s="2">
        <v>0.1278</v>
      </c>
      <c r="E3128" s="2">
        <v>0.1009</v>
      </c>
      <c r="F3128" s="2">
        <v>0.1016</v>
      </c>
      <c r="G3128" s="2">
        <v>6.9800000000000001E-2</v>
      </c>
      <c r="H3128" s="2">
        <v>6.1499999999999999E-2</v>
      </c>
      <c r="I3128" s="2">
        <v>5.3800000000000001E-2</v>
      </c>
      <c r="J3128" s="2">
        <v>5.5800000000000002E-2</v>
      </c>
      <c r="K3128" s="2">
        <v>5.0700000000000002E-2</v>
      </c>
      <c r="L3128" s="2">
        <v>4.0099999999999997E-2</v>
      </c>
      <c r="M3128" s="2">
        <v>1.2500000000000001E-2</v>
      </c>
      <c r="N3128" s="2">
        <v>5.1999999999999998E-3</v>
      </c>
      <c r="O3128" s="2">
        <v>2.2000000000000001E-3</v>
      </c>
      <c r="P3128" s="2">
        <v>1.8E-3</v>
      </c>
      <c r="Q3128">
        <v>1454</v>
      </c>
    </row>
    <row r="3129" spans="1:17" x14ac:dyDescent="0.35">
      <c r="A3129" t="s">
        <v>227</v>
      </c>
      <c r="B3129" t="s">
        <v>347</v>
      </c>
      <c r="C3129" s="2">
        <v>0.63390000000000002</v>
      </c>
      <c r="D3129" s="2">
        <v>0.14480000000000001</v>
      </c>
      <c r="E3129" s="2">
        <v>0.13250000000000001</v>
      </c>
      <c r="F3129" s="2">
        <v>0.1298</v>
      </c>
      <c r="G3129" s="2">
        <v>0.112</v>
      </c>
      <c r="H3129" s="2">
        <v>7.9200000000000007E-2</v>
      </c>
      <c r="I3129" s="2">
        <v>7.0699999999999999E-2</v>
      </c>
      <c r="J3129" s="2">
        <v>6.3700000000000007E-2</v>
      </c>
      <c r="K3129" s="2">
        <v>4.8599999999999997E-2</v>
      </c>
      <c r="L3129" s="2">
        <v>5.8200000000000002E-2</v>
      </c>
      <c r="M3129" s="2">
        <v>1.04E-2</v>
      </c>
      <c r="N3129" s="2">
        <v>1.6299999999999999E-2</v>
      </c>
      <c r="P3129" s="2">
        <v>2.5999999999999999E-3</v>
      </c>
      <c r="Q3129">
        <v>583</v>
      </c>
    </row>
    <row r="3130" spans="1:17" x14ac:dyDescent="0.35">
      <c r="A3130" t="s">
        <v>227</v>
      </c>
      <c r="B3130" t="s">
        <v>348</v>
      </c>
      <c r="C3130" s="2">
        <v>0.70879999999999999</v>
      </c>
      <c r="D3130" s="2">
        <v>0.1235</v>
      </c>
      <c r="E3130" s="2">
        <v>0.11219999999999999</v>
      </c>
      <c r="F3130" s="2">
        <v>0.10100000000000001</v>
      </c>
      <c r="G3130" s="2">
        <v>5.7000000000000002E-2</v>
      </c>
      <c r="H3130" s="2">
        <v>5.9499999999999997E-2</v>
      </c>
      <c r="I3130" s="2">
        <v>5.0999999999999997E-2</v>
      </c>
      <c r="J3130" s="2">
        <v>3.4799999999999998E-2</v>
      </c>
      <c r="K3130" s="2">
        <v>3.9800000000000002E-2</v>
      </c>
      <c r="L3130" s="2">
        <v>3.4000000000000002E-2</v>
      </c>
      <c r="M3130" s="2">
        <v>1.12E-2</v>
      </c>
      <c r="N3130" s="2">
        <v>1.3599999999999999E-2</v>
      </c>
      <c r="O3130" s="2">
        <v>8.9999999999999998E-4</v>
      </c>
      <c r="P3130" s="2">
        <v>1.1000000000000001E-3</v>
      </c>
      <c r="Q3130">
        <v>758</v>
      </c>
    </row>
    <row r="3131" spans="1:17" x14ac:dyDescent="0.35">
      <c r="A3131" t="s">
        <v>228</v>
      </c>
      <c r="B3131" t="s">
        <v>228</v>
      </c>
      <c r="C3131" s="2">
        <v>0.7006</v>
      </c>
      <c r="D3131" s="2">
        <v>0.128</v>
      </c>
      <c r="E3131" s="2">
        <v>0.1031</v>
      </c>
      <c r="F3131" s="2">
        <v>0.10249999999999999</v>
      </c>
      <c r="G3131" s="2">
        <v>7.0099999999999996E-2</v>
      </c>
      <c r="H3131" s="2">
        <v>6.1899999999999997E-2</v>
      </c>
      <c r="I3131" s="2">
        <v>5.4199999999999998E-2</v>
      </c>
      <c r="J3131" s="2">
        <v>5.4100000000000002E-2</v>
      </c>
      <c r="K3131" s="2">
        <v>4.9599999999999998E-2</v>
      </c>
      <c r="L3131" s="2">
        <v>4.0099999999999997E-2</v>
      </c>
      <c r="M3131" s="2">
        <v>1.23E-2</v>
      </c>
      <c r="N3131" s="2">
        <v>6.4000000000000003E-3</v>
      </c>
      <c r="O3131" s="2">
        <v>2E-3</v>
      </c>
      <c r="P3131" s="2">
        <v>1.8E-3</v>
      </c>
      <c r="Q3131">
        <v>2795</v>
      </c>
    </row>
    <row r="3133" spans="1:17" x14ac:dyDescent="0.35">
      <c r="A3133" s="1" t="s">
        <v>1071</v>
      </c>
    </row>
    <row r="3134" spans="1:17" x14ac:dyDescent="0.35">
      <c r="A3134" t="s">
        <v>219</v>
      </c>
      <c r="B3134" t="s">
        <v>301</v>
      </c>
      <c r="C3134" t="s">
        <v>540</v>
      </c>
      <c r="D3134" t="s">
        <v>1051</v>
      </c>
      <c r="E3134" t="s">
        <v>1052</v>
      </c>
      <c r="F3134" t="s">
        <v>1053</v>
      </c>
      <c r="G3134" t="s">
        <v>1054</v>
      </c>
      <c r="H3134" t="s">
        <v>1055</v>
      </c>
      <c r="I3134" t="s">
        <v>1056</v>
      </c>
      <c r="J3134" t="s">
        <v>1057</v>
      </c>
      <c r="K3134" t="s">
        <v>1058</v>
      </c>
      <c r="L3134" t="s">
        <v>1059</v>
      </c>
      <c r="M3134" t="s">
        <v>277</v>
      </c>
      <c r="N3134" t="s">
        <v>1060</v>
      </c>
      <c r="O3134" t="s">
        <v>318</v>
      </c>
      <c r="P3134" t="s">
        <v>282</v>
      </c>
      <c r="Q3134" t="s">
        <v>226</v>
      </c>
    </row>
    <row r="3135" spans="1:17" x14ac:dyDescent="0.35">
      <c r="A3135" t="s">
        <v>227</v>
      </c>
      <c r="B3135" t="s">
        <v>251</v>
      </c>
      <c r="C3135" s="2">
        <v>0.70740000000000003</v>
      </c>
      <c r="D3135" s="2">
        <v>0.1129</v>
      </c>
      <c r="E3135" s="2">
        <v>9.35E-2</v>
      </c>
      <c r="F3135" s="2">
        <v>9.8199999999999996E-2</v>
      </c>
      <c r="G3135" s="2">
        <v>6.0400000000000002E-2</v>
      </c>
      <c r="H3135" s="2">
        <v>5.74E-2</v>
      </c>
      <c r="I3135" s="2">
        <v>5.28E-2</v>
      </c>
      <c r="J3135" s="2">
        <v>5.6500000000000002E-2</v>
      </c>
      <c r="K3135" s="2">
        <v>4.6600000000000003E-2</v>
      </c>
      <c r="L3135" s="2">
        <v>3.9100000000000003E-2</v>
      </c>
      <c r="M3135" s="2">
        <v>1.47E-2</v>
      </c>
      <c r="N3135" s="2">
        <v>2.0000000000000001E-4</v>
      </c>
      <c r="O3135" s="2">
        <v>2.8E-3</v>
      </c>
      <c r="P3135" s="2">
        <v>2.9999999999999997E-4</v>
      </c>
      <c r="Q3135">
        <v>2014</v>
      </c>
    </row>
    <row r="3136" spans="1:17" x14ac:dyDescent="0.35">
      <c r="A3136" t="s">
        <v>227</v>
      </c>
      <c r="B3136" t="s">
        <v>252</v>
      </c>
      <c r="C3136" s="2">
        <v>0.69879999999999998</v>
      </c>
      <c r="D3136" s="2">
        <v>0.14480000000000001</v>
      </c>
      <c r="E3136" s="2">
        <v>0.1212</v>
      </c>
      <c r="F3136" s="2">
        <v>0.1043</v>
      </c>
      <c r="G3136" s="2">
        <v>0.1043</v>
      </c>
      <c r="H3136" s="2">
        <v>6.3200000000000006E-2</v>
      </c>
      <c r="I3136" s="2">
        <v>5.0700000000000002E-2</v>
      </c>
      <c r="J3136" s="2">
        <v>4.0800000000000003E-2</v>
      </c>
      <c r="K3136" s="2">
        <v>5.5599999999999997E-2</v>
      </c>
      <c r="L3136" s="2">
        <v>3.7999999999999999E-2</v>
      </c>
      <c r="M3136" s="2">
        <v>7.4999999999999997E-3</v>
      </c>
      <c r="N3136" s="2">
        <v>2.5100000000000001E-2</v>
      </c>
      <c r="P3136" s="2">
        <v>6.8999999999999999E-3</v>
      </c>
      <c r="Q3136">
        <v>619</v>
      </c>
    </row>
    <row r="3137" spans="1:20" x14ac:dyDescent="0.35">
      <c r="A3137" t="s">
        <v>227</v>
      </c>
      <c r="B3137" t="s">
        <v>253</v>
      </c>
      <c r="C3137" s="2">
        <v>0.61770000000000003</v>
      </c>
      <c r="D3137" s="2">
        <v>0.25369999999999998</v>
      </c>
      <c r="E3137" s="2">
        <v>0.15670000000000001</v>
      </c>
      <c r="F3137" s="2">
        <v>0.1565</v>
      </c>
      <c r="G3137" s="2">
        <v>4.41E-2</v>
      </c>
      <c r="H3137" s="2">
        <v>0.1174</v>
      </c>
      <c r="I3137" s="2">
        <v>8.8900000000000007E-2</v>
      </c>
      <c r="J3137" s="2">
        <v>0.08</v>
      </c>
      <c r="K3137" s="2">
        <v>6.3200000000000006E-2</v>
      </c>
      <c r="L3137" s="2">
        <v>6.5100000000000005E-2</v>
      </c>
      <c r="N3137" s="2">
        <v>9.7999999999999997E-3</v>
      </c>
      <c r="Q3137">
        <v>153</v>
      </c>
    </row>
    <row r="3138" spans="1:20" x14ac:dyDescent="0.35">
      <c r="A3138" s="3" t="s">
        <v>227</v>
      </c>
      <c r="B3138" s="3" t="s">
        <v>254</v>
      </c>
      <c r="C3138" s="4">
        <v>0.66700000000000004</v>
      </c>
      <c r="D3138" s="4">
        <v>0.28179999999999999</v>
      </c>
      <c r="E3138" s="4">
        <v>5.1200000000000002E-2</v>
      </c>
      <c r="F3138" s="5"/>
      <c r="G3138" s="4">
        <v>0.33300000000000002</v>
      </c>
      <c r="H3138" s="4">
        <v>5.1200000000000002E-2</v>
      </c>
      <c r="I3138" s="5"/>
      <c r="J3138" s="5"/>
      <c r="K3138" s="4">
        <v>5.1200000000000002E-2</v>
      </c>
      <c r="L3138" s="5"/>
      <c r="M3138" s="5"/>
      <c r="N3138" s="5"/>
      <c r="O3138" s="5"/>
      <c r="P3138" s="5"/>
      <c r="Q3138" s="5" t="s">
        <v>515</v>
      </c>
    </row>
    <row r="3139" spans="1:20" x14ac:dyDescent="0.35">
      <c r="A3139" t="s">
        <v>228</v>
      </c>
      <c r="B3139" t="s">
        <v>228</v>
      </c>
      <c r="C3139" s="2">
        <v>0.7006</v>
      </c>
      <c r="D3139" s="2">
        <v>0.128</v>
      </c>
      <c r="E3139" s="2">
        <v>0.1031</v>
      </c>
      <c r="F3139" s="2">
        <v>0.10249999999999999</v>
      </c>
      <c r="G3139" s="2">
        <v>7.0099999999999996E-2</v>
      </c>
      <c r="H3139" s="2">
        <v>6.1899999999999997E-2</v>
      </c>
      <c r="I3139" s="2">
        <v>5.4199999999999998E-2</v>
      </c>
      <c r="J3139" s="2">
        <v>5.4100000000000002E-2</v>
      </c>
      <c r="K3139" s="2">
        <v>4.9599999999999998E-2</v>
      </c>
      <c r="L3139" s="2">
        <v>4.0099999999999997E-2</v>
      </c>
      <c r="M3139" s="2">
        <v>1.23E-2</v>
      </c>
      <c r="N3139" s="2">
        <v>6.4000000000000003E-3</v>
      </c>
      <c r="O3139" s="2">
        <v>2E-3</v>
      </c>
      <c r="P3139" s="2">
        <v>1.8E-3</v>
      </c>
      <c r="Q3139">
        <v>2795</v>
      </c>
    </row>
    <row r="3141" spans="1:20" x14ac:dyDescent="0.35">
      <c r="A3141" s="1" t="s">
        <v>1072</v>
      </c>
    </row>
    <row r="3142" spans="1:20" x14ac:dyDescent="0.35">
      <c r="A3142" t="s">
        <v>219</v>
      </c>
      <c r="B3142" t="s">
        <v>1073</v>
      </c>
      <c r="C3142" t="s">
        <v>1074</v>
      </c>
      <c r="D3142" t="s">
        <v>1075</v>
      </c>
      <c r="E3142" t="s">
        <v>1076</v>
      </c>
      <c r="F3142" t="s">
        <v>1077</v>
      </c>
      <c r="G3142" t="s">
        <v>1078</v>
      </c>
      <c r="H3142" t="s">
        <v>1079</v>
      </c>
      <c r="I3142" t="s">
        <v>1080</v>
      </c>
      <c r="J3142" t="s">
        <v>1081</v>
      </c>
      <c r="K3142" t="s">
        <v>1082</v>
      </c>
      <c r="L3142" t="s">
        <v>318</v>
      </c>
      <c r="M3142" t="s">
        <v>1083</v>
      </c>
      <c r="N3142" t="s">
        <v>1084</v>
      </c>
      <c r="O3142" t="s">
        <v>1085</v>
      </c>
      <c r="P3142" t="s">
        <v>1086</v>
      </c>
      <c r="Q3142" t="s">
        <v>282</v>
      </c>
      <c r="R3142" t="s">
        <v>277</v>
      </c>
      <c r="S3142" t="s">
        <v>226</v>
      </c>
    </row>
    <row r="3143" spans="1:20" x14ac:dyDescent="0.35">
      <c r="A3143" t="s">
        <v>227</v>
      </c>
      <c r="B3143" s="2">
        <v>0.59060000000000001</v>
      </c>
      <c r="C3143" s="2">
        <v>0.47499999999999998</v>
      </c>
      <c r="D3143" s="2">
        <v>0.16869999999999999</v>
      </c>
      <c r="E3143" s="2">
        <v>0.10100000000000001</v>
      </c>
      <c r="F3143" s="2">
        <v>0.10059999999999999</v>
      </c>
      <c r="G3143" s="2">
        <v>9.4200000000000006E-2</v>
      </c>
      <c r="H3143" s="2">
        <v>7.5499999999999998E-2</v>
      </c>
      <c r="I3143" s="2">
        <v>4.2599999999999999E-2</v>
      </c>
      <c r="J3143" s="2">
        <v>3.32E-2</v>
      </c>
      <c r="K3143" s="2">
        <v>1.5800000000000002E-2</v>
      </c>
      <c r="L3143" s="2">
        <v>1.35E-2</v>
      </c>
      <c r="M3143" s="2">
        <v>1.0800000000000001E-2</v>
      </c>
      <c r="N3143" s="2">
        <v>7.4999999999999997E-3</v>
      </c>
      <c r="O3143" s="2">
        <v>4.8999999999999998E-3</v>
      </c>
      <c r="P3143" s="2">
        <v>2.8999999999999998E-3</v>
      </c>
      <c r="Q3143" s="2">
        <v>1.2999999999999999E-3</v>
      </c>
      <c r="R3143" s="2">
        <v>2.0000000000000001E-4</v>
      </c>
      <c r="S3143">
        <v>2808</v>
      </c>
    </row>
    <row r="3144" spans="1:20" x14ac:dyDescent="0.35">
      <c r="A3144" t="s">
        <v>228</v>
      </c>
      <c r="B3144" s="2">
        <v>0.59060000000000001</v>
      </c>
      <c r="C3144" s="2">
        <v>0.47499999999999998</v>
      </c>
      <c r="D3144" s="2">
        <v>0.16869999999999999</v>
      </c>
      <c r="E3144" s="2">
        <v>0.10100000000000001</v>
      </c>
      <c r="F3144" s="2">
        <v>0.10059999999999999</v>
      </c>
      <c r="G3144" s="2">
        <v>9.4200000000000006E-2</v>
      </c>
      <c r="H3144" s="2">
        <v>7.5499999999999998E-2</v>
      </c>
      <c r="I3144" s="2">
        <v>4.2599999999999999E-2</v>
      </c>
      <c r="J3144" s="2">
        <v>3.32E-2</v>
      </c>
      <c r="K3144" s="2">
        <v>1.5800000000000002E-2</v>
      </c>
      <c r="L3144" s="2">
        <v>1.35E-2</v>
      </c>
      <c r="M3144" s="2">
        <v>1.0800000000000001E-2</v>
      </c>
      <c r="N3144" s="2">
        <v>7.4999999999999997E-3</v>
      </c>
      <c r="O3144" s="2">
        <v>4.8999999999999998E-3</v>
      </c>
      <c r="P3144" s="2">
        <v>2.8999999999999998E-3</v>
      </c>
      <c r="Q3144" s="2">
        <v>1.2999999999999999E-3</v>
      </c>
      <c r="R3144" s="2">
        <v>2.0000000000000001E-4</v>
      </c>
      <c r="S3144">
        <v>2808</v>
      </c>
    </row>
    <row r="3146" spans="1:20" x14ac:dyDescent="0.35">
      <c r="A3146" s="1" t="s">
        <v>1087</v>
      </c>
    </row>
    <row r="3147" spans="1:20" x14ac:dyDescent="0.35">
      <c r="A3147" t="s">
        <v>219</v>
      </c>
      <c r="B3147" t="s">
        <v>301</v>
      </c>
      <c r="C3147" t="s">
        <v>1073</v>
      </c>
      <c r="D3147" t="s">
        <v>1074</v>
      </c>
      <c r="E3147" t="s">
        <v>1075</v>
      </c>
      <c r="F3147" t="s">
        <v>1076</v>
      </c>
      <c r="G3147" t="s">
        <v>1077</v>
      </c>
      <c r="H3147" t="s">
        <v>1078</v>
      </c>
      <c r="I3147" t="s">
        <v>1079</v>
      </c>
      <c r="J3147" t="s">
        <v>1080</v>
      </c>
      <c r="K3147" t="s">
        <v>1081</v>
      </c>
      <c r="L3147" t="s">
        <v>1082</v>
      </c>
      <c r="M3147" t="s">
        <v>318</v>
      </c>
      <c r="N3147" t="s">
        <v>1083</v>
      </c>
      <c r="O3147" t="s">
        <v>1084</v>
      </c>
      <c r="P3147" t="s">
        <v>1085</v>
      </c>
      <c r="Q3147" t="s">
        <v>1086</v>
      </c>
      <c r="R3147" t="s">
        <v>282</v>
      </c>
      <c r="S3147" t="s">
        <v>277</v>
      </c>
      <c r="T3147" t="s">
        <v>226</v>
      </c>
    </row>
    <row r="3148" spans="1:20" x14ac:dyDescent="0.35">
      <c r="A3148" t="s">
        <v>227</v>
      </c>
      <c r="B3148" t="s">
        <v>238</v>
      </c>
      <c r="C3148" s="2">
        <v>0.48580000000000001</v>
      </c>
      <c r="D3148" s="2">
        <v>0.65139999999999998</v>
      </c>
      <c r="E3148" s="2">
        <v>0.32569999999999999</v>
      </c>
      <c r="F3148" s="2">
        <v>8.7800000000000003E-2</v>
      </c>
      <c r="G3148" s="2">
        <v>0.10290000000000001</v>
      </c>
      <c r="H3148" s="2">
        <v>0.1487</v>
      </c>
      <c r="I3148" s="2">
        <v>6.6900000000000001E-2</v>
      </c>
      <c r="J3148" s="2">
        <v>4.4400000000000002E-2</v>
      </c>
      <c r="K3148" s="2">
        <v>3.6999999999999998E-2</v>
      </c>
      <c r="L3148" s="2">
        <v>1.54E-2</v>
      </c>
      <c r="M3148" s="2">
        <v>7.7000000000000002E-3</v>
      </c>
      <c r="N3148" s="2">
        <v>1.4200000000000001E-2</v>
      </c>
      <c r="O3148" s="2">
        <v>7.9000000000000008E-3</v>
      </c>
      <c r="P3148" s="2">
        <v>4.4000000000000003E-3</v>
      </c>
      <c r="Q3148" s="2">
        <v>6.9999999999999999E-4</v>
      </c>
      <c r="R3148" s="2">
        <v>5.0000000000000001E-4</v>
      </c>
      <c r="S3148" s="2">
        <v>2.9999999999999997E-4</v>
      </c>
      <c r="T3148">
        <v>1005</v>
      </c>
    </row>
    <row r="3149" spans="1:20" x14ac:dyDescent="0.35">
      <c r="A3149" t="s">
        <v>227</v>
      </c>
      <c r="B3149" t="s">
        <v>237</v>
      </c>
      <c r="C3149" s="2">
        <v>0.65190000000000003</v>
      </c>
      <c r="D3149" s="2">
        <v>0.37180000000000002</v>
      </c>
      <c r="E3149" s="2">
        <v>7.6899999999999996E-2</v>
      </c>
      <c r="F3149" s="2">
        <v>0.1087</v>
      </c>
      <c r="G3149" s="2">
        <v>9.9299999999999999E-2</v>
      </c>
      <c r="H3149" s="2">
        <v>6.2300000000000001E-2</v>
      </c>
      <c r="I3149" s="2">
        <v>8.0600000000000005E-2</v>
      </c>
      <c r="J3149" s="2">
        <v>4.1599999999999998E-2</v>
      </c>
      <c r="K3149" s="2">
        <v>3.09E-2</v>
      </c>
      <c r="L3149" s="2">
        <v>1.6E-2</v>
      </c>
      <c r="M3149" s="2">
        <v>1.6799999999999999E-2</v>
      </c>
      <c r="N3149" s="2">
        <v>8.8000000000000005E-3</v>
      </c>
      <c r="O3149" s="2">
        <v>7.1999999999999998E-3</v>
      </c>
      <c r="P3149" s="2">
        <v>5.1999999999999998E-3</v>
      </c>
      <c r="Q3149" s="2">
        <v>4.1999999999999997E-3</v>
      </c>
      <c r="R3149" s="2">
        <v>1.8E-3</v>
      </c>
      <c r="S3149" s="2">
        <v>1E-4</v>
      </c>
      <c r="T3149">
        <v>1803</v>
      </c>
    </row>
    <row r="3150" spans="1:20" x14ac:dyDescent="0.35">
      <c r="A3150" t="s">
        <v>228</v>
      </c>
      <c r="B3150" t="s">
        <v>228</v>
      </c>
      <c r="C3150" s="2">
        <v>0.59060000000000001</v>
      </c>
      <c r="D3150" s="2">
        <v>0.47499999999999998</v>
      </c>
      <c r="E3150" s="2">
        <v>0.16869999999999999</v>
      </c>
      <c r="F3150" s="2">
        <v>0.10100000000000001</v>
      </c>
      <c r="G3150" s="2">
        <v>0.10059999999999999</v>
      </c>
      <c r="H3150" s="2">
        <v>9.4200000000000006E-2</v>
      </c>
      <c r="I3150" s="2">
        <v>7.5499999999999998E-2</v>
      </c>
      <c r="J3150" s="2">
        <v>4.2599999999999999E-2</v>
      </c>
      <c r="K3150" s="2">
        <v>3.32E-2</v>
      </c>
      <c r="L3150" s="2">
        <v>1.5800000000000002E-2</v>
      </c>
      <c r="M3150" s="2">
        <v>1.35E-2</v>
      </c>
      <c r="N3150" s="2">
        <v>1.0800000000000001E-2</v>
      </c>
      <c r="O3150" s="2">
        <v>7.4999999999999997E-3</v>
      </c>
      <c r="P3150" s="2">
        <v>4.8999999999999998E-3</v>
      </c>
      <c r="Q3150" s="2">
        <v>2.8999999999999998E-3</v>
      </c>
      <c r="R3150" s="2">
        <v>1.2999999999999999E-3</v>
      </c>
      <c r="S3150" s="2">
        <v>2.0000000000000001E-4</v>
      </c>
      <c r="T3150">
        <v>2808</v>
      </c>
    </row>
    <row r="3152" spans="1:20" x14ac:dyDescent="0.35">
      <c r="A3152" s="1" t="s">
        <v>1088</v>
      </c>
    </row>
    <row r="3153" spans="1:20" x14ac:dyDescent="0.35">
      <c r="A3153" t="s">
        <v>219</v>
      </c>
      <c r="B3153" t="s">
        <v>301</v>
      </c>
      <c r="C3153" t="s">
        <v>1073</v>
      </c>
      <c r="D3153" t="s">
        <v>1074</v>
      </c>
      <c r="E3153" t="s">
        <v>1075</v>
      </c>
      <c r="F3153" t="s">
        <v>1076</v>
      </c>
      <c r="G3153" t="s">
        <v>1077</v>
      </c>
      <c r="H3153" t="s">
        <v>1078</v>
      </c>
      <c r="I3153" t="s">
        <v>1079</v>
      </c>
      <c r="J3153" t="s">
        <v>1080</v>
      </c>
      <c r="K3153" t="s">
        <v>1081</v>
      </c>
      <c r="L3153" t="s">
        <v>1082</v>
      </c>
      <c r="M3153" t="s">
        <v>318</v>
      </c>
      <c r="N3153" t="s">
        <v>1083</v>
      </c>
      <c r="O3153" t="s">
        <v>1084</v>
      </c>
      <c r="P3153" t="s">
        <v>1085</v>
      </c>
      <c r="Q3153" t="s">
        <v>1086</v>
      </c>
      <c r="R3153" t="s">
        <v>282</v>
      </c>
      <c r="S3153" t="s">
        <v>277</v>
      </c>
      <c r="T3153" t="s">
        <v>226</v>
      </c>
    </row>
    <row r="3154" spans="1:20" x14ac:dyDescent="0.35">
      <c r="A3154" t="s">
        <v>227</v>
      </c>
      <c r="B3154" t="s">
        <v>235</v>
      </c>
      <c r="C3154" s="2">
        <v>0.54459999999999997</v>
      </c>
      <c r="D3154" s="2">
        <v>0.51639999999999997</v>
      </c>
      <c r="E3154" s="2">
        <v>0.23069999999999999</v>
      </c>
      <c r="F3154" s="2">
        <v>0.1105</v>
      </c>
      <c r="G3154" s="2">
        <v>8.5999999999999993E-2</v>
      </c>
      <c r="H3154" s="2">
        <v>9.4100000000000003E-2</v>
      </c>
      <c r="I3154" s="2">
        <v>3.8300000000000001E-2</v>
      </c>
      <c r="J3154" s="2">
        <v>2.63E-2</v>
      </c>
      <c r="K3154" s="2">
        <v>6.2E-2</v>
      </c>
      <c r="L3154" s="2">
        <v>1.7999999999999999E-2</v>
      </c>
      <c r="M3154" s="2">
        <v>3.8999999999999998E-3</v>
      </c>
      <c r="N3154" s="2">
        <v>1.4500000000000001E-2</v>
      </c>
      <c r="O3154" s="2">
        <v>3.8999999999999998E-3</v>
      </c>
      <c r="P3154" s="2">
        <v>8.5000000000000006E-3</v>
      </c>
      <c r="Q3154" s="2">
        <v>4.0000000000000002E-4</v>
      </c>
      <c r="R3154" s="2">
        <v>1.1999999999999999E-3</v>
      </c>
      <c r="S3154" s="2">
        <v>2.9999999999999997E-4</v>
      </c>
      <c r="T3154">
        <v>991</v>
      </c>
    </row>
    <row r="3155" spans="1:20" x14ac:dyDescent="0.35">
      <c r="A3155" t="s">
        <v>227</v>
      </c>
      <c r="B3155" t="s">
        <v>234</v>
      </c>
      <c r="C3155" s="2">
        <v>0.6099</v>
      </c>
      <c r="D3155" s="2">
        <v>0.45760000000000001</v>
      </c>
      <c r="E3155" s="2">
        <v>0.14269999999999999</v>
      </c>
      <c r="F3155" s="2">
        <v>9.7000000000000003E-2</v>
      </c>
      <c r="G3155" s="2">
        <v>0.1067</v>
      </c>
      <c r="H3155" s="2">
        <v>9.4200000000000006E-2</v>
      </c>
      <c r="I3155" s="2">
        <v>9.11E-2</v>
      </c>
      <c r="J3155" s="2">
        <v>4.9500000000000002E-2</v>
      </c>
      <c r="K3155" s="2">
        <v>2.1100000000000001E-2</v>
      </c>
      <c r="L3155" s="2">
        <v>1.49E-2</v>
      </c>
      <c r="M3155" s="2">
        <v>1.7500000000000002E-2</v>
      </c>
      <c r="N3155" s="2">
        <v>9.2999999999999992E-3</v>
      </c>
      <c r="O3155" s="2">
        <v>8.9999999999999993E-3</v>
      </c>
      <c r="P3155" s="2">
        <v>3.3999999999999998E-3</v>
      </c>
      <c r="Q3155" s="2">
        <v>4.0000000000000001E-3</v>
      </c>
      <c r="R3155" s="2">
        <v>1.4E-3</v>
      </c>
      <c r="S3155" s="2">
        <v>2.0000000000000001E-4</v>
      </c>
      <c r="T3155">
        <v>1817</v>
      </c>
    </row>
    <row r="3156" spans="1:20" x14ac:dyDescent="0.35">
      <c r="A3156" t="s">
        <v>228</v>
      </c>
      <c r="B3156" t="s">
        <v>228</v>
      </c>
      <c r="C3156" s="2">
        <v>0.59060000000000001</v>
      </c>
      <c r="D3156" s="2">
        <v>0.47499999999999998</v>
      </c>
      <c r="E3156" s="2">
        <v>0.16869999999999999</v>
      </c>
      <c r="F3156" s="2">
        <v>0.10100000000000001</v>
      </c>
      <c r="G3156" s="2">
        <v>0.10059999999999999</v>
      </c>
      <c r="H3156" s="2">
        <v>9.4200000000000006E-2</v>
      </c>
      <c r="I3156" s="2">
        <v>7.5499999999999998E-2</v>
      </c>
      <c r="J3156" s="2">
        <v>4.2599999999999999E-2</v>
      </c>
      <c r="K3156" s="2">
        <v>3.32E-2</v>
      </c>
      <c r="L3156" s="2">
        <v>1.5800000000000002E-2</v>
      </c>
      <c r="M3156" s="2">
        <v>1.35E-2</v>
      </c>
      <c r="N3156" s="2">
        <v>1.0800000000000001E-2</v>
      </c>
      <c r="O3156" s="2">
        <v>7.4999999999999997E-3</v>
      </c>
      <c r="P3156" s="2">
        <v>4.8999999999999998E-3</v>
      </c>
      <c r="Q3156" s="2">
        <v>2.8999999999999998E-3</v>
      </c>
      <c r="R3156" s="2">
        <v>1.2999999999999999E-3</v>
      </c>
      <c r="S3156" s="2">
        <v>2.0000000000000001E-4</v>
      </c>
      <c r="T3156">
        <v>2808</v>
      </c>
    </row>
    <row r="3158" spans="1:20" x14ac:dyDescent="0.35">
      <c r="A3158" s="1" t="s">
        <v>1089</v>
      </c>
    </row>
    <row r="3159" spans="1:20" x14ac:dyDescent="0.35">
      <c r="A3159" t="s">
        <v>219</v>
      </c>
      <c r="B3159" t="s">
        <v>301</v>
      </c>
      <c r="C3159" t="s">
        <v>1073</v>
      </c>
      <c r="D3159" t="s">
        <v>1074</v>
      </c>
      <c r="E3159" t="s">
        <v>1075</v>
      </c>
      <c r="F3159" t="s">
        <v>1076</v>
      </c>
      <c r="G3159" t="s">
        <v>1077</v>
      </c>
      <c r="H3159" t="s">
        <v>1078</v>
      </c>
      <c r="I3159" t="s">
        <v>1079</v>
      </c>
      <c r="J3159" t="s">
        <v>1080</v>
      </c>
      <c r="K3159" t="s">
        <v>1081</v>
      </c>
      <c r="L3159" t="s">
        <v>1082</v>
      </c>
      <c r="M3159" t="s">
        <v>318</v>
      </c>
      <c r="N3159" t="s">
        <v>1083</v>
      </c>
      <c r="O3159" t="s">
        <v>1084</v>
      </c>
      <c r="P3159" t="s">
        <v>1085</v>
      </c>
      <c r="Q3159" t="s">
        <v>1086</v>
      </c>
      <c r="R3159" t="s">
        <v>282</v>
      </c>
      <c r="S3159" t="s">
        <v>277</v>
      </c>
      <c r="T3159" t="s">
        <v>226</v>
      </c>
    </row>
    <row r="3160" spans="1:20" x14ac:dyDescent="0.35">
      <c r="A3160" t="s">
        <v>227</v>
      </c>
      <c r="B3160" t="s">
        <v>240</v>
      </c>
      <c r="C3160" s="2">
        <v>0.66349999999999998</v>
      </c>
      <c r="D3160" s="2">
        <v>0.46750000000000003</v>
      </c>
      <c r="E3160" s="2">
        <v>0.1862</v>
      </c>
      <c r="F3160" s="2">
        <v>0.10150000000000001</v>
      </c>
      <c r="G3160" s="2">
        <v>9.2100000000000001E-2</v>
      </c>
      <c r="H3160" s="2">
        <v>9.2200000000000004E-2</v>
      </c>
      <c r="I3160" s="2">
        <v>9.69E-2</v>
      </c>
      <c r="J3160" s="2">
        <v>3.5999999999999997E-2</v>
      </c>
      <c r="K3160" s="2">
        <v>3.9399999999999998E-2</v>
      </c>
      <c r="L3160" s="2">
        <v>1.2E-2</v>
      </c>
      <c r="M3160" s="2">
        <v>1.3100000000000001E-2</v>
      </c>
      <c r="N3160" s="2">
        <v>1.06E-2</v>
      </c>
      <c r="O3160" s="2">
        <v>9.9000000000000008E-3</v>
      </c>
      <c r="P3160" s="2">
        <v>2.5999999999999999E-3</v>
      </c>
      <c r="Q3160" s="2">
        <v>3.3999999999999998E-3</v>
      </c>
      <c r="R3160" s="2">
        <v>6.9999999999999999E-4</v>
      </c>
      <c r="S3160" s="2">
        <v>2.9999999999999997E-4</v>
      </c>
      <c r="T3160">
        <v>1755</v>
      </c>
    </row>
    <row r="3161" spans="1:20" x14ac:dyDescent="0.35">
      <c r="A3161" t="s">
        <v>227</v>
      </c>
      <c r="B3161" t="s">
        <v>241</v>
      </c>
      <c r="C3161" s="2">
        <v>0.39329999999999998</v>
      </c>
      <c r="D3161" s="2">
        <v>0.4839</v>
      </c>
      <c r="E3161" s="2">
        <v>8.1000000000000003E-2</v>
      </c>
      <c r="F3161" s="2">
        <v>8.7300000000000003E-2</v>
      </c>
      <c r="G3161" s="2">
        <v>0.12529999999999999</v>
      </c>
      <c r="H3161" s="2">
        <v>8.3199999999999996E-2</v>
      </c>
      <c r="I3161" s="2">
        <v>2.69E-2</v>
      </c>
      <c r="J3161" s="2">
        <v>4.3999999999999997E-2</v>
      </c>
      <c r="K3161" s="2">
        <v>2.12E-2</v>
      </c>
      <c r="L3161" s="2">
        <v>2.1999999999999999E-2</v>
      </c>
      <c r="M3161" s="2">
        <v>1.7100000000000001E-2</v>
      </c>
      <c r="N3161" s="2">
        <v>1.18E-2</v>
      </c>
      <c r="O3161" s="2">
        <v>3.8999999999999998E-3</v>
      </c>
      <c r="P3161" s="2">
        <v>1.0999999999999999E-2</v>
      </c>
      <c r="Q3161" s="2">
        <v>1E-4</v>
      </c>
      <c r="R3161" s="2">
        <v>2.8E-3</v>
      </c>
      <c r="T3161">
        <v>887</v>
      </c>
    </row>
    <row r="3162" spans="1:20" x14ac:dyDescent="0.35">
      <c r="A3162" t="s">
        <v>227</v>
      </c>
      <c r="B3162" t="s">
        <v>242</v>
      </c>
      <c r="C3162" s="2">
        <v>0.76119999999999999</v>
      </c>
      <c r="D3162" s="2">
        <v>0.50780000000000003</v>
      </c>
      <c r="E3162" s="2">
        <v>0.38840000000000002</v>
      </c>
      <c r="F3162" s="2">
        <v>0.15620000000000001</v>
      </c>
      <c r="G3162" s="2">
        <v>7.2999999999999995E-2</v>
      </c>
      <c r="H3162" s="2">
        <v>0.16220000000000001</v>
      </c>
      <c r="I3162" s="2">
        <v>8.5199999999999998E-2</v>
      </c>
      <c r="J3162" s="2">
        <v>0.10100000000000001</v>
      </c>
      <c r="K3162" s="2">
        <v>2.6800000000000001E-2</v>
      </c>
      <c r="L3162" s="2">
        <v>2.53E-2</v>
      </c>
      <c r="M3162" s="2">
        <v>1.1000000000000001E-3</v>
      </c>
      <c r="N3162" s="2">
        <v>8.6999999999999994E-3</v>
      </c>
      <c r="Q3162" s="2">
        <v>1.0800000000000001E-2</v>
      </c>
      <c r="R3162" s="2">
        <v>1.1000000000000001E-3</v>
      </c>
      <c r="T3162">
        <v>166</v>
      </c>
    </row>
    <row r="3163" spans="1:20" x14ac:dyDescent="0.35">
      <c r="A3163" t="s">
        <v>228</v>
      </c>
      <c r="B3163" t="s">
        <v>228</v>
      </c>
      <c r="C3163" s="2">
        <v>0.59060000000000001</v>
      </c>
      <c r="D3163" s="2">
        <v>0.47499999999999998</v>
      </c>
      <c r="E3163" s="2">
        <v>0.16869999999999999</v>
      </c>
      <c r="F3163" s="2">
        <v>0.10100000000000001</v>
      </c>
      <c r="G3163" s="2">
        <v>0.10059999999999999</v>
      </c>
      <c r="H3163" s="2">
        <v>9.4200000000000006E-2</v>
      </c>
      <c r="I3163" s="2">
        <v>7.5499999999999998E-2</v>
      </c>
      <c r="J3163" s="2">
        <v>4.2599999999999999E-2</v>
      </c>
      <c r="K3163" s="2">
        <v>3.32E-2</v>
      </c>
      <c r="L3163" s="2">
        <v>1.5800000000000002E-2</v>
      </c>
      <c r="M3163" s="2">
        <v>1.35E-2</v>
      </c>
      <c r="N3163" s="2">
        <v>1.0800000000000001E-2</v>
      </c>
      <c r="O3163" s="2">
        <v>7.4999999999999997E-3</v>
      </c>
      <c r="P3163" s="2">
        <v>4.8999999999999998E-3</v>
      </c>
      <c r="Q3163" s="2">
        <v>2.8999999999999998E-3</v>
      </c>
      <c r="R3163" s="2">
        <v>1.2999999999999999E-3</v>
      </c>
      <c r="S3163" s="2">
        <v>2.0000000000000001E-4</v>
      </c>
      <c r="T3163">
        <v>2808</v>
      </c>
    </row>
    <row r="3165" spans="1:20" x14ac:dyDescent="0.35">
      <c r="A3165" s="1" t="s">
        <v>1090</v>
      </c>
    </row>
    <row r="3166" spans="1:20" x14ac:dyDescent="0.35">
      <c r="A3166" t="s">
        <v>219</v>
      </c>
      <c r="B3166" t="s">
        <v>301</v>
      </c>
      <c r="C3166" t="s">
        <v>1073</v>
      </c>
      <c r="D3166" t="s">
        <v>1074</v>
      </c>
      <c r="E3166" t="s">
        <v>1075</v>
      </c>
      <c r="F3166" t="s">
        <v>1076</v>
      </c>
      <c r="G3166" t="s">
        <v>1077</v>
      </c>
      <c r="H3166" t="s">
        <v>1078</v>
      </c>
      <c r="I3166" t="s">
        <v>1079</v>
      </c>
      <c r="J3166" t="s">
        <v>1080</v>
      </c>
      <c r="K3166" t="s">
        <v>1081</v>
      </c>
      <c r="L3166" t="s">
        <v>1082</v>
      </c>
      <c r="M3166" t="s">
        <v>318</v>
      </c>
      <c r="N3166" t="s">
        <v>1083</v>
      </c>
      <c r="O3166" t="s">
        <v>1084</v>
      </c>
      <c r="P3166" t="s">
        <v>1085</v>
      </c>
      <c r="Q3166" t="s">
        <v>1086</v>
      </c>
      <c r="R3166" t="s">
        <v>282</v>
      </c>
      <c r="S3166" t="s">
        <v>277</v>
      </c>
      <c r="T3166" t="s">
        <v>226</v>
      </c>
    </row>
    <row r="3167" spans="1:20" x14ac:dyDescent="0.35">
      <c r="A3167" t="s">
        <v>227</v>
      </c>
      <c r="B3167" t="s">
        <v>334</v>
      </c>
      <c r="C3167" s="2">
        <v>0.31809999999999999</v>
      </c>
      <c r="D3167" s="2">
        <v>0.66149999999999998</v>
      </c>
      <c r="E3167" s="2">
        <v>0.26069999999999999</v>
      </c>
      <c r="F3167" s="2">
        <v>9.8500000000000004E-2</v>
      </c>
      <c r="G3167" s="2">
        <v>8.0699999999999994E-2</v>
      </c>
      <c r="H3167" s="2">
        <v>0.1376</v>
      </c>
      <c r="I3167" s="2">
        <v>2.58E-2</v>
      </c>
      <c r="J3167" s="2">
        <v>2.8500000000000001E-2</v>
      </c>
      <c r="K3167" s="2">
        <v>4.8800000000000003E-2</v>
      </c>
      <c r="L3167" s="2">
        <v>4.8999999999999998E-3</v>
      </c>
      <c r="M3167" s="2">
        <v>1.2699999999999999E-2</v>
      </c>
      <c r="N3167" s="2">
        <v>1.21E-2</v>
      </c>
      <c r="O3167" s="2">
        <v>2.0000000000000001E-4</v>
      </c>
      <c r="P3167" s="2">
        <v>2.3099999999999999E-2</v>
      </c>
      <c r="Q3167" s="2">
        <v>3.7000000000000002E-3</v>
      </c>
      <c r="T3167">
        <v>625</v>
      </c>
    </row>
    <row r="3168" spans="1:20" x14ac:dyDescent="0.35">
      <c r="A3168" t="s">
        <v>227</v>
      </c>
      <c r="B3168" t="s">
        <v>335</v>
      </c>
      <c r="C3168" s="2">
        <v>0.8397</v>
      </c>
      <c r="D3168" s="2">
        <v>0.27610000000000001</v>
      </c>
      <c r="E3168" s="2">
        <v>9.2100000000000001E-2</v>
      </c>
      <c r="F3168" s="2">
        <v>0.1069</v>
      </c>
      <c r="G3168" s="2">
        <v>0.1167</v>
      </c>
      <c r="H3168" s="2">
        <v>2.6700000000000002E-2</v>
      </c>
      <c r="I3168" s="2">
        <v>0.13339999999999999</v>
      </c>
      <c r="J3168" s="2">
        <v>5.3699999999999998E-2</v>
      </c>
      <c r="K3168" s="2">
        <v>1.89E-2</v>
      </c>
      <c r="L3168" s="2">
        <v>3.4599999999999999E-2</v>
      </c>
      <c r="M3168" s="2">
        <v>2.3599999999999999E-2</v>
      </c>
      <c r="N3168" s="2">
        <v>4.1999999999999997E-3</v>
      </c>
      <c r="O3168" s="2">
        <v>1.41E-2</v>
      </c>
      <c r="Q3168" s="2">
        <v>3.2000000000000002E-3</v>
      </c>
      <c r="T3168">
        <v>626</v>
      </c>
    </row>
    <row r="3169" spans="1:20" x14ac:dyDescent="0.35">
      <c r="A3169" t="s">
        <v>227</v>
      </c>
      <c r="B3169" t="s">
        <v>336</v>
      </c>
      <c r="C3169" s="2">
        <v>0.44080000000000003</v>
      </c>
      <c r="D3169" s="2">
        <v>0.5897</v>
      </c>
      <c r="E3169" s="2">
        <v>0.23710000000000001</v>
      </c>
      <c r="F3169" s="2">
        <v>7.3700000000000002E-2</v>
      </c>
      <c r="G3169" s="2">
        <v>0.1023</v>
      </c>
      <c r="H3169" s="2">
        <v>0.1641</v>
      </c>
      <c r="I3169" s="2">
        <v>2.9899999999999999E-2</v>
      </c>
      <c r="J3169" s="2">
        <v>3.5099999999999999E-2</v>
      </c>
      <c r="K3169" s="2">
        <v>3.1899999999999998E-2</v>
      </c>
      <c r="L3169" s="2">
        <v>2.3E-3</v>
      </c>
      <c r="M3169" s="2">
        <v>1.1900000000000001E-2</v>
      </c>
      <c r="N3169" s="2">
        <v>2.0199999999999999E-2</v>
      </c>
      <c r="O3169" s="2">
        <v>4.7999999999999996E-3</v>
      </c>
      <c r="Q3169" s="2">
        <v>5.4999999999999997E-3</v>
      </c>
      <c r="T3169">
        <v>620</v>
      </c>
    </row>
    <row r="3170" spans="1:20" x14ac:dyDescent="0.35">
      <c r="A3170" t="s">
        <v>227</v>
      </c>
      <c r="B3170" t="s">
        <v>337</v>
      </c>
      <c r="C3170" s="2">
        <v>0.64380000000000004</v>
      </c>
      <c r="D3170" s="2">
        <v>0.53110000000000002</v>
      </c>
      <c r="E3170" s="2">
        <v>0.18029999999999999</v>
      </c>
      <c r="F3170" s="2">
        <v>0.11119999999999999</v>
      </c>
      <c r="G3170" s="2">
        <v>0.13039999999999999</v>
      </c>
      <c r="H3170" s="2">
        <v>0.11</v>
      </c>
      <c r="I3170" s="2">
        <v>6.83E-2</v>
      </c>
      <c r="J3170" s="2">
        <v>6.1100000000000002E-2</v>
      </c>
      <c r="K3170" s="2">
        <v>3.8899999999999997E-2</v>
      </c>
      <c r="L3170" s="2">
        <v>1.9699999999999999E-2</v>
      </c>
      <c r="M3170" s="2">
        <v>7.1999999999999998E-3</v>
      </c>
      <c r="N3170" s="2">
        <v>1.38E-2</v>
      </c>
      <c r="O3170" s="2">
        <v>1.09E-2</v>
      </c>
      <c r="Q3170" s="2">
        <v>5.0000000000000001E-4</v>
      </c>
      <c r="T3170">
        <v>602</v>
      </c>
    </row>
    <row r="3171" spans="1:20" x14ac:dyDescent="0.35">
      <c r="A3171" t="s">
        <v>228</v>
      </c>
      <c r="B3171" t="s">
        <v>228</v>
      </c>
      <c r="C3171" s="2">
        <v>0.59060000000000001</v>
      </c>
      <c r="D3171" s="2">
        <v>0.47499999999999998</v>
      </c>
      <c r="E3171" s="2">
        <v>0.16869999999999999</v>
      </c>
      <c r="F3171" s="2">
        <v>0.10100000000000001</v>
      </c>
      <c r="G3171" s="2">
        <v>0.10059999999999999</v>
      </c>
      <c r="H3171" s="2">
        <v>9.4200000000000006E-2</v>
      </c>
      <c r="I3171" s="2">
        <v>7.5499999999999998E-2</v>
      </c>
      <c r="J3171" s="2">
        <v>4.2599999999999999E-2</v>
      </c>
      <c r="K3171" s="2">
        <v>3.32E-2</v>
      </c>
      <c r="L3171" s="2">
        <v>1.5800000000000002E-2</v>
      </c>
      <c r="M3171" s="2">
        <v>1.35E-2</v>
      </c>
      <c r="N3171" s="2">
        <v>1.0800000000000001E-2</v>
      </c>
      <c r="O3171" s="2">
        <v>7.4999999999999997E-3</v>
      </c>
      <c r="P3171" s="2">
        <v>4.8999999999999998E-3</v>
      </c>
      <c r="Q3171" s="2">
        <v>2.8999999999999998E-3</v>
      </c>
      <c r="R3171" s="2">
        <v>1.2999999999999999E-3</v>
      </c>
      <c r="S3171" s="2">
        <v>2.0000000000000001E-4</v>
      </c>
      <c r="T3171">
        <v>2473</v>
      </c>
    </row>
    <row r="3173" spans="1:20" x14ac:dyDescent="0.35">
      <c r="A3173" s="1" t="s">
        <v>1091</v>
      </c>
    </row>
    <row r="3174" spans="1:20" x14ac:dyDescent="0.35">
      <c r="A3174" t="s">
        <v>219</v>
      </c>
      <c r="B3174" t="s">
        <v>301</v>
      </c>
      <c r="C3174" t="s">
        <v>1073</v>
      </c>
      <c r="D3174" t="s">
        <v>1074</v>
      </c>
      <c r="E3174" t="s">
        <v>1075</v>
      </c>
      <c r="F3174" t="s">
        <v>1076</v>
      </c>
      <c r="G3174" t="s">
        <v>1077</v>
      </c>
      <c r="H3174" t="s">
        <v>1078</v>
      </c>
      <c r="I3174" t="s">
        <v>1079</v>
      </c>
      <c r="J3174" t="s">
        <v>1080</v>
      </c>
      <c r="K3174" t="s">
        <v>1081</v>
      </c>
      <c r="L3174" t="s">
        <v>1082</v>
      </c>
      <c r="M3174" t="s">
        <v>318</v>
      </c>
      <c r="N3174" t="s">
        <v>1083</v>
      </c>
      <c r="O3174" t="s">
        <v>1084</v>
      </c>
      <c r="P3174" t="s">
        <v>1085</v>
      </c>
      <c r="Q3174" t="s">
        <v>1086</v>
      </c>
      <c r="R3174" t="s">
        <v>282</v>
      </c>
      <c r="S3174" t="s">
        <v>277</v>
      </c>
      <c r="T3174" t="s">
        <v>226</v>
      </c>
    </row>
    <row r="3175" spans="1:20" x14ac:dyDescent="0.35">
      <c r="A3175" t="s">
        <v>227</v>
      </c>
      <c r="B3175" t="s">
        <v>263</v>
      </c>
      <c r="C3175" s="2">
        <v>0.6028</v>
      </c>
      <c r="D3175" s="2">
        <v>0.40849999999999997</v>
      </c>
      <c r="E3175" s="2">
        <v>0.1633</v>
      </c>
      <c r="F3175" s="2">
        <v>0.12239999999999999</v>
      </c>
      <c r="G3175" s="2">
        <v>6.54E-2</v>
      </c>
      <c r="H3175" s="2">
        <v>6.3399999999999998E-2</v>
      </c>
      <c r="I3175" s="2">
        <v>9.7600000000000006E-2</v>
      </c>
      <c r="J3175" s="2">
        <v>3.4099999999999998E-2</v>
      </c>
      <c r="K3175" s="2">
        <v>2.2700000000000001E-2</v>
      </c>
      <c r="L3175" s="2">
        <v>3.0700000000000002E-2</v>
      </c>
      <c r="M3175" s="2">
        <v>4.7000000000000002E-3</v>
      </c>
      <c r="N3175" s="2">
        <v>7.4999999999999997E-3</v>
      </c>
      <c r="O3175" s="2">
        <v>3.8999999999999998E-3</v>
      </c>
      <c r="P3175" s="2">
        <v>0.01</v>
      </c>
      <c r="Q3175" s="2">
        <v>1E-4</v>
      </c>
      <c r="R3175" s="2">
        <v>3.5999999999999999E-3</v>
      </c>
      <c r="S3175" s="2">
        <v>4.0000000000000002E-4</v>
      </c>
      <c r="T3175">
        <v>587</v>
      </c>
    </row>
    <row r="3176" spans="1:20" x14ac:dyDescent="0.35">
      <c r="A3176" t="s">
        <v>227</v>
      </c>
      <c r="B3176" t="s">
        <v>262</v>
      </c>
      <c r="C3176" s="2">
        <v>0.45390000000000003</v>
      </c>
      <c r="D3176" s="2">
        <v>0.51100000000000001</v>
      </c>
      <c r="E3176" s="2">
        <v>0.13850000000000001</v>
      </c>
      <c r="F3176" s="2">
        <v>8.1299999999999997E-2</v>
      </c>
      <c r="G3176" s="2">
        <v>0.13239999999999999</v>
      </c>
      <c r="H3176" s="2">
        <v>0.12959999999999999</v>
      </c>
      <c r="I3176" s="2">
        <v>3.2500000000000001E-2</v>
      </c>
      <c r="J3176" s="2">
        <v>4.9299999999999997E-2</v>
      </c>
      <c r="K3176" s="2">
        <v>3.5900000000000001E-2</v>
      </c>
      <c r="L3176" s="2">
        <v>1.0699999999999999E-2</v>
      </c>
      <c r="M3176" s="2">
        <v>2.6499999999999999E-2</v>
      </c>
      <c r="N3176" s="2">
        <v>1.46E-2</v>
      </c>
      <c r="O3176" s="2">
        <v>1.1299999999999999E-2</v>
      </c>
      <c r="P3176" s="2">
        <v>5.1000000000000004E-3</v>
      </c>
      <c r="Q3176" s="2">
        <v>5.4999999999999997E-3</v>
      </c>
      <c r="R3176" s="2">
        <v>5.9999999999999995E-4</v>
      </c>
      <c r="S3176" s="2">
        <v>2.9999999999999997E-4</v>
      </c>
      <c r="T3176">
        <v>1157</v>
      </c>
    </row>
    <row r="3177" spans="1:20" x14ac:dyDescent="0.35">
      <c r="A3177" t="s">
        <v>227</v>
      </c>
      <c r="B3177" t="s">
        <v>261</v>
      </c>
      <c r="C3177" s="2">
        <v>0.70130000000000003</v>
      </c>
      <c r="D3177" s="2">
        <v>0.47470000000000001</v>
      </c>
      <c r="E3177" s="2">
        <v>0.19789999999999999</v>
      </c>
      <c r="F3177" s="2">
        <v>0.10780000000000001</v>
      </c>
      <c r="G3177" s="2">
        <v>9.0700000000000003E-2</v>
      </c>
      <c r="H3177" s="2">
        <v>7.9000000000000001E-2</v>
      </c>
      <c r="I3177" s="2">
        <v>0.1021</v>
      </c>
      <c r="J3177" s="2">
        <v>4.1200000000000001E-2</v>
      </c>
      <c r="K3177" s="2">
        <v>3.61E-2</v>
      </c>
      <c r="L3177" s="2">
        <v>1.29E-2</v>
      </c>
      <c r="M3177" s="2">
        <v>6.4999999999999997E-3</v>
      </c>
      <c r="N3177" s="2">
        <v>9.1999999999999998E-3</v>
      </c>
      <c r="O3177" s="2">
        <v>6.0000000000000001E-3</v>
      </c>
      <c r="P3177" s="2">
        <v>2.2000000000000001E-3</v>
      </c>
      <c r="Q3177" s="2">
        <v>2E-3</v>
      </c>
      <c r="R3177" s="2">
        <v>8.0000000000000004E-4</v>
      </c>
      <c r="T3177">
        <v>1062</v>
      </c>
    </row>
    <row r="3178" spans="1:20" x14ac:dyDescent="0.35">
      <c r="A3178" s="3" t="s">
        <v>227</v>
      </c>
      <c r="B3178" s="3" t="s">
        <v>232</v>
      </c>
      <c r="C3178" s="4">
        <v>1</v>
      </c>
      <c r="D3178" s="4">
        <v>1</v>
      </c>
      <c r="E3178" s="5"/>
      <c r="F3178" s="5"/>
      <c r="G3178" s="5"/>
      <c r="H3178" s="5"/>
      <c r="I3178" s="5"/>
      <c r="J3178" s="5"/>
      <c r="K3178" s="5"/>
      <c r="L3178" s="5"/>
      <c r="M3178" s="5"/>
      <c r="N3178" s="5"/>
      <c r="O3178" s="5"/>
      <c r="P3178" s="5"/>
      <c r="Q3178" s="5"/>
      <c r="R3178" s="5"/>
      <c r="S3178" s="5"/>
      <c r="T3178" s="5" t="s">
        <v>434</v>
      </c>
    </row>
    <row r="3179" spans="1:20" x14ac:dyDescent="0.35">
      <c r="A3179" t="s">
        <v>228</v>
      </c>
      <c r="B3179" t="s">
        <v>228</v>
      </c>
      <c r="C3179" s="2">
        <v>0.59060000000000001</v>
      </c>
      <c r="D3179" s="2">
        <v>0.47499999999999998</v>
      </c>
      <c r="E3179" s="2">
        <v>0.16869999999999999</v>
      </c>
      <c r="F3179" s="2">
        <v>0.10100000000000001</v>
      </c>
      <c r="G3179" s="2">
        <v>0.10059999999999999</v>
      </c>
      <c r="H3179" s="2">
        <v>9.4200000000000006E-2</v>
      </c>
      <c r="I3179" s="2">
        <v>7.5499999999999998E-2</v>
      </c>
      <c r="J3179" s="2">
        <v>4.2599999999999999E-2</v>
      </c>
      <c r="K3179" s="2">
        <v>3.32E-2</v>
      </c>
      <c r="L3179" s="2">
        <v>1.5800000000000002E-2</v>
      </c>
      <c r="M3179" s="2">
        <v>1.35E-2</v>
      </c>
      <c r="N3179" s="2">
        <v>1.0800000000000001E-2</v>
      </c>
      <c r="O3179" s="2">
        <v>7.4999999999999997E-3</v>
      </c>
      <c r="P3179" s="2">
        <v>4.8999999999999998E-3</v>
      </c>
      <c r="Q3179" s="2">
        <v>2.8999999999999998E-3</v>
      </c>
      <c r="R3179" s="2">
        <v>1.2999999999999999E-3</v>
      </c>
      <c r="S3179" s="2">
        <v>2.0000000000000001E-4</v>
      </c>
      <c r="T3179">
        <v>2808</v>
      </c>
    </row>
    <row r="3181" spans="1:20" x14ac:dyDescent="0.35">
      <c r="A3181" s="1" t="s">
        <v>1092</v>
      </c>
    </row>
    <row r="3182" spans="1:20" x14ac:dyDescent="0.35">
      <c r="A3182" t="s">
        <v>219</v>
      </c>
      <c r="B3182" t="s">
        <v>301</v>
      </c>
      <c r="C3182" t="s">
        <v>1073</v>
      </c>
      <c r="D3182" t="s">
        <v>1074</v>
      </c>
      <c r="E3182" t="s">
        <v>1075</v>
      </c>
      <c r="F3182" t="s">
        <v>1076</v>
      </c>
      <c r="G3182" t="s">
        <v>1077</v>
      </c>
      <c r="H3182" t="s">
        <v>1078</v>
      </c>
      <c r="I3182" t="s">
        <v>1079</v>
      </c>
      <c r="J3182" t="s">
        <v>1080</v>
      </c>
      <c r="K3182" t="s">
        <v>1081</v>
      </c>
      <c r="L3182" t="s">
        <v>1082</v>
      </c>
      <c r="M3182" t="s">
        <v>318</v>
      </c>
      <c r="N3182" t="s">
        <v>1083</v>
      </c>
      <c r="O3182" t="s">
        <v>1084</v>
      </c>
      <c r="P3182" t="s">
        <v>1085</v>
      </c>
      <c r="Q3182" t="s">
        <v>1086</v>
      </c>
      <c r="R3182" t="s">
        <v>282</v>
      </c>
      <c r="S3182" t="s">
        <v>277</v>
      </c>
      <c r="T3182" t="s">
        <v>226</v>
      </c>
    </row>
    <row r="3183" spans="1:20" x14ac:dyDescent="0.35">
      <c r="A3183" t="s">
        <v>227</v>
      </c>
      <c r="B3183" t="s">
        <v>248</v>
      </c>
      <c r="C3183" s="2">
        <v>0.15609999999999999</v>
      </c>
      <c r="D3183" s="2">
        <v>0.94889999999999997</v>
      </c>
      <c r="E3183" s="2">
        <v>9.1700000000000004E-2</v>
      </c>
      <c r="F3183" s="2">
        <v>3.5900000000000001E-2</v>
      </c>
      <c r="G3183" s="2">
        <v>0.1095</v>
      </c>
      <c r="H3183" s="2">
        <v>0.1457</v>
      </c>
      <c r="I3183" s="2">
        <v>3.5200000000000002E-2</v>
      </c>
      <c r="J3183" s="2">
        <v>3.04E-2</v>
      </c>
      <c r="K3183" s="2">
        <v>2.2499999999999999E-2</v>
      </c>
      <c r="L3183" s="2">
        <v>1.04E-2</v>
      </c>
      <c r="M3183" s="2">
        <v>8.9999999999999998E-4</v>
      </c>
      <c r="N3183" s="2">
        <v>1.8700000000000001E-2</v>
      </c>
      <c r="O3183" s="2">
        <v>1.2200000000000001E-2</v>
      </c>
      <c r="P3183" s="2">
        <v>2.5999999999999999E-3</v>
      </c>
      <c r="Q3183" s="2">
        <v>1.1000000000000001E-3</v>
      </c>
      <c r="T3183">
        <v>796</v>
      </c>
    </row>
    <row r="3184" spans="1:20" x14ac:dyDescent="0.35">
      <c r="A3184" t="s">
        <v>227</v>
      </c>
      <c r="B3184" t="s">
        <v>249</v>
      </c>
      <c r="C3184" s="2">
        <v>0.68369999999999997</v>
      </c>
      <c r="D3184" s="2">
        <v>0.90590000000000004</v>
      </c>
      <c r="E3184" s="2">
        <v>0.222</v>
      </c>
      <c r="F3184" s="2">
        <v>9.7299999999999998E-2</v>
      </c>
      <c r="G3184" s="2">
        <v>7.5600000000000001E-2</v>
      </c>
      <c r="H3184" s="2">
        <v>0.129</v>
      </c>
      <c r="I3184" s="2">
        <v>9.69E-2</v>
      </c>
      <c r="J3184" s="2">
        <v>4.7300000000000002E-2</v>
      </c>
      <c r="K3184" s="2">
        <v>5.6000000000000001E-2</v>
      </c>
      <c r="L3184" s="2">
        <v>1.03E-2</v>
      </c>
      <c r="M3184" s="2">
        <v>1.04E-2</v>
      </c>
      <c r="N3184" s="2">
        <v>6.7000000000000002E-3</v>
      </c>
      <c r="O3184" s="2">
        <v>1.6899999999999998E-2</v>
      </c>
      <c r="P3184" s="2">
        <v>4.8999999999999998E-3</v>
      </c>
      <c r="Q3184" s="2">
        <v>4.1999999999999997E-3</v>
      </c>
      <c r="S3184" s="2">
        <v>4.0000000000000002E-4</v>
      </c>
      <c r="T3184">
        <v>541</v>
      </c>
    </row>
    <row r="3185" spans="1:20" x14ac:dyDescent="0.35">
      <c r="A3185" t="s">
        <v>227</v>
      </c>
      <c r="B3185" t="s">
        <v>247</v>
      </c>
      <c r="C3185" s="2">
        <v>0.78180000000000005</v>
      </c>
      <c r="D3185" s="2">
        <v>7.1599999999999997E-2</v>
      </c>
      <c r="E3185" s="2">
        <v>0.18920000000000001</v>
      </c>
      <c r="F3185" s="2">
        <v>0.1361</v>
      </c>
      <c r="G3185" s="2">
        <v>0.1051</v>
      </c>
      <c r="H3185" s="2">
        <v>5.4699999999999999E-2</v>
      </c>
      <c r="I3185" s="2">
        <v>8.8599999999999998E-2</v>
      </c>
      <c r="J3185" s="2">
        <v>4.7300000000000002E-2</v>
      </c>
      <c r="K3185" s="2">
        <v>3.04E-2</v>
      </c>
      <c r="L3185" s="2">
        <v>2.06E-2</v>
      </c>
      <c r="M3185" s="2">
        <v>2.1100000000000001E-2</v>
      </c>
      <c r="N3185" s="2">
        <v>8.2000000000000007E-3</v>
      </c>
      <c r="O3185" s="2">
        <v>1.6000000000000001E-3</v>
      </c>
      <c r="P3185" s="2">
        <v>6.1000000000000004E-3</v>
      </c>
      <c r="Q3185" s="2">
        <v>3.3999999999999998E-3</v>
      </c>
      <c r="R3185" s="2">
        <v>2.5000000000000001E-3</v>
      </c>
      <c r="S3185" s="2">
        <v>2.0000000000000001E-4</v>
      </c>
      <c r="T3185">
        <v>1471</v>
      </c>
    </row>
    <row r="3186" spans="1:20" x14ac:dyDescent="0.35">
      <c r="A3186" t="s">
        <v>228</v>
      </c>
      <c r="B3186" t="s">
        <v>228</v>
      </c>
      <c r="C3186" s="2">
        <v>0.59060000000000001</v>
      </c>
      <c r="D3186" s="2">
        <v>0.47499999999999998</v>
      </c>
      <c r="E3186" s="2">
        <v>0.16869999999999999</v>
      </c>
      <c r="F3186" s="2">
        <v>0.10100000000000001</v>
      </c>
      <c r="G3186" s="2">
        <v>0.10059999999999999</v>
      </c>
      <c r="H3186" s="2">
        <v>9.4200000000000006E-2</v>
      </c>
      <c r="I3186" s="2">
        <v>7.5499999999999998E-2</v>
      </c>
      <c r="J3186" s="2">
        <v>4.2599999999999999E-2</v>
      </c>
      <c r="K3186" s="2">
        <v>3.32E-2</v>
      </c>
      <c r="L3186" s="2">
        <v>1.5800000000000002E-2</v>
      </c>
      <c r="M3186" s="2">
        <v>1.35E-2</v>
      </c>
      <c r="N3186" s="2">
        <v>1.0800000000000001E-2</v>
      </c>
      <c r="O3186" s="2">
        <v>7.4999999999999997E-3</v>
      </c>
      <c r="P3186" s="2">
        <v>4.8999999999999998E-3</v>
      </c>
      <c r="Q3186" s="2">
        <v>2.8999999999999998E-3</v>
      </c>
      <c r="R3186" s="2">
        <v>1.2999999999999999E-3</v>
      </c>
      <c r="S3186" s="2">
        <v>2.0000000000000001E-4</v>
      </c>
      <c r="T3186">
        <v>2808</v>
      </c>
    </row>
    <row r="3188" spans="1:20" x14ac:dyDescent="0.35">
      <c r="A3188" s="1" t="s">
        <v>1093</v>
      </c>
    </row>
    <row r="3189" spans="1:20" x14ac:dyDescent="0.35">
      <c r="A3189" t="s">
        <v>219</v>
      </c>
      <c r="B3189" t="s">
        <v>301</v>
      </c>
      <c r="C3189" t="s">
        <v>1073</v>
      </c>
      <c r="D3189" t="s">
        <v>1074</v>
      </c>
      <c r="E3189" t="s">
        <v>1075</v>
      </c>
      <c r="F3189" t="s">
        <v>1076</v>
      </c>
      <c r="G3189" t="s">
        <v>1077</v>
      </c>
      <c r="H3189" t="s">
        <v>1078</v>
      </c>
      <c r="I3189" t="s">
        <v>1079</v>
      </c>
      <c r="J3189" t="s">
        <v>1080</v>
      </c>
      <c r="K3189" t="s">
        <v>1081</v>
      </c>
      <c r="L3189" t="s">
        <v>1082</v>
      </c>
      <c r="M3189" t="s">
        <v>318</v>
      </c>
      <c r="N3189" t="s">
        <v>1083</v>
      </c>
      <c r="O3189" t="s">
        <v>1084</v>
      </c>
      <c r="P3189" t="s">
        <v>1085</v>
      </c>
      <c r="Q3189" t="s">
        <v>1086</v>
      </c>
      <c r="R3189" t="s">
        <v>282</v>
      </c>
      <c r="S3189" t="s">
        <v>277</v>
      </c>
      <c r="T3189" t="s">
        <v>226</v>
      </c>
    </row>
    <row r="3190" spans="1:20" x14ac:dyDescent="0.35">
      <c r="A3190" t="s">
        <v>227</v>
      </c>
      <c r="B3190" t="s">
        <v>245</v>
      </c>
      <c r="C3190" s="2">
        <v>0.78720000000000001</v>
      </c>
      <c r="D3190" s="2">
        <v>0.23330000000000001</v>
      </c>
      <c r="E3190" s="2">
        <v>0.26279999999999998</v>
      </c>
      <c r="F3190" s="2">
        <v>0.1462</v>
      </c>
      <c r="G3190" s="2">
        <v>0.1179</v>
      </c>
      <c r="H3190" s="2">
        <v>0.1077</v>
      </c>
      <c r="I3190" s="2">
        <v>8.3099999999999993E-2</v>
      </c>
      <c r="J3190" s="2">
        <v>5.3199999999999997E-2</v>
      </c>
      <c r="K3190" s="2">
        <v>2.5499999999999998E-2</v>
      </c>
      <c r="L3190" s="2">
        <v>1.06E-2</v>
      </c>
      <c r="M3190" s="2">
        <v>2.5000000000000001E-2</v>
      </c>
      <c r="N3190" s="2">
        <v>6.4999999999999997E-3</v>
      </c>
      <c r="O3190" s="2">
        <v>2.7000000000000001E-3</v>
      </c>
      <c r="P3190" s="2">
        <v>2.5000000000000001E-3</v>
      </c>
      <c r="Q3190" s="2">
        <v>5.4999999999999997E-3</v>
      </c>
      <c r="R3190" s="2">
        <v>8.0000000000000004E-4</v>
      </c>
      <c r="T3190">
        <v>782</v>
      </c>
    </row>
    <row r="3191" spans="1:20" x14ac:dyDescent="0.35">
      <c r="A3191" t="s">
        <v>227</v>
      </c>
      <c r="B3191" t="s">
        <v>244</v>
      </c>
      <c r="C3191" s="2">
        <v>0.51280000000000003</v>
      </c>
      <c r="D3191" s="2">
        <v>0.5706</v>
      </c>
      <c r="E3191" s="2">
        <v>0.13150000000000001</v>
      </c>
      <c r="F3191" s="2">
        <v>8.3099999999999993E-2</v>
      </c>
      <c r="G3191" s="2">
        <v>9.3799999999999994E-2</v>
      </c>
      <c r="H3191" s="2">
        <v>8.8800000000000004E-2</v>
      </c>
      <c r="I3191" s="2">
        <v>7.2599999999999998E-2</v>
      </c>
      <c r="J3191" s="2">
        <v>3.85E-2</v>
      </c>
      <c r="K3191" s="2">
        <v>3.6299999999999999E-2</v>
      </c>
      <c r="L3191" s="2">
        <v>1.78E-2</v>
      </c>
      <c r="M3191" s="2">
        <v>8.8999999999999999E-3</v>
      </c>
      <c r="N3191" s="2">
        <v>1.2500000000000001E-2</v>
      </c>
      <c r="O3191" s="2">
        <v>9.4000000000000004E-3</v>
      </c>
      <c r="P3191" s="2">
        <v>5.7999999999999996E-3</v>
      </c>
      <c r="Q3191" s="2">
        <v>1.9E-3</v>
      </c>
      <c r="R3191" s="2">
        <v>1.5E-3</v>
      </c>
      <c r="S3191" s="2">
        <v>2.9999999999999997E-4</v>
      </c>
      <c r="T3191">
        <v>2026</v>
      </c>
    </row>
    <row r="3192" spans="1:20" x14ac:dyDescent="0.35">
      <c r="A3192" t="s">
        <v>228</v>
      </c>
      <c r="B3192" t="s">
        <v>228</v>
      </c>
      <c r="C3192" s="2">
        <v>0.59060000000000001</v>
      </c>
      <c r="D3192" s="2">
        <v>0.47499999999999998</v>
      </c>
      <c r="E3192" s="2">
        <v>0.16869999999999999</v>
      </c>
      <c r="F3192" s="2">
        <v>0.10100000000000001</v>
      </c>
      <c r="G3192" s="2">
        <v>0.10059999999999999</v>
      </c>
      <c r="H3192" s="2">
        <v>9.4200000000000006E-2</v>
      </c>
      <c r="I3192" s="2">
        <v>7.5499999999999998E-2</v>
      </c>
      <c r="J3192" s="2">
        <v>4.2599999999999999E-2</v>
      </c>
      <c r="K3192" s="2">
        <v>3.32E-2</v>
      </c>
      <c r="L3192" s="2">
        <v>1.5800000000000002E-2</v>
      </c>
      <c r="M3192" s="2">
        <v>1.35E-2</v>
      </c>
      <c r="N3192" s="2">
        <v>1.0800000000000001E-2</v>
      </c>
      <c r="O3192" s="2">
        <v>7.4999999999999997E-3</v>
      </c>
      <c r="P3192" s="2">
        <v>4.8999999999999998E-3</v>
      </c>
      <c r="Q3192" s="2">
        <v>2.8999999999999998E-3</v>
      </c>
      <c r="R3192" s="2">
        <v>1.2999999999999999E-3</v>
      </c>
      <c r="S3192" s="2">
        <v>2.0000000000000001E-4</v>
      </c>
      <c r="T3192">
        <v>2808</v>
      </c>
    </row>
    <row r="3194" spans="1:20" x14ac:dyDescent="0.35">
      <c r="A3194" s="1" t="s">
        <v>1094</v>
      </c>
    </row>
    <row r="3195" spans="1:20" x14ac:dyDescent="0.35">
      <c r="A3195" t="s">
        <v>219</v>
      </c>
      <c r="B3195" t="s">
        <v>301</v>
      </c>
      <c r="C3195" t="s">
        <v>1073</v>
      </c>
      <c r="D3195" t="s">
        <v>1074</v>
      </c>
      <c r="E3195" t="s">
        <v>1075</v>
      </c>
      <c r="F3195" t="s">
        <v>1076</v>
      </c>
      <c r="G3195" t="s">
        <v>1077</v>
      </c>
      <c r="H3195" t="s">
        <v>1078</v>
      </c>
      <c r="I3195" t="s">
        <v>1079</v>
      </c>
      <c r="J3195" t="s">
        <v>1080</v>
      </c>
      <c r="K3195" t="s">
        <v>1081</v>
      </c>
      <c r="L3195" t="s">
        <v>1082</v>
      </c>
      <c r="M3195" t="s">
        <v>318</v>
      </c>
      <c r="N3195" t="s">
        <v>1083</v>
      </c>
      <c r="O3195" t="s">
        <v>1084</v>
      </c>
      <c r="P3195" t="s">
        <v>1085</v>
      </c>
      <c r="Q3195" t="s">
        <v>1086</v>
      </c>
      <c r="R3195" t="s">
        <v>282</v>
      </c>
      <c r="S3195" t="s">
        <v>277</v>
      </c>
      <c r="T3195" t="s">
        <v>226</v>
      </c>
    </row>
    <row r="3196" spans="1:20" x14ac:dyDescent="0.35">
      <c r="A3196" t="s">
        <v>227</v>
      </c>
      <c r="B3196" t="s">
        <v>259</v>
      </c>
      <c r="C3196" s="2">
        <v>0.54279999999999995</v>
      </c>
      <c r="D3196" s="2">
        <v>0.60909999999999997</v>
      </c>
      <c r="E3196" s="2">
        <v>0.13250000000000001</v>
      </c>
      <c r="F3196" s="2">
        <v>2.35E-2</v>
      </c>
      <c r="G3196" s="2">
        <v>0.21260000000000001</v>
      </c>
      <c r="H3196" s="2">
        <v>0.26129999999999998</v>
      </c>
      <c r="I3196" s="2">
        <v>0.15029999999999999</v>
      </c>
      <c r="J3196" s="2">
        <v>2.7699999999999999E-2</v>
      </c>
      <c r="K3196" s="2">
        <v>8.14E-2</v>
      </c>
      <c r="L3196" s="2">
        <v>7.8899999999999998E-2</v>
      </c>
      <c r="N3196" s="2">
        <v>3.6799999999999999E-2</v>
      </c>
      <c r="Q3196" s="2">
        <v>5.5800000000000002E-2</v>
      </c>
      <c r="T3196">
        <v>69</v>
      </c>
    </row>
    <row r="3197" spans="1:20" x14ac:dyDescent="0.35">
      <c r="A3197" t="s">
        <v>227</v>
      </c>
      <c r="B3197" t="s">
        <v>257</v>
      </c>
      <c r="C3197" s="2">
        <v>0.50790000000000002</v>
      </c>
      <c r="D3197" s="2">
        <v>0.53659999999999997</v>
      </c>
      <c r="E3197" s="2">
        <v>0.17299999999999999</v>
      </c>
      <c r="F3197" s="2">
        <v>8.5199999999999998E-2</v>
      </c>
      <c r="G3197" s="2">
        <v>8.7099999999999997E-2</v>
      </c>
      <c r="H3197" s="2">
        <v>0.47860000000000003</v>
      </c>
      <c r="I3197" s="2">
        <v>5.6300000000000003E-2</v>
      </c>
      <c r="J3197" s="2">
        <v>3.6499999999999998E-2</v>
      </c>
      <c r="K3197" s="2">
        <v>7.7000000000000002E-3</v>
      </c>
      <c r="L3197" s="2">
        <v>1.9E-2</v>
      </c>
      <c r="M3197" s="2">
        <v>1.9E-3</v>
      </c>
      <c r="N3197" s="2">
        <v>2.2599999999999999E-2</v>
      </c>
      <c r="O3197" s="2">
        <v>5.9999999999999995E-4</v>
      </c>
      <c r="P3197" s="2">
        <v>4.0000000000000002E-4</v>
      </c>
      <c r="Q3197" s="2">
        <v>1.6000000000000001E-3</v>
      </c>
      <c r="T3197">
        <v>404</v>
      </c>
    </row>
    <row r="3198" spans="1:20" x14ac:dyDescent="0.35">
      <c r="A3198" t="s">
        <v>227</v>
      </c>
      <c r="B3198" t="s">
        <v>256</v>
      </c>
      <c r="C3198" s="2">
        <v>0.59019999999999995</v>
      </c>
      <c r="D3198" s="2">
        <v>0.49380000000000002</v>
      </c>
      <c r="E3198" s="2">
        <v>0.17449999999999999</v>
      </c>
      <c r="F3198" s="2">
        <v>9.8799999999999999E-2</v>
      </c>
      <c r="G3198" s="2">
        <v>0.10249999999999999</v>
      </c>
      <c r="H3198" s="2">
        <v>8.2000000000000007E-3</v>
      </c>
      <c r="I3198" s="2">
        <v>6.2E-2</v>
      </c>
      <c r="J3198" s="2">
        <v>4.3400000000000001E-2</v>
      </c>
      <c r="K3198" s="2">
        <v>4.3299999999999998E-2</v>
      </c>
      <c r="L3198" s="2">
        <v>8.9999999999999993E-3</v>
      </c>
      <c r="M3198" s="2">
        <v>1.6899999999999998E-2</v>
      </c>
      <c r="N3198" s="2">
        <v>5.5999999999999999E-3</v>
      </c>
      <c r="O3198" s="2">
        <v>8.5000000000000006E-3</v>
      </c>
      <c r="P3198" s="2">
        <v>6.4999999999999997E-3</v>
      </c>
      <c r="Q3198" s="2">
        <v>1.1999999999999999E-3</v>
      </c>
      <c r="R3198" s="2">
        <v>1.6999999999999999E-3</v>
      </c>
      <c r="S3198" s="2">
        <v>2.9999999999999997E-4</v>
      </c>
      <c r="T3198">
        <v>1802</v>
      </c>
    </row>
    <row r="3199" spans="1:20" x14ac:dyDescent="0.35">
      <c r="A3199" s="3" t="s">
        <v>227</v>
      </c>
      <c r="B3199" s="3" t="s">
        <v>232</v>
      </c>
      <c r="C3199" s="4">
        <v>0.2641</v>
      </c>
      <c r="D3199" s="4">
        <v>0.63009999999999999</v>
      </c>
      <c r="E3199" s="4">
        <v>0.10580000000000001</v>
      </c>
      <c r="F3199" s="5"/>
      <c r="G3199" s="4">
        <v>0.5242</v>
      </c>
      <c r="H3199" s="4">
        <v>4.07E-2</v>
      </c>
      <c r="I3199" s="5"/>
      <c r="J3199" s="5"/>
      <c r="K3199" s="4">
        <v>1.3299999999999999E-2</v>
      </c>
      <c r="L3199" s="5"/>
      <c r="M3199" s="5"/>
      <c r="N3199" s="5"/>
      <c r="O3199" s="5"/>
      <c r="P3199" s="5"/>
      <c r="Q3199" s="5"/>
      <c r="R3199" s="5"/>
      <c r="S3199" s="5"/>
      <c r="T3199" s="5" t="s">
        <v>307</v>
      </c>
    </row>
    <row r="3200" spans="1:20" x14ac:dyDescent="0.35">
      <c r="A3200" t="s">
        <v>227</v>
      </c>
      <c r="B3200" t="s">
        <v>258</v>
      </c>
      <c r="C3200" s="2">
        <v>0.69720000000000004</v>
      </c>
      <c r="D3200" s="2">
        <v>0.30109999999999998</v>
      </c>
      <c r="E3200" s="2">
        <v>0.1424</v>
      </c>
      <c r="F3200" s="2">
        <v>0.13950000000000001</v>
      </c>
      <c r="G3200" s="2">
        <v>8.8999999999999996E-2</v>
      </c>
      <c r="H3200" s="2">
        <v>2.46E-2</v>
      </c>
      <c r="I3200" s="2">
        <v>0.15140000000000001</v>
      </c>
      <c r="J3200" s="2">
        <v>4.8500000000000001E-2</v>
      </c>
      <c r="K3200" s="2">
        <v>1.15E-2</v>
      </c>
      <c r="L3200" s="2">
        <v>3.5900000000000001E-2</v>
      </c>
      <c r="M3200" s="2">
        <v>1.3100000000000001E-2</v>
      </c>
      <c r="N3200" s="2">
        <v>1.7899999999999999E-2</v>
      </c>
      <c r="O3200" s="2">
        <v>1.1599999999999999E-2</v>
      </c>
      <c r="P3200" s="2">
        <v>3.5000000000000001E-3</v>
      </c>
      <c r="Q3200" s="2">
        <v>6.0000000000000001E-3</v>
      </c>
      <c r="R3200" s="2">
        <v>1.2999999999999999E-3</v>
      </c>
      <c r="T3200">
        <v>522</v>
      </c>
    </row>
    <row r="3201" spans="1:20" x14ac:dyDescent="0.35">
      <c r="A3201" t="s">
        <v>228</v>
      </c>
      <c r="B3201" t="s">
        <v>228</v>
      </c>
      <c r="C3201" s="2">
        <v>0.59060000000000001</v>
      </c>
      <c r="D3201" s="2">
        <v>0.47499999999999998</v>
      </c>
      <c r="E3201" s="2">
        <v>0.16869999999999999</v>
      </c>
      <c r="F3201" s="2">
        <v>0.10100000000000001</v>
      </c>
      <c r="G3201" s="2">
        <v>0.10059999999999999</v>
      </c>
      <c r="H3201" s="2">
        <v>9.4200000000000006E-2</v>
      </c>
      <c r="I3201" s="2">
        <v>7.5499999999999998E-2</v>
      </c>
      <c r="J3201" s="2">
        <v>4.2599999999999999E-2</v>
      </c>
      <c r="K3201" s="2">
        <v>3.32E-2</v>
      </c>
      <c r="L3201" s="2">
        <v>1.5800000000000002E-2</v>
      </c>
      <c r="M3201" s="2">
        <v>1.35E-2</v>
      </c>
      <c r="N3201" s="2">
        <v>1.0800000000000001E-2</v>
      </c>
      <c r="O3201" s="2">
        <v>7.4999999999999997E-3</v>
      </c>
      <c r="P3201" s="2">
        <v>4.8999999999999998E-3</v>
      </c>
      <c r="Q3201" s="2">
        <v>2.8999999999999998E-3</v>
      </c>
      <c r="R3201" s="2">
        <v>1.2999999999999999E-3</v>
      </c>
      <c r="S3201" s="2">
        <v>2.0000000000000001E-4</v>
      </c>
      <c r="T3201">
        <v>2808</v>
      </c>
    </row>
    <row r="3203" spans="1:20" x14ac:dyDescent="0.35">
      <c r="A3203" s="1" t="s">
        <v>1095</v>
      </c>
    </row>
    <row r="3204" spans="1:20" x14ac:dyDescent="0.35">
      <c r="A3204" t="s">
        <v>219</v>
      </c>
      <c r="B3204" t="s">
        <v>301</v>
      </c>
      <c r="C3204" t="s">
        <v>1073</v>
      </c>
      <c r="D3204" t="s">
        <v>1074</v>
      </c>
      <c r="E3204" t="s">
        <v>1075</v>
      </c>
      <c r="F3204" t="s">
        <v>1076</v>
      </c>
      <c r="G3204" t="s">
        <v>1077</v>
      </c>
      <c r="H3204" t="s">
        <v>1078</v>
      </c>
      <c r="I3204" t="s">
        <v>1079</v>
      </c>
      <c r="J3204" t="s">
        <v>1080</v>
      </c>
      <c r="K3204" t="s">
        <v>1081</v>
      </c>
      <c r="L3204" t="s">
        <v>1082</v>
      </c>
      <c r="M3204" t="s">
        <v>318</v>
      </c>
      <c r="N3204" t="s">
        <v>1083</v>
      </c>
      <c r="O3204" t="s">
        <v>1084</v>
      </c>
      <c r="P3204" t="s">
        <v>1085</v>
      </c>
      <c r="Q3204" t="s">
        <v>1086</v>
      </c>
      <c r="R3204" t="s">
        <v>282</v>
      </c>
      <c r="S3204" t="s">
        <v>277</v>
      </c>
      <c r="T3204" t="s">
        <v>226</v>
      </c>
    </row>
    <row r="3205" spans="1:20" x14ac:dyDescent="0.35">
      <c r="A3205" t="s">
        <v>227</v>
      </c>
      <c r="B3205" t="s">
        <v>343</v>
      </c>
      <c r="C3205" s="2">
        <v>0.50790000000000002</v>
      </c>
      <c r="D3205" s="2">
        <v>0.53659999999999997</v>
      </c>
      <c r="E3205" s="2">
        <v>0.17299999999999999</v>
      </c>
      <c r="F3205" s="2">
        <v>8.5199999999999998E-2</v>
      </c>
      <c r="G3205" s="2">
        <v>8.7099999999999997E-2</v>
      </c>
      <c r="H3205" s="2">
        <v>0.47860000000000003</v>
      </c>
      <c r="I3205" s="2">
        <v>5.6300000000000003E-2</v>
      </c>
      <c r="J3205" s="2">
        <v>3.6499999999999998E-2</v>
      </c>
      <c r="K3205" s="2">
        <v>7.7000000000000002E-3</v>
      </c>
      <c r="L3205" s="2">
        <v>1.9E-2</v>
      </c>
      <c r="M3205" s="2">
        <v>1.9E-3</v>
      </c>
      <c r="N3205" s="2">
        <v>2.2599999999999999E-2</v>
      </c>
      <c r="O3205" s="2">
        <v>5.9999999999999995E-4</v>
      </c>
      <c r="P3205" s="2">
        <v>4.0000000000000002E-4</v>
      </c>
      <c r="Q3205" s="2">
        <v>1.6000000000000001E-3</v>
      </c>
      <c r="T3205">
        <v>404</v>
      </c>
    </row>
    <row r="3206" spans="1:20" x14ac:dyDescent="0.35">
      <c r="A3206" t="s">
        <v>227</v>
      </c>
      <c r="B3206" t="s">
        <v>344</v>
      </c>
      <c r="C3206" s="2">
        <v>0.60729999999999995</v>
      </c>
      <c r="D3206" s="2">
        <v>0.46250000000000002</v>
      </c>
      <c r="E3206" s="2">
        <v>0.1678</v>
      </c>
      <c r="F3206" s="2">
        <v>0.1042</v>
      </c>
      <c r="G3206" s="2">
        <v>0.10340000000000001</v>
      </c>
      <c r="H3206" s="2">
        <v>1.6299999999999999E-2</v>
      </c>
      <c r="I3206" s="2">
        <v>7.9399999999999998E-2</v>
      </c>
      <c r="J3206" s="2">
        <v>4.3900000000000002E-2</v>
      </c>
      <c r="K3206" s="2">
        <v>3.8399999999999997E-2</v>
      </c>
      <c r="L3206" s="2">
        <v>1.5100000000000001E-2</v>
      </c>
      <c r="M3206" s="2">
        <v>1.5800000000000002E-2</v>
      </c>
      <c r="N3206" s="2">
        <v>8.3999999999999995E-3</v>
      </c>
      <c r="O3206" s="2">
        <v>8.8999999999999999E-3</v>
      </c>
      <c r="P3206" s="2">
        <v>5.7999999999999996E-3</v>
      </c>
      <c r="Q3206" s="2">
        <v>3.2000000000000002E-3</v>
      </c>
      <c r="R3206" s="2">
        <v>1.6000000000000001E-3</v>
      </c>
      <c r="S3206" s="2">
        <v>2.0000000000000001E-4</v>
      </c>
      <c r="T3206">
        <v>2404</v>
      </c>
    </row>
    <row r="3207" spans="1:20" x14ac:dyDescent="0.35">
      <c r="A3207" t="s">
        <v>228</v>
      </c>
      <c r="B3207" t="s">
        <v>228</v>
      </c>
      <c r="C3207" s="2">
        <v>0.59060000000000001</v>
      </c>
      <c r="D3207" s="2">
        <v>0.47499999999999998</v>
      </c>
      <c r="E3207" s="2">
        <v>0.16869999999999999</v>
      </c>
      <c r="F3207" s="2">
        <v>0.10100000000000001</v>
      </c>
      <c r="G3207" s="2">
        <v>0.10059999999999999</v>
      </c>
      <c r="H3207" s="2">
        <v>9.4200000000000006E-2</v>
      </c>
      <c r="I3207" s="2">
        <v>7.5499999999999998E-2</v>
      </c>
      <c r="J3207" s="2">
        <v>4.2599999999999999E-2</v>
      </c>
      <c r="K3207" s="2">
        <v>3.32E-2</v>
      </c>
      <c r="L3207" s="2">
        <v>1.5800000000000002E-2</v>
      </c>
      <c r="M3207" s="2">
        <v>1.35E-2</v>
      </c>
      <c r="N3207" s="2">
        <v>1.0800000000000001E-2</v>
      </c>
      <c r="O3207" s="2">
        <v>7.4999999999999997E-3</v>
      </c>
      <c r="P3207" s="2">
        <v>4.8999999999999998E-3</v>
      </c>
      <c r="Q3207" s="2">
        <v>2.8999999999999998E-3</v>
      </c>
      <c r="R3207" s="2">
        <v>1.2999999999999999E-3</v>
      </c>
      <c r="S3207" s="2">
        <v>2.0000000000000001E-4</v>
      </c>
      <c r="T3207">
        <v>2808</v>
      </c>
    </row>
    <row r="3209" spans="1:20" x14ac:dyDescent="0.35">
      <c r="A3209" s="1" t="s">
        <v>1096</v>
      </c>
    </row>
    <row r="3210" spans="1:20" x14ac:dyDescent="0.35">
      <c r="A3210" t="s">
        <v>219</v>
      </c>
      <c r="B3210" t="s">
        <v>301</v>
      </c>
      <c r="C3210" t="s">
        <v>1073</v>
      </c>
      <c r="D3210" t="s">
        <v>1074</v>
      </c>
      <c r="E3210" t="s">
        <v>1075</v>
      </c>
      <c r="F3210" t="s">
        <v>1076</v>
      </c>
      <c r="G3210" t="s">
        <v>1077</v>
      </c>
      <c r="H3210" t="s">
        <v>1078</v>
      </c>
      <c r="I3210" t="s">
        <v>1079</v>
      </c>
      <c r="J3210" t="s">
        <v>1080</v>
      </c>
      <c r="K3210" t="s">
        <v>1081</v>
      </c>
      <c r="L3210" t="s">
        <v>1082</v>
      </c>
      <c r="M3210" t="s">
        <v>318</v>
      </c>
      <c r="N3210" t="s">
        <v>1083</v>
      </c>
      <c r="O3210" t="s">
        <v>1084</v>
      </c>
      <c r="P3210" t="s">
        <v>1085</v>
      </c>
      <c r="Q3210" t="s">
        <v>1086</v>
      </c>
      <c r="R3210" t="s">
        <v>282</v>
      </c>
      <c r="S3210" t="s">
        <v>277</v>
      </c>
      <c r="T3210" t="s">
        <v>226</v>
      </c>
    </row>
    <row r="3211" spans="1:20" x14ac:dyDescent="0.35">
      <c r="A3211" t="s">
        <v>227</v>
      </c>
      <c r="B3211" t="s">
        <v>346</v>
      </c>
      <c r="C3211" s="2">
        <v>0.59509999999999996</v>
      </c>
      <c r="D3211" s="2">
        <v>0.47289999999999999</v>
      </c>
      <c r="E3211" s="2">
        <v>0.17119999999999999</v>
      </c>
      <c r="F3211" s="2">
        <v>0.10009999999999999</v>
      </c>
      <c r="G3211" s="2">
        <v>0.10340000000000001</v>
      </c>
      <c r="H3211" s="2">
        <v>8.9700000000000002E-2</v>
      </c>
      <c r="I3211" s="2">
        <v>7.7700000000000005E-2</v>
      </c>
      <c r="J3211" s="2">
        <v>4.2500000000000003E-2</v>
      </c>
      <c r="K3211" s="2">
        <v>3.32E-2</v>
      </c>
      <c r="L3211" s="2">
        <v>1.5900000000000001E-2</v>
      </c>
      <c r="M3211" s="2">
        <v>1.4500000000000001E-2</v>
      </c>
      <c r="N3211" s="2">
        <v>8.3000000000000001E-3</v>
      </c>
      <c r="O3211" s="2">
        <v>8.0000000000000002E-3</v>
      </c>
      <c r="P3211" s="2">
        <v>4.8999999999999998E-3</v>
      </c>
      <c r="Q3211" s="2">
        <v>2.8999999999999998E-3</v>
      </c>
      <c r="R3211" s="2">
        <v>1.1999999999999999E-3</v>
      </c>
      <c r="T3211">
        <v>1461</v>
      </c>
    </row>
    <row r="3212" spans="1:20" x14ac:dyDescent="0.35">
      <c r="A3212" t="s">
        <v>227</v>
      </c>
      <c r="B3212" t="s">
        <v>347</v>
      </c>
      <c r="C3212" s="2">
        <v>0.48089999999999999</v>
      </c>
      <c r="D3212" s="2">
        <v>0.49730000000000002</v>
      </c>
      <c r="E3212" s="2">
        <v>0.17730000000000001</v>
      </c>
      <c r="F3212" s="2">
        <v>0.10340000000000001</v>
      </c>
      <c r="G3212" s="2">
        <v>8.8999999999999996E-2</v>
      </c>
      <c r="H3212" s="2">
        <v>0.13739999999999999</v>
      </c>
      <c r="I3212" s="2">
        <v>2.3699999999999999E-2</v>
      </c>
      <c r="J3212" s="2">
        <v>4.3400000000000001E-2</v>
      </c>
      <c r="K3212" s="2">
        <v>5.6000000000000001E-2</v>
      </c>
      <c r="L3212" s="2">
        <v>2.5999999999999999E-3</v>
      </c>
      <c r="M3212" s="2">
        <v>9.4000000000000004E-3</v>
      </c>
      <c r="N3212" s="2">
        <v>5.5E-2</v>
      </c>
      <c r="O3212" s="2">
        <v>1.0500000000000001E-2</v>
      </c>
      <c r="P3212" s="2">
        <v>7.6E-3</v>
      </c>
      <c r="Q3212" s="2">
        <v>6.9999999999999999E-4</v>
      </c>
      <c r="R3212" s="2">
        <v>5.0000000000000001E-3</v>
      </c>
      <c r="T3212">
        <v>582</v>
      </c>
    </row>
    <row r="3213" spans="1:20" x14ac:dyDescent="0.35">
      <c r="A3213" t="s">
        <v>227</v>
      </c>
      <c r="B3213" t="s">
        <v>348</v>
      </c>
      <c r="C3213" s="2">
        <v>0.59079999999999999</v>
      </c>
      <c r="D3213" s="2">
        <v>0.4849</v>
      </c>
      <c r="E3213" s="2">
        <v>0.14330000000000001</v>
      </c>
      <c r="F3213" s="2">
        <v>0.10829999999999999</v>
      </c>
      <c r="G3213" s="2">
        <v>7.9600000000000004E-2</v>
      </c>
      <c r="H3213" s="2">
        <v>0.1187</v>
      </c>
      <c r="I3213" s="2">
        <v>7.4899999999999994E-2</v>
      </c>
      <c r="J3213" s="2">
        <v>4.3799999999999999E-2</v>
      </c>
      <c r="K3213" s="2">
        <v>2.4199999999999999E-2</v>
      </c>
      <c r="L3213" s="2">
        <v>1.95E-2</v>
      </c>
      <c r="M3213" s="2">
        <v>5.8999999999999999E-3</v>
      </c>
      <c r="N3213" s="2">
        <v>1.7100000000000001E-2</v>
      </c>
      <c r="O3213" s="2">
        <v>2.0999999999999999E-3</v>
      </c>
      <c r="P3213" s="2">
        <v>4.0000000000000001E-3</v>
      </c>
      <c r="Q3213" s="2">
        <v>4.0000000000000001E-3</v>
      </c>
      <c r="R3213" s="2">
        <v>8.9999999999999998E-4</v>
      </c>
      <c r="S3213" s="2">
        <v>1.9E-3</v>
      </c>
      <c r="T3213">
        <v>765</v>
      </c>
    </row>
    <row r="3214" spans="1:20" x14ac:dyDescent="0.35">
      <c r="A3214" t="s">
        <v>228</v>
      </c>
      <c r="B3214" t="s">
        <v>228</v>
      </c>
      <c r="C3214" s="2">
        <v>0.59060000000000001</v>
      </c>
      <c r="D3214" s="2">
        <v>0.47499999999999998</v>
      </c>
      <c r="E3214" s="2">
        <v>0.16869999999999999</v>
      </c>
      <c r="F3214" s="2">
        <v>0.10100000000000001</v>
      </c>
      <c r="G3214" s="2">
        <v>0.10059999999999999</v>
      </c>
      <c r="H3214" s="2">
        <v>9.4200000000000006E-2</v>
      </c>
      <c r="I3214" s="2">
        <v>7.5499999999999998E-2</v>
      </c>
      <c r="J3214" s="2">
        <v>4.2599999999999999E-2</v>
      </c>
      <c r="K3214" s="2">
        <v>3.32E-2</v>
      </c>
      <c r="L3214" s="2">
        <v>1.5800000000000002E-2</v>
      </c>
      <c r="M3214" s="2">
        <v>1.35E-2</v>
      </c>
      <c r="N3214" s="2">
        <v>1.0800000000000001E-2</v>
      </c>
      <c r="O3214" s="2">
        <v>7.4999999999999997E-3</v>
      </c>
      <c r="P3214" s="2">
        <v>4.8999999999999998E-3</v>
      </c>
      <c r="Q3214" s="2">
        <v>2.8999999999999998E-3</v>
      </c>
      <c r="R3214" s="2">
        <v>1.2999999999999999E-3</v>
      </c>
      <c r="S3214" s="2">
        <v>2.0000000000000001E-4</v>
      </c>
      <c r="T3214">
        <v>2808</v>
      </c>
    </row>
    <row r="3216" spans="1:20" x14ac:dyDescent="0.35">
      <c r="A3216" s="1" t="s">
        <v>1097</v>
      </c>
    </row>
    <row r="3217" spans="1:73" x14ac:dyDescent="0.35">
      <c r="A3217" t="s">
        <v>219</v>
      </c>
      <c r="B3217" t="s">
        <v>301</v>
      </c>
      <c r="C3217" t="s">
        <v>1073</v>
      </c>
      <c r="D3217" t="s">
        <v>1074</v>
      </c>
      <c r="E3217" t="s">
        <v>1075</v>
      </c>
      <c r="F3217" t="s">
        <v>1076</v>
      </c>
      <c r="G3217" t="s">
        <v>1077</v>
      </c>
      <c r="H3217" t="s">
        <v>1078</v>
      </c>
      <c r="I3217" t="s">
        <v>1079</v>
      </c>
      <c r="J3217" t="s">
        <v>1080</v>
      </c>
      <c r="K3217" t="s">
        <v>1081</v>
      </c>
      <c r="L3217" t="s">
        <v>1082</v>
      </c>
      <c r="M3217" t="s">
        <v>318</v>
      </c>
      <c r="N3217" t="s">
        <v>1083</v>
      </c>
      <c r="O3217" t="s">
        <v>1084</v>
      </c>
      <c r="P3217" t="s">
        <v>1085</v>
      </c>
      <c r="Q3217" t="s">
        <v>1086</v>
      </c>
      <c r="R3217" t="s">
        <v>282</v>
      </c>
      <c r="S3217" t="s">
        <v>277</v>
      </c>
      <c r="T3217" t="s">
        <v>226</v>
      </c>
    </row>
    <row r="3218" spans="1:73" x14ac:dyDescent="0.35">
      <c r="A3218" t="s">
        <v>227</v>
      </c>
      <c r="B3218" t="s">
        <v>251</v>
      </c>
      <c r="C3218" s="2">
        <v>0.51280000000000003</v>
      </c>
      <c r="D3218" s="2">
        <v>0.5706</v>
      </c>
      <c r="E3218" s="2">
        <v>0.13150000000000001</v>
      </c>
      <c r="F3218" s="2">
        <v>8.3099999999999993E-2</v>
      </c>
      <c r="G3218" s="2">
        <v>9.3799999999999994E-2</v>
      </c>
      <c r="H3218" s="2">
        <v>8.8800000000000004E-2</v>
      </c>
      <c r="I3218" s="2">
        <v>7.2599999999999998E-2</v>
      </c>
      <c r="J3218" s="2">
        <v>3.85E-2</v>
      </c>
      <c r="K3218" s="2">
        <v>3.6299999999999999E-2</v>
      </c>
      <c r="L3218" s="2">
        <v>1.78E-2</v>
      </c>
      <c r="M3218" s="2">
        <v>8.8999999999999999E-3</v>
      </c>
      <c r="N3218" s="2">
        <v>1.2500000000000001E-2</v>
      </c>
      <c r="O3218" s="2">
        <v>9.4000000000000004E-3</v>
      </c>
      <c r="P3218" s="2">
        <v>5.7999999999999996E-3</v>
      </c>
      <c r="Q3218" s="2">
        <v>1.9E-3</v>
      </c>
      <c r="R3218" s="2">
        <v>1.5E-3</v>
      </c>
      <c r="S3218" s="2">
        <v>2.9999999999999997E-4</v>
      </c>
      <c r="T3218">
        <v>2026</v>
      </c>
    </row>
    <row r="3219" spans="1:73" x14ac:dyDescent="0.35">
      <c r="A3219" t="s">
        <v>227</v>
      </c>
      <c r="B3219" t="s">
        <v>252</v>
      </c>
      <c r="C3219" s="2">
        <v>0.82289999999999996</v>
      </c>
      <c r="D3219" s="2">
        <v>0.2626</v>
      </c>
      <c r="E3219" s="2">
        <v>0.26779999999999998</v>
      </c>
      <c r="F3219" s="2">
        <v>0.1472</v>
      </c>
      <c r="G3219" s="2">
        <v>0.10829999999999999</v>
      </c>
      <c r="H3219" s="2">
        <v>8.8300000000000003E-2</v>
      </c>
      <c r="I3219" s="2">
        <v>9.06E-2</v>
      </c>
      <c r="J3219" s="2">
        <v>5.4699999999999999E-2</v>
      </c>
      <c r="K3219" s="2">
        <v>3.0099999999999998E-2</v>
      </c>
      <c r="L3219" s="2">
        <v>1.3100000000000001E-2</v>
      </c>
      <c r="M3219" s="2">
        <v>1.7299999999999999E-2</v>
      </c>
      <c r="N3219" s="2">
        <v>4.7999999999999996E-3</v>
      </c>
      <c r="O3219" s="2">
        <v>3.0000000000000001E-3</v>
      </c>
      <c r="P3219" s="2">
        <v>4.0000000000000002E-4</v>
      </c>
      <c r="Q3219" s="2">
        <v>3.0999999999999999E-3</v>
      </c>
      <c r="R3219" s="2">
        <v>1E-3</v>
      </c>
      <c r="T3219">
        <v>621</v>
      </c>
    </row>
    <row r="3220" spans="1:73" x14ac:dyDescent="0.35">
      <c r="A3220" t="s">
        <v>227</v>
      </c>
      <c r="B3220" t="s">
        <v>253</v>
      </c>
      <c r="C3220" s="2">
        <v>0.62319999999999998</v>
      </c>
      <c r="D3220" s="2">
        <v>9.9099999999999994E-2</v>
      </c>
      <c r="E3220" s="2">
        <v>0.23530000000000001</v>
      </c>
      <c r="F3220" s="2">
        <v>0.14269999999999999</v>
      </c>
      <c r="G3220" s="2">
        <v>0.1585</v>
      </c>
      <c r="H3220" s="2">
        <v>0.18540000000000001</v>
      </c>
      <c r="I3220" s="2">
        <v>5.2299999999999999E-2</v>
      </c>
      <c r="J3220" s="2">
        <v>4.8300000000000003E-2</v>
      </c>
      <c r="K3220" s="2">
        <v>5.7999999999999996E-3</v>
      </c>
      <c r="M3220" s="2">
        <v>5.9700000000000003E-2</v>
      </c>
      <c r="N3220" s="2">
        <v>1.3899999999999999E-2</v>
      </c>
      <c r="O3220" s="2">
        <v>1.6999999999999999E-3</v>
      </c>
      <c r="P3220" s="2">
        <v>1.1599999999999999E-2</v>
      </c>
      <c r="Q3220" s="2">
        <v>1.6500000000000001E-2</v>
      </c>
      <c r="T3220">
        <v>152</v>
      </c>
    </row>
    <row r="3221" spans="1:73" x14ac:dyDescent="0.35">
      <c r="A3221" s="3" t="s">
        <v>227</v>
      </c>
      <c r="B3221" s="3" t="s">
        <v>254</v>
      </c>
      <c r="C3221" s="4">
        <v>0.9345</v>
      </c>
      <c r="D3221" s="4">
        <v>0.35170000000000001</v>
      </c>
      <c r="E3221" s="4">
        <v>0.40529999999999999</v>
      </c>
      <c r="F3221" s="4">
        <v>0.1235</v>
      </c>
      <c r="G3221" s="4">
        <v>0.1749</v>
      </c>
      <c r="H3221" s="4">
        <v>0.35170000000000001</v>
      </c>
      <c r="I3221" s="5"/>
      <c r="J3221" s="5"/>
      <c r="K3221" s="5"/>
      <c r="L3221" s="5"/>
      <c r="M3221" s="4">
        <v>1.43E-2</v>
      </c>
      <c r="N3221" s="5"/>
      <c r="O3221" s="5"/>
      <c r="P3221" s="5"/>
      <c r="Q3221" s="5"/>
      <c r="R3221" s="5"/>
      <c r="S3221" s="5"/>
      <c r="T3221" s="5" t="s">
        <v>515</v>
      </c>
    </row>
    <row r="3222" spans="1:73" x14ac:dyDescent="0.35">
      <c r="A3222" t="s">
        <v>228</v>
      </c>
      <c r="B3222" t="s">
        <v>228</v>
      </c>
      <c r="C3222" s="2">
        <v>0.59060000000000001</v>
      </c>
      <c r="D3222" s="2">
        <v>0.47499999999999998</v>
      </c>
      <c r="E3222" s="2">
        <v>0.16869999999999999</v>
      </c>
      <c r="F3222" s="2">
        <v>0.10100000000000001</v>
      </c>
      <c r="G3222" s="2">
        <v>0.10059999999999999</v>
      </c>
      <c r="H3222" s="2">
        <v>9.4200000000000006E-2</v>
      </c>
      <c r="I3222" s="2">
        <v>7.5499999999999998E-2</v>
      </c>
      <c r="J3222" s="2">
        <v>4.2599999999999999E-2</v>
      </c>
      <c r="K3222" s="2">
        <v>3.32E-2</v>
      </c>
      <c r="L3222" s="2">
        <v>1.5800000000000002E-2</v>
      </c>
      <c r="M3222" s="2">
        <v>1.35E-2</v>
      </c>
      <c r="N3222" s="2">
        <v>1.0800000000000001E-2</v>
      </c>
      <c r="O3222" s="2">
        <v>7.4999999999999997E-3</v>
      </c>
      <c r="P3222" s="2">
        <v>4.8999999999999998E-3</v>
      </c>
      <c r="Q3222" s="2">
        <v>2.8999999999999998E-3</v>
      </c>
      <c r="R3222" s="2">
        <v>1.2999999999999999E-3</v>
      </c>
      <c r="S3222" s="2">
        <v>2.0000000000000001E-4</v>
      </c>
      <c r="T3222">
        <v>2808</v>
      </c>
    </row>
    <row r="3224" spans="1:73" x14ac:dyDescent="0.35">
      <c r="A3224" s="1" t="s">
        <v>120</v>
      </c>
    </row>
    <row r="3225" spans="1:73" x14ac:dyDescent="0.35">
      <c r="A3225" t="s">
        <v>219</v>
      </c>
      <c r="B3225" t="s">
        <v>1098</v>
      </c>
      <c r="C3225" t="s">
        <v>1099</v>
      </c>
      <c r="D3225" t="s">
        <v>1100</v>
      </c>
      <c r="E3225" t="s">
        <v>1101</v>
      </c>
      <c r="F3225" t="s">
        <v>1102</v>
      </c>
      <c r="G3225" t="s">
        <v>1103</v>
      </c>
      <c r="H3225" t="s">
        <v>1104</v>
      </c>
      <c r="I3225" t="s">
        <v>1105</v>
      </c>
      <c r="J3225" t="s">
        <v>1106</v>
      </c>
      <c r="K3225" t="s">
        <v>1107</v>
      </c>
      <c r="L3225" t="s">
        <v>1108</v>
      </c>
      <c r="M3225" t="s">
        <v>1109</v>
      </c>
      <c r="N3225" t="s">
        <v>1110</v>
      </c>
      <c r="O3225" t="s">
        <v>1111</v>
      </c>
      <c r="P3225" t="s">
        <v>1112</v>
      </c>
      <c r="Q3225" t="s">
        <v>1113</v>
      </c>
      <c r="R3225" t="s">
        <v>1114</v>
      </c>
      <c r="S3225" t="s">
        <v>1115</v>
      </c>
      <c r="T3225" t="s">
        <v>1116</v>
      </c>
      <c r="U3225" t="s">
        <v>1117</v>
      </c>
      <c r="V3225" t="s">
        <v>1118</v>
      </c>
      <c r="W3225" t="s">
        <v>1119</v>
      </c>
      <c r="X3225" t="s">
        <v>1120</v>
      </c>
      <c r="Y3225" t="s">
        <v>1121</v>
      </c>
      <c r="Z3225" t="s">
        <v>1122</v>
      </c>
      <c r="AA3225" t="s">
        <v>1123</v>
      </c>
      <c r="AB3225" t="s">
        <v>1124</v>
      </c>
      <c r="AC3225" t="s">
        <v>1125</v>
      </c>
      <c r="AD3225" t="s">
        <v>1126</v>
      </c>
      <c r="AE3225" t="s">
        <v>1127</v>
      </c>
      <c r="AF3225" t="s">
        <v>1128</v>
      </c>
      <c r="AG3225" t="s">
        <v>1129</v>
      </c>
      <c r="AH3225" t="s">
        <v>1130</v>
      </c>
      <c r="AI3225" t="s">
        <v>1131</v>
      </c>
      <c r="AJ3225" t="s">
        <v>1132</v>
      </c>
      <c r="AK3225" t="s">
        <v>1133</v>
      </c>
      <c r="AL3225" t="s">
        <v>1134</v>
      </c>
      <c r="AM3225" t="s">
        <v>1135</v>
      </c>
      <c r="AN3225" t="s">
        <v>1136</v>
      </c>
      <c r="AO3225" t="s">
        <v>1137</v>
      </c>
      <c r="AP3225" t="s">
        <v>1138</v>
      </c>
      <c r="AQ3225" t="s">
        <v>1139</v>
      </c>
      <c r="AR3225" t="s">
        <v>1140</v>
      </c>
      <c r="AS3225" t="s">
        <v>1141</v>
      </c>
      <c r="AT3225" t="s">
        <v>1142</v>
      </c>
      <c r="AU3225" t="s">
        <v>1143</v>
      </c>
      <c r="AV3225" t="s">
        <v>1144</v>
      </c>
      <c r="AW3225" t="s">
        <v>1145</v>
      </c>
      <c r="AX3225" t="s">
        <v>1146</v>
      </c>
      <c r="AY3225" t="s">
        <v>1147</v>
      </c>
      <c r="AZ3225" t="s">
        <v>1148</v>
      </c>
      <c r="BA3225" t="s">
        <v>1149</v>
      </c>
      <c r="BB3225" t="s">
        <v>1150</v>
      </c>
      <c r="BC3225" t="s">
        <v>1151</v>
      </c>
      <c r="BD3225" t="s">
        <v>1152</v>
      </c>
      <c r="BE3225" t="s">
        <v>1153</v>
      </c>
      <c r="BF3225" t="s">
        <v>1154</v>
      </c>
      <c r="BG3225" t="s">
        <v>1155</v>
      </c>
      <c r="BH3225" t="s">
        <v>1156</v>
      </c>
      <c r="BI3225" t="s">
        <v>1157</v>
      </c>
      <c r="BJ3225" t="s">
        <v>1158</v>
      </c>
      <c r="BK3225" t="s">
        <v>1159</v>
      </c>
      <c r="BL3225" t="s">
        <v>1160</v>
      </c>
      <c r="BM3225" t="s">
        <v>1161</v>
      </c>
      <c r="BN3225" t="s">
        <v>1162</v>
      </c>
      <c r="BO3225" t="s">
        <v>1163</v>
      </c>
      <c r="BP3225" t="s">
        <v>1164</v>
      </c>
      <c r="BQ3225" t="s">
        <v>1165</v>
      </c>
      <c r="BR3225" t="s">
        <v>1166</v>
      </c>
      <c r="BS3225" t="s">
        <v>1167</v>
      </c>
      <c r="BT3225" t="s">
        <v>957</v>
      </c>
    </row>
    <row r="3226" spans="1:73" x14ac:dyDescent="0.35">
      <c r="A3226" t="s">
        <v>227</v>
      </c>
      <c r="B3226">
        <v>12841.11</v>
      </c>
      <c r="C3226">
        <v>10000</v>
      </c>
      <c r="D3226">
        <v>333.3</v>
      </c>
      <c r="E3226">
        <v>150000</v>
      </c>
      <c r="F3226" s="6">
        <v>1271</v>
      </c>
      <c r="G3226">
        <v>6272.64</v>
      </c>
      <c r="H3226">
        <v>3333.3</v>
      </c>
      <c r="I3226">
        <v>16.7</v>
      </c>
      <c r="J3226">
        <v>66666.7</v>
      </c>
      <c r="K3226" s="6">
        <v>241</v>
      </c>
      <c r="L3226">
        <v>17578.79</v>
      </c>
      <c r="M3226">
        <v>10000</v>
      </c>
      <c r="N3226">
        <v>250</v>
      </c>
      <c r="O3226">
        <v>150000</v>
      </c>
      <c r="P3226" s="6">
        <v>109</v>
      </c>
      <c r="Q3226">
        <v>2698.25</v>
      </c>
      <c r="R3226">
        <v>1750</v>
      </c>
      <c r="S3226">
        <v>100</v>
      </c>
      <c r="T3226">
        <v>35000</v>
      </c>
      <c r="U3226" s="6">
        <v>92</v>
      </c>
      <c r="V3226">
        <v>1917.18</v>
      </c>
      <c r="W3226">
        <v>2000</v>
      </c>
      <c r="X3226">
        <v>400</v>
      </c>
      <c r="Y3226">
        <v>5000</v>
      </c>
      <c r="Z3226" s="6">
        <v>264</v>
      </c>
      <c r="AA3226">
        <v>4296.82</v>
      </c>
      <c r="AB3226">
        <v>4000</v>
      </c>
      <c r="AC3226">
        <v>428.6</v>
      </c>
      <c r="AD3226">
        <v>30000</v>
      </c>
      <c r="AE3226" s="6">
        <v>1194</v>
      </c>
      <c r="AF3226">
        <v>2115.1799999999998</v>
      </c>
      <c r="AG3226">
        <v>1400</v>
      </c>
      <c r="AH3226">
        <v>106.7</v>
      </c>
      <c r="AI3226">
        <v>20000</v>
      </c>
      <c r="AJ3226" s="6">
        <v>404</v>
      </c>
      <c r="AK3226">
        <v>5888.89</v>
      </c>
      <c r="AL3226">
        <v>4000</v>
      </c>
      <c r="AM3226">
        <v>100</v>
      </c>
      <c r="AN3226">
        <v>25000</v>
      </c>
      <c r="AO3226" s="6">
        <v>32</v>
      </c>
      <c r="AP3226">
        <v>5244.2</v>
      </c>
      <c r="AQ3226">
        <v>3333.3</v>
      </c>
      <c r="AR3226">
        <v>233.3</v>
      </c>
      <c r="AS3226">
        <v>30000</v>
      </c>
      <c r="AT3226" s="6">
        <v>92</v>
      </c>
      <c r="AU3226">
        <v>1217.7</v>
      </c>
      <c r="AV3226">
        <v>1200</v>
      </c>
      <c r="AW3226">
        <v>241.7</v>
      </c>
      <c r="AX3226">
        <v>3300</v>
      </c>
      <c r="AY3226" s="6">
        <v>52</v>
      </c>
      <c r="AZ3226">
        <v>4143.3599999999997</v>
      </c>
      <c r="BA3226">
        <v>2500</v>
      </c>
      <c r="BB3226">
        <v>75</v>
      </c>
      <c r="BC3226">
        <v>26000</v>
      </c>
      <c r="BD3226" s="6">
        <v>206</v>
      </c>
      <c r="BE3226">
        <v>2109.21</v>
      </c>
      <c r="BF3226">
        <v>1000</v>
      </c>
      <c r="BG3226">
        <v>666.7</v>
      </c>
      <c r="BH3226">
        <v>4000</v>
      </c>
      <c r="BI3226" s="6">
        <v>3</v>
      </c>
      <c r="BJ3226">
        <v>9971.93</v>
      </c>
      <c r="BK3226">
        <v>666.7</v>
      </c>
      <c r="BL3226">
        <v>500</v>
      </c>
      <c r="BM3226">
        <v>75000</v>
      </c>
      <c r="BN3226" s="6">
        <v>14</v>
      </c>
      <c r="BO3226">
        <v>5190.95</v>
      </c>
      <c r="BP3226">
        <v>3000</v>
      </c>
      <c r="BQ3226">
        <v>100</v>
      </c>
      <c r="BR3226">
        <v>40000</v>
      </c>
      <c r="BS3226" s="6">
        <v>87</v>
      </c>
      <c r="BT3226">
        <v>1271</v>
      </c>
    </row>
    <row r="3227" spans="1:73" x14ac:dyDescent="0.35">
      <c r="A3227" t="s">
        <v>228</v>
      </c>
      <c r="B3227">
        <v>12841.11</v>
      </c>
      <c r="C3227">
        <v>10000</v>
      </c>
      <c r="D3227">
        <v>333.3</v>
      </c>
      <c r="E3227">
        <v>150000</v>
      </c>
      <c r="F3227" s="6">
        <v>1271</v>
      </c>
      <c r="G3227">
        <v>6272.64</v>
      </c>
      <c r="H3227">
        <v>3333.3</v>
      </c>
      <c r="I3227">
        <v>16.7</v>
      </c>
      <c r="J3227">
        <v>66666.7</v>
      </c>
      <c r="K3227" s="6">
        <v>241</v>
      </c>
      <c r="L3227">
        <v>17578.79</v>
      </c>
      <c r="M3227">
        <v>10000</v>
      </c>
      <c r="N3227">
        <v>250</v>
      </c>
      <c r="O3227">
        <v>150000</v>
      </c>
      <c r="P3227" s="6">
        <v>109</v>
      </c>
      <c r="Q3227">
        <v>2698.25</v>
      </c>
      <c r="R3227">
        <v>1750</v>
      </c>
      <c r="S3227">
        <v>100</v>
      </c>
      <c r="T3227">
        <v>35000</v>
      </c>
      <c r="U3227" s="6">
        <v>92</v>
      </c>
      <c r="V3227">
        <v>1917.18</v>
      </c>
      <c r="W3227">
        <v>2000</v>
      </c>
      <c r="X3227">
        <v>400</v>
      </c>
      <c r="Y3227">
        <v>5000</v>
      </c>
      <c r="Z3227" s="6">
        <v>264</v>
      </c>
      <c r="AA3227">
        <v>4296.82</v>
      </c>
      <c r="AB3227">
        <v>4000</v>
      </c>
      <c r="AC3227">
        <v>428.6</v>
      </c>
      <c r="AD3227">
        <v>30000</v>
      </c>
      <c r="AE3227" s="6">
        <v>1194</v>
      </c>
      <c r="AF3227">
        <v>2115.1799999999998</v>
      </c>
      <c r="AG3227">
        <v>1400</v>
      </c>
      <c r="AH3227">
        <v>106.7</v>
      </c>
      <c r="AI3227">
        <v>20000</v>
      </c>
      <c r="AJ3227" s="6">
        <v>404</v>
      </c>
      <c r="AK3227">
        <v>5888.89</v>
      </c>
      <c r="AL3227">
        <v>4000</v>
      </c>
      <c r="AM3227">
        <v>100</v>
      </c>
      <c r="AN3227">
        <v>25000</v>
      </c>
      <c r="AO3227" s="6">
        <v>32</v>
      </c>
      <c r="AP3227">
        <v>5244.2</v>
      </c>
      <c r="AQ3227">
        <v>3333.3</v>
      </c>
      <c r="AR3227">
        <v>233.3</v>
      </c>
      <c r="AS3227">
        <v>30000</v>
      </c>
      <c r="AT3227" s="6">
        <v>92</v>
      </c>
      <c r="AU3227">
        <v>1217.7</v>
      </c>
      <c r="AV3227">
        <v>1200</v>
      </c>
      <c r="AW3227">
        <v>241.7</v>
      </c>
      <c r="AX3227">
        <v>3300</v>
      </c>
      <c r="AY3227" s="6">
        <v>52</v>
      </c>
      <c r="AZ3227">
        <v>4143.3599999999997</v>
      </c>
      <c r="BA3227">
        <v>2500</v>
      </c>
      <c r="BB3227">
        <v>75</v>
      </c>
      <c r="BC3227">
        <v>26000</v>
      </c>
      <c r="BD3227" s="6">
        <v>206</v>
      </c>
      <c r="BE3227">
        <v>2109.21</v>
      </c>
      <c r="BF3227">
        <v>1000</v>
      </c>
      <c r="BG3227">
        <v>666.7</v>
      </c>
      <c r="BH3227">
        <v>4000</v>
      </c>
      <c r="BI3227" s="6">
        <v>3</v>
      </c>
      <c r="BJ3227">
        <v>9971.93</v>
      </c>
      <c r="BK3227">
        <v>666.7</v>
      </c>
      <c r="BL3227">
        <v>500</v>
      </c>
      <c r="BM3227">
        <v>75000</v>
      </c>
      <c r="BN3227" s="6">
        <v>14</v>
      </c>
      <c r="BO3227">
        <v>5190.95</v>
      </c>
      <c r="BP3227">
        <v>3000</v>
      </c>
      <c r="BQ3227">
        <v>100</v>
      </c>
      <c r="BR3227">
        <v>40000</v>
      </c>
      <c r="BS3227" s="6">
        <v>87</v>
      </c>
      <c r="BT3227">
        <v>1271</v>
      </c>
    </row>
    <row r="3229" spans="1:73" x14ac:dyDescent="0.35">
      <c r="A3229" s="1" t="s">
        <v>1168</v>
      </c>
    </row>
    <row r="3230" spans="1:73" x14ac:dyDescent="0.35">
      <c r="A3230" t="s">
        <v>219</v>
      </c>
      <c r="B3230" t="s">
        <v>301</v>
      </c>
      <c r="C3230" t="s">
        <v>1098</v>
      </c>
      <c r="D3230" t="s">
        <v>1099</v>
      </c>
      <c r="E3230" t="s">
        <v>1100</v>
      </c>
      <c r="F3230" t="s">
        <v>1101</v>
      </c>
      <c r="G3230" t="s">
        <v>1102</v>
      </c>
      <c r="H3230" t="s">
        <v>1103</v>
      </c>
      <c r="I3230" t="s">
        <v>1104</v>
      </c>
      <c r="J3230" t="s">
        <v>1105</v>
      </c>
      <c r="K3230" t="s">
        <v>1106</v>
      </c>
      <c r="L3230" t="s">
        <v>1107</v>
      </c>
      <c r="M3230" t="s">
        <v>1108</v>
      </c>
      <c r="N3230" t="s">
        <v>1109</v>
      </c>
      <c r="O3230" t="s">
        <v>1110</v>
      </c>
      <c r="P3230" t="s">
        <v>1111</v>
      </c>
      <c r="Q3230" t="s">
        <v>1112</v>
      </c>
      <c r="R3230" t="s">
        <v>1113</v>
      </c>
      <c r="S3230" t="s">
        <v>1114</v>
      </c>
      <c r="T3230" t="s">
        <v>1115</v>
      </c>
      <c r="U3230" t="s">
        <v>1116</v>
      </c>
      <c r="V3230" t="s">
        <v>1117</v>
      </c>
      <c r="W3230" t="s">
        <v>1118</v>
      </c>
      <c r="X3230" t="s">
        <v>1119</v>
      </c>
      <c r="Y3230" t="s">
        <v>1120</v>
      </c>
      <c r="Z3230" t="s">
        <v>1121</v>
      </c>
      <c r="AA3230" t="s">
        <v>1122</v>
      </c>
      <c r="AB3230" t="s">
        <v>1123</v>
      </c>
      <c r="AC3230" t="s">
        <v>1124</v>
      </c>
      <c r="AD3230" t="s">
        <v>1125</v>
      </c>
      <c r="AE3230" t="s">
        <v>1126</v>
      </c>
      <c r="AF3230" t="s">
        <v>1127</v>
      </c>
      <c r="AG3230" t="s">
        <v>1128</v>
      </c>
      <c r="AH3230" t="s">
        <v>1129</v>
      </c>
      <c r="AI3230" t="s">
        <v>1130</v>
      </c>
      <c r="AJ3230" t="s">
        <v>1131</v>
      </c>
      <c r="AK3230" t="s">
        <v>1132</v>
      </c>
      <c r="AL3230" t="s">
        <v>1133</v>
      </c>
      <c r="AM3230" t="s">
        <v>1134</v>
      </c>
      <c r="AN3230" t="s">
        <v>1135</v>
      </c>
      <c r="AO3230" t="s">
        <v>1136</v>
      </c>
      <c r="AP3230" t="s">
        <v>1137</v>
      </c>
      <c r="AQ3230" t="s">
        <v>1138</v>
      </c>
      <c r="AR3230" t="s">
        <v>1139</v>
      </c>
      <c r="AS3230" t="s">
        <v>1140</v>
      </c>
      <c r="AT3230" t="s">
        <v>1141</v>
      </c>
      <c r="AU3230" t="s">
        <v>1142</v>
      </c>
      <c r="AV3230" t="s">
        <v>1143</v>
      </c>
      <c r="AW3230" t="s">
        <v>1144</v>
      </c>
      <c r="AX3230" t="s">
        <v>1145</v>
      </c>
      <c r="AY3230" t="s">
        <v>1146</v>
      </c>
      <c r="AZ3230" t="s">
        <v>1147</v>
      </c>
      <c r="BA3230" t="s">
        <v>1148</v>
      </c>
      <c r="BB3230" t="s">
        <v>1149</v>
      </c>
      <c r="BC3230" t="s">
        <v>1150</v>
      </c>
      <c r="BD3230" t="s">
        <v>1151</v>
      </c>
      <c r="BE3230" t="s">
        <v>1152</v>
      </c>
      <c r="BF3230" t="s">
        <v>1153</v>
      </c>
      <c r="BG3230" t="s">
        <v>1154</v>
      </c>
      <c r="BH3230" t="s">
        <v>1155</v>
      </c>
      <c r="BI3230" t="s">
        <v>1156</v>
      </c>
      <c r="BJ3230" t="s">
        <v>1157</v>
      </c>
      <c r="BK3230" t="s">
        <v>1158</v>
      </c>
      <c r="BL3230" t="s">
        <v>1159</v>
      </c>
      <c r="BM3230" t="s">
        <v>1160</v>
      </c>
      <c r="BN3230" t="s">
        <v>1161</v>
      </c>
      <c r="BO3230" t="s">
        <v>1162</v>
      </c>
      <c r="BP3230" t="s">
        <v>1163</v>
      </c>
      <c r="BQ3230" t="s">
        <v>1164</v>
      </c>
      <c r="BR3230" t="s">
        <v>1165</v>
      </c>
      <c r="BS3230" t="s">
        <v>1166</v>
      </c>
      <c r="BT3230" t="s">
        <v>1167</v>
      </c>
      <c r="BU3230" t="s">
        <v>957</v>
      </c>
    </row>
    <row r="3231" spans="1:73" x14ac:dyDescent="0.35">
      <c r="A3231" t="s">
        <v>227</v>
      </c>
      <c r="B3231" t="s">
        <v>238</v>
      </c>
      <c r="C3231">
        <v>10546.42</v>
      </c>
      <c r="D3231">
        <v>7333.3</v>
      </c>
      <c r="E3231">
        <v>333.3</v>
      </c>
      <c r="F3231">
        <v>75000</v>
      </c>
      <c r="G3231" s="6">
        <v>347</v>
      </c>
      <c r="H3231">
        <v>3239.44</v>
      </c>
      <c r="I3231">
        <v>2666.7</v>
      </c>
      <c r="J3231">
        <v>16.7</v>
      </c>
      <c r="K3231">
        <v>15000</v>
      </c>
      <c r="L3231" s="6">
        <v>66</v>
      </c>
      <c r="M3231">
        <v>12184.38</v>
      </c>
      <c r="N3231">
        <v>7500</v>
      </c>
      <c r="O3231">
        <v>750</v>
      </c>
      <c r="P3231">
        <v>125000</v>
      </c>
      <c r="Q3231" s="6">
        <v>34</v>
      </c>
      <c r="R3231">
        <v>1832.27</v>
      </c>
      <c r="S3231">
        <v>1333.3</v>
      </c>
      <c r="T3231">
        <v>200</v>
      </c>
      <c r="U3231">
        <v>10000</v>
      </c>
      <c r="V3231" s="6">
        <v>33</v>
      </c>
      <c r="W3231">
        <v>1893.15</v>
      </c>
      <c r="X3231">
        <v>2000</v>
      </c>
      <c r="Y3231">
        <v>400</v>
      </c>
      <c r="Z3231">
        <v>3150</v>
      </c>
      <c r="AA3231" s="6">
        <v>149</v>
      </c>
      <c r="AB3231">
        <v>4290.78</v>
      </c>
      <c r="AC3231">
        <v>4000</v>
      </c>
      <c r="AD3231">
        <v>428.6</v>
      </c>
      <c r="AE3231">
        <v>27000</v>
      </c>
      <c r="AF3231" s="6">
        <v>613</v>
      </c>
      <c r="AG3231">
        <v>2453.94</v>
      </c>
      <c r="AH3231">
        <v>1600</v>
      </c>
      <c r="AI3231">
        <v>150</v>
      </c>
      <c r="AJ3231">
        <v>18000</v>
      </c>
      <c r="AK3231" s="6">
        <v>288</v>
      </c>
      <c r="AL3231">
        <v>5529.39</v>
      </c>
      <c r="AM3231">
        <v>2100</v>
      </c>
      <c r="AN3231">
        <v>608</v>
      </c>
      <c r="AO3231">
        <v>18000</v>
      </c>
      <c r="AP3231" s="6">
        <v>12</v>
      </c>
      <c r="AQ3231">
        <v>6350.4</v>
      </c>
      <c r="AR3231">
        <v>3333.3</v>
      </c>
      <c r="AS3231">
        <v>233.3</v>
      </c>
      <c r="AT3231">
        <v>30000</v>
      </c>
      <c r="AU3231" s="6">
        <v>33</v>
      </c>
      <c r="AV3231">
        <v>903.44</v>
      </c>
      <c r="AW3231">
        <v>1200</v>
      </c>
      <c r="AX3231">
        <v>241.7</v>
      </c>
      <c r="AY3231">
        <v>1600</v>
      </c>
      <c r="AZ3231" s="6">
        <v>34</v>
      </c>
      <c r="BA3231">
        <v>3331.52</v>
      </c>
      <c r="BB3231">
        <v>2500</v>
      </c>
      <c r="BC3231">
        <v>75</v>
      </c>
      <c r="BD3231">
        <v>26000</v>
      </c>
      <c r="BE3231" s="6">
        <v>65</v>
      </c>
      <c r="BK3231">
        <v>1914.28</v>
      </c>
      <c r="BL3231">
        <v>500</v>
      </c>
      <c r="BM3231">
        <v>500</v>
      </c>
      <c r="BN3231">
        <v>21750</v>
      </c>
      <c r="BO3231" s="6">
        <v>5</v>
      </c>
      <c r="BP3231">
        <v>3701.8</v>
      </c>
      <c r="BQ3231">
        <v>3000</v>
      </c>
      <c r="BR3231">
        <v>100</v>
      </c>
      <c r="BS3231">
        <v>22000</v>
      </c>
      <c r="BT3231" s="6">
        <v>33</v>
      </c>
      <c r="BU3231">
        <v>613</v>
      </c>
    </row>
    <row r="3232" spans="1:73" x14ac:dyDescent="0.35">
      <c r="A3232" t="s">
        <v>227</v>
      </c>
      <c r="B3232" t="s">
        <v>237</v>
      </c>
      <c r="C3232">
        <v>13845.22</v>
      </c>
      <c r="D3232">
        <v>10000</v>
      </c>
      <c r="E3232">
        <v>500</v>
      </c>
      <c r="F3232">
        <v>150000</v>
      </c>
      <c r="G3232" s="6">
        <v>924</v>
      </c>
      <c r="H3232">
        <v>7723.14</v>
      </c>
      <c r="I3232">
        <v>4000</v>
      </c>
      <c r="J3232">
        <v>100</v>
      </c>
      <c r="K3232">
        <v>66666.7</v>
      </c>
      <c r="L3232" s="6">
        <v>175</v>
      </c>
      <c r="M3232">
        <v>20052.86</v>
      </c>
      <c r="N3232">
        <v>13333.3</v>
      </c>
      <c r="O3232">
        <v>250</v>
      </c>
      <c r="P3232">
        <v>150000</v>
      </c>
      <c r="Q3232" s="6">
        <v>75</v>
      </c>
      <c r="R3232">
        <v>3292.27</v>
      </c>
      <c r="S3232">
        <v>2666.7</v>
      </c>
      <c r="T3232">
        <v>100</v>
      </c>
      <c r="U3232">
        <v>35000</v>
      </c>
      <c r="V3232" s="6">
        <v>59</v>
      </c>
      <c r="W3232">
        <v>1951.45</v>
      </c>
      <c r="X3232">
        <v>2000</v>
      </c>
      <c r="Y3232">
        <v>500</v>
      </c>
      <c r="Z3232">
        <v>5000</v>
      </c>
      <c r="AA3232" s="6">
        <v>115</v>
      </c>
      <c r="AB3232">
        <v>4303.03</v>
      </c>
      <c r="AC3232">
        <v>3800</v>
      </c>
      <c r="AD3232">
        <v>500</v>
      </c>
      <c r="AE3232">
        <v>30000</v>
      </c>
      <c r="AF3232" s="6">
        <v>581</v>
      </c>
      <c r="AG3232">
        <v>1228.29</v>
      </c>
      <c r="AH3232">
        <v>596</v>
      </c>
      <c r="AI3232">
        <v>106.7</v>
      </c>
      <c r="AJ3232">
        <v>20000</v>
      </c>
      <c r="AK3232" s="6">
        <v>116</v>
      </c>
      <c r="AL3232">
        <v>6103.14</v>
      </c>
      <c r="AM3232">
        <v>8000</v>
      </c>
      <c r="AN3232">
        <v>100</v>
      </c>
      <c r="AO3232">
        <v>25000</v>
      </c>
      <c r="AP3232" s="6">
        <v>20</v>
      </c>
      <c r="AQ3232">
        <v>4538.8599999999997</v>
      </c>
      <c r="AR3232">
        <v>3333.3</v>
      </c>
      <c r="AS3232">
        <v>250</v>
      </c>
      <c r="AT3232">
        <v>25000</v>
      </c>
      <c r="AU3232" s="6">
        <v>59</v>
      </c>
      <c r="AV3232">
        <v>1658.08</v>
      </c>
      <c r="AW3232">
        <v>1200</v>
      </c>
      <c r="AX3232">
        <v>400</v>
      </c>
      <c r="AY3232">
        <v>3300</v>
      </c>
      <c r="AZ3232" s="6">
        <v>18</v>
      </c>
      <c r="BA3232">
        <v>4539.6899999999996</v>
      </c>
      <c r="BB3232">
        <v>3333.3</v>
      </c>
      <c r="BC3232">
        <v>100</v>
      </c>
      <c r="BD3232">
        <v>22750</v>
      </c>
      <c r="BE3232" s="6">
        <v>141</v>
      </c>
      <c r="BF3232">
        <v>2109.21</v>
      </c>
      <c r="BG3232">
        <v>1000</v>
      </c>
      <c r="BH3232">
        <v>666.7</v>
      </c>
      <c r="BI3232">
        <v>4000</v>
      </c>
      <c r="BJ3232" s="6">
        <v>3</v>
      </c>
      <c r="BK3232">
        <v>15503.59</v>
      </c>
      <c r="BL3232">
        <v>1000</v>
      </c>
      <c r="BM3232">
        <v>500</v>
      </c>
      <c r="BN3232">
        <v>75000</v>
      </c>
      <c r="BO3232" s="6">
        <v>9</v>
      </c>
      <c r="BP3232">
        <v>6066.64</v>
      </c>
      <c r="BQ3232">
        <v>5000</v>
      </c>
      <c r="BR3232">
        <v>125</v>
      </c>
      <c r="BS3232">
        <v>40000</v>
      </c>
      <c r="BT3232" s="6">
        <v>54</v>
      </c>
      <c r="BU3232">
        <v>924</v>
      </c>
    </row>
    <row r="3233" spans="1:73" x14ac:dyDescent="0.35">
      <c r="A3233" t="s">
        <v>228</v>
      </c>
      <c r="B3233" t="s">
        <v>228</v>
      </c>
      <c r="C3233">
        <v>12841.11</v>
      </c>
      <c r="D3233">
        <v>10000</v>
      </c>
      <c r="E3233">
        <v>333.3</v>
      </c>
      <c r="F3233">
        <v>150000</v>
      </c>
      <c r="G3233" s="6">
        <v>1271</v>
      </c>
      <c r="H3233">
        <v>6272.64</v>
      </c>
      <c r="I3233">
        <v>3333.3</v>
      </c>
      <c r="J3233">
        <v>16.7</v>
      </c>
      <c r="K3233">
        <v>66666.7</v>
      </c>
      <c r="L3233" s="6">
        <v>241</v>
      </c>
      <c r="M3233">
        <v>17578.79</v>
      </c>
      <c r="N3233">
        <v>10000</v>
      </c>
      <c r="O3233">
        <v>250</v>
      </c>
      <c r="P3233">
        <v>150000</v>
      </c>
      <c r="Q3233" s="6">
        <v>109</v>
      </c>
      <c r="R3233">
        <v>2698.25</v>
      </c>
      <c r="S3233">
        <v>1750</v>
      </c>
      <c r="T3233">
        <v>100</v>
      </c>
      <c r="U3233">
        <v>35000</v>
      </c>
      <c r="V3233" s="6">
        <v>92</v>
      </c>
      <c r="W3233">
        <v>1917.18</v>
      </c>
      <c r="X3233">
        <v>2000</v>
      </c>
      <c r="Y3233">
        <v>400</v>
      </c>
      <c r="Z3233">
        <v>5000</v>
      </c>
      <c r="AA3233" s="6">
        <v>264</v>
      </c>
      <c r="AB3233">
        <v>4296.82</v>
      </c>
      <c r="AC3233">
        <v>4000</v>
      </c>
      <c r="AD3233">
        <v>428.6</v>
      </c>
      <c r="AE3233">
        <v>30000</v>
      </c>
      <c r="AF3233" s="6">
        <v>1194</v>
      </c>
      <c r="AG3233">
        <v>2115.1799999999998</v>
      </c>
      <c r="AH3233">
        <v>1400</v>
      </c>
      <c r="AI3233">
        <v>106.7</v>
      </c>
      <c r="AJ3233">
        <v>20000</v>
      </c>
      <c r="AK3233" s="6">
        <v>404</v>
      </c>
      <c r="AL3233">
        <v>5888.89</v>
      </c>
      <c r="AM3233">
        <v>4000</v>
      </c>
      <c r="AN3233">
        <v>100</v>
      </c>
      <c r="AO3233">
        <v>25000</v>
      </c>
      <c r="AP3233" s="6">
        <v>32</v>
      </c>
      <c r="AQ3233">
        <v>5244.2</v>
      </c>
      <c r="AR3233">
        <v>3333.3</v>
      </c>
      <c r="AS3233">
        <v>233.3</v>
      </c>
      <c r="AT3233">
        <v>30000</v>
      </c>
      <c r="AU3233" s="6">
        <v>92</v>
      </c>
      <c r="AV3233">
        <v>1217.7</v>
      </c>
      <c r="AW3233">
        <v>1200</v>
      </c>
      <c r="AX3233">
        <v>241.7</v>
      </c>
      <c r="AY3233">
        <v>3300</v>
      </c>
      <c r="AZ3233" s="6">
        <v>52</v>
      </c>
      <c r="BA3233">
        <v>4143.3599999999997</v>
      </c>
      <c r="BB3233">
        <v>2500</v>
      </c>
      <c r="BC3233">
        <v>75</v>
      </c>
      <c r="BD3233">
        <v>26000</v>
      </c>
      <c r="BE3233" s="6">
        <v>206</v>
      </c>
      <c r="BF3233">
        <v>2109.21</v>
      </c>
      <c r="BG3233">
        <v>1000</v>
      </c>
      <c r="BH3233">
        <v>666.7</v>
      </c>
      <c r="BI3233">
        <v>4000</v>
      </c>
      <c r="BJ3233" s="6">
        <v>3</v>
      </c>
      <c r="BK3233">
        <v>9971.93</v>
      </c>
      <c r="BL3233">
        <v>666.7</v>
      </c>
      <c r="BM3233">
        <v>500</v>
      </c>
      <c r="BN3233">
        <v>75000</v>
      </c>
      <c r="BO3233" s="6">
        <v>14</v>
      </c>
      <c r="BP3233">
        <v>5190.95</v>
      </c>
      <c r="BQ3233">
        <v>3000</v>
      </c>
      <c r="BR3233">
        <v>100</v>
      </c>
      <c r="BS3233">
        <v>40000</v>
      </c>
      <c r="BT3233" s="6">
        <v>87</v>
      </c>
      <c r="BU3233">
        <v>1271</v>
      </c>
    </row>
    <row r="3235" spans="1:73" x14ac:dyDescent="0.35">
      <c r="A3235" s="1" t="s">
        <v>1169</v>
      </c>
    </row>
    <row r="3236" spans="1:73" x14ac:dyDescent="0.35">
      <c r="A3236" t="s">
        <v>219</v>
      </c>
      <c r="B3236" t="s">
        <v>301</v>
      </c>
      <c r="C3236" t="s">
        <v>1098</v>
      </c>
      <c r="D3236" t="s">
        <v>1099</v>
      </c>
      <c r="E3236" t="s">
        <v>1100</v>
      </c>
      <c r="F3236" t="s">
        <v>1101</v>
      </c>
      <c r="G3236" t="s">
        <v>1102</v>
      </c>
      <c r="H3236" t="s">
        <v>1103</v>
      </c>
      <c r="I3236" t="s">
        <v>1104</v>
      </c>
      <c r="J3236" t="s">
        <v>1105</v>
      </c>
      <c r="K3236" t="s">
        <v>1106</v>
      </c>
      <c r="L3236" t="s">
        <v>1107</v>
      </c>
      <c r="M3236" t="s">
        <v>1108</v>
      </c>
      <c r="N3236" t="s">
        <v>1109</v>
      </c>
      <c r="O3236" t="s">
        <v>1110</v>
      </c>
      <c r="P3236" t="s">
        <v>1111</v>
      </c>
      <c r="Q3236" t="s">
        <v>1112</v>
      </c>
      <c r="R3236" t="s">
        <v>1113</v>
      </c>
      <c r="S3236" t="s">
        <v>1114</v>
      </c>
      <c r="T3236" t="s">
        <v>1115</v>
      </c>
      <c r="U3236" t="s">
        <v>1116</v>
      </c>
      <c r="V3236" t="s">
        <v>1117</v>
      </c>
      <c r="W3236" t="s">
        <v>1118</v>
      </c>
      <c r="X3236" t="s">
        <v>1119</v>
      </c>
      <c r="Y3236" t="s">
        <v>1120</v>
      </c>
      <c r="Z3236" t="s">
        <v>1121</v>
      </c>
      <c r="AA3236" t="s">
        <v>1122</v>
      </c>
      <c r="AB3236" t="s">
        <v>1123</v>
      </c>
      <c r="AC3236" t="s">
        <v>1124</v>
      </c>
      <c r="AD3236" t="s">
        <v>1125</v>
      </c>
      <c r="AE3236" t="s">
        <v>1126</v>
      </c>
      <c r="AF3236" t="s">
        <v>1127</v>
      </c>
      <c r="AG3236" t="s">
        <v>1128</v>
      </c>
      <c r="AH3236" t="s">
        <v>1129</v>
      </c>
      <c r="AI3236" t="s">
        <v>1130</v>
      </c>
      <c r="AJ3236" t="s">
        <v>1131</v>
      </c>
      <c r="AK3236" t="s">
        <v>1132</v>
      </c>
      <c r="AL3236" t="s">
        <v>1133</v>
      </c>
      <c r="AM3236" t="s">
        <v>1134</v>
      </c>
      <c r="AN3236" t="s">
        <v>1135</v>
      </c>
      <c r="AO3236" t="s">
        <v>1136</v>
      </c>
      <c r="AP3236" t="s">
        <v>1137</v>
      </c>
      <c r="AQ3236" t="s">
        <v>1138</v>
      </c>
      <c r="AR3236" t="s">
        <v>1139</v>
      </c>
      <c r="AS3236" t="s">
        <v>1140</v>
      </c>
      <c r="AT3236" t="s">
        <v>1141</v>
      </c>
      <c r="AU3236" t="s">
        <v>1142</v>
      </c>
      <c r="AV3236" t="s">
        <v>1143</v>
      </c>
      <c r="AW3236" t="s">
        <v>1144</v>
      </c>
      <c r="AX3236" t="s">
        <v>1145</v>
      </c>
      <c r="AY3236" t="s">
        <v>1146</v>
      </c>
      <c r="AZ3236" t="s">
        <v>1147</v>
      </c>
      <c r="BA3236" t="s">
        <v>1148</v>
      </c>
      <c r="BB3236" t="s">
        <v>1149</v>
      </c>
      <c r="BC3236" t="s">
        <v>1150</v>
      </c>
      <c r="BD3236" t="s">
        <v>1151</v>
      </c>
      <c r="BE3236" t="s">
        <v>1152</v>
      </c>
      <c r="BF3236" t="s">
        <v>1153</v>
      </c>
      <c r="BG3236" t="s">
        <v>1154</v>
      </c>
      <c r="BH3236" t="s">
        <v>1155</v>
      </c>
      <c r="BI3236" t="s">
        <v>1156</v>
      </c>
      <c r="BJ3236" t="s">
        <v>1157</v>
      </c>
      <c r="BK3236" t="s">
        <v>1158</v>
      </c>
      <c r="BL3236" t="s">
        <v>1159</v>
      </c>
      <c r="BM3236" t="s">
        <v>1160</v>
      </c>
      <c r="BN3236" t="s">
        <v>1161</v>
      </c>
      <c r="BO3236" t="s">
        <v>1162</v>
      </c>
      <c r="BP3236" t="s">
        <v>1163</v>
      </c>
      <c r="BQ3236" t="s">
        <v>1164</v>
      </c>
      <c r="BR3236" t="s">
        <v>1165</v>
      </c>
      <c r="BS3236" t="s">
        <v>1166</v>
      </c>
      <c r="BT3236" t="s">
        <v>1167</v>
      </c>
      <c r="BU3236" t="s">
        <v>957</v>
      </c>
    </row>
    <row r="3237" spans="1:73" x14ac:dyDescent="0.35">
      <c r="A3237" t="s">
        <v>227</v>
      </c>
      <c r="B3237" t="s">
        <v>235</v>
      </c>
      <c r="C3237">
        <v>9631.6299999999992</v>
      </c>
      <c r="D3237">
        <v>7333.3</v>
      </c>
      <c r="E3237">
        <v>333.3</v>
      </c>
      <c r="F3237">
        <v>150000</v>
      </c>
      <c r="G3237" s="6">
        <v>406</v>
      </c>
      <c r="H3237">
        <v>4482.62</v>
      </c>
      <c r="I3237">
        <v>3333.3</v>
      </c>
      <c r="J3237">
        <v>100</v>
      </c>
      <c r="K3237">
        <v>20000</v>
      </c>
      <c r="L3237" s="6">
        <v>104</v>
      </c>
      <c r="M3237">
        <v>7454.64</v>
      </c>
      <c r="N3237">
        <v>7500</v>
      </c>
      <c r="O3237">
        <v>250</v>
      </c>
      <c r="P3237">
        <v>30000</v>
      </c>
      <c r="Q3237" s="6">
        <v>27</v>
      </c>
      <c r="R3237">
        <v>3031.89</v>
      </c>
      <c r="S3237">
        <v>2000</v>
      </c>
      <c r="T3237">
        <v>100</v>
      </c>
      <c r="U3237">
        <v>35000</v>
      </c>
      <c r="V3237" s="6">
        <v>71</v>
      </c>
      <c r="W3237">
        <v>1871.74</v>
      </c>
      <c r="X3237">
        <v>2000</v>
      </c>
      <c r="Y3237">
        <v>500</v>
      </c>
      <c r="Z3237">
        <v>5000</v>
      </c>
      <c r="AA3237" s="6">
        <v>94</v>
      </c>
      <c r="AB3237">
        <v>3678.8</v>
      </c>
      <c r="AC3237">
        <v>3250</v>
      </c>
      <c r="AD3237">
        <v>428.6</v>
      </c>
      <c r="AE3237">
        <v>18000</v>
      </c>
      <c r="AF3237" s="6">
        <v>429</v>
      </c>
      <c r="AG3237">
        <v>1845.36</v>
      </c>
      <c r="AH3237">
        <v>1100</v>
      </c>
      <c r="AI3237">
        <v>106.7</v>
      </c>
      <c r="AJ3237">
        <v>18000</v>
      </c>
      <c r="AK3237" s="6">
        <v>157</v>
      </c>
      <c r="AL3237">
        <v>5642.6</v>
      </c>
      <c r="AM3237">
        <v>4500</v>
      </c>
      <c r="AN3237">
        <v>1000</v>
      </c>
      <c r="AO3237">
        <v>15000</v>
      </c>
      <c r="AP3237" s="6">
        <v>9</v>
      </c>
      <c r="AQ3237">
        <v>3016.39</v>
      </c>
      <c r="AR3237">
        <v>1500</v>
      </c>
      <c r="AS3237">
        <v>250</v>
      </c>
      <c r="AT3237">
        <v>30000</v>
      </c>
      <c r="AU3237" s="6">
        <v>26</v>
      </c>
      <c r="AV3237">
        <v>934.43</v>
      </c>
      <c r="AW3237">
        <v>1200</v>
      </c>
      <c r="AX3237">
        <v>300</v>
      </c>
      <c r="AY3237">
        <v>1200</v>
      </c>
      <c r="AZ3237" s="6">
        <v>27</v>
      </c>
      <c r="BA3237">
        <v>4289.57</v>
      </c>
      <c r="BB3237">
        <v>2500</v>
      </c>
      <c r="BC3237">
        <v>75</v>
      </c>
      <c r="BD3237">
        <v>26000</v>
      </c>
      <c r="BE3237" s="6">
        <v>68</v>
      </c>
      <c r="BF3237">
        <v>1000</v>
      </c>
      <c r="BG3237">
        <v>1000</v>
      </c>
      <c r="BH3237">
        <v>1000</v>
      </c>
      <c r="BI3237">
        <v>1000</v>
      </c>
      <c r="BJ3237" s="6">
        <v>1</v>
      </c>
      <c r="BK3237">
        <v>58851.26</v>
      </c>
      <c r="BL3237">
        <v>75000</v>
      </c>
      <c r="BM3237">
        <v>1000</v>
      </c>
      <c r="BN3237">
        <v>75000</v>
      </c>
      <c r="BO3237" s="6">
        <v>6</v>
      </c>
      <c r="BP3237">
        <v>4438.3999999999996</v>
      </c>
      <c r="BQ3237">
        <v>3000</v>
      </c>
      <c r="BR3237">
        <v>566.70000000000005</v>
      </c>
      <c r="BS3237">
        <v>20000</v>
      </c>
      <c r="BT3237" s="6">
        <v>23</v>
      </c>
      <c r="BU3237">
        <v>429</v>
      </c>
    </row>
    <row r="3238" spans="1:73" x14ac:dyDescent="0.35">
      <c r="A3238" t="s">
        <v>227</v>
      </c>
      <c r="B3238" t="s">
        <v>234</v>
      </c>
      <c r="C3238">
        <v>14117.15</v>
      </c>
      <c r="D3238">
        <v>10000</v>
      </c>
      <c r="E3238">
        <v>500</v>
      </c>
      <c r="F3238">
        <v>100000</v>
      </c>
      <c r="G3238" s="6">
        <v>865</v>
      </c>
      <c r="H3238">
        <v>7348.79</v>
      </c>
      <c r="I3238">
        <v>3500</v>
      </c>
      <c r="J3238">
        <v>16.7</v>
      </c>
      <c r="K3238">
        <v>66666.7</v>
      </c>
      <c r="L3238" s="6">
        <v>137</v>
      </c>
      <c r="M3238">
        <v>20033.13</v>
      </c>
      <c r="N3238">
        <v>13333.3</v>
      </c>
      <c r="O3238">
        <v>750</v>
      </c>
      <c r="P3238">
        <v>150000</v>
      </c>
      <c r="Q3238" s="6">
        <v>82</v>
      </c>
      <c r="R3238">
        <v>2230.75</v>
      </c>
      <c r="S3238">
        <v>1666.7</v>
      </c>
      <c r="T3238">
        <v>250</v>
      </c>
      <c r="U3238">
        <v>20000</v>
      </c>
      <c r="V3238" s="6">
        <v>21</v>
      </c>
      <c r="W3238">
        <v>1935.19</v>
      </c>
      <c r="X3238">
        <v>2000</v>
      </c>
      <c r="Y3238">
        <v>400</v>
      </c>
      <c r="Z3238">
        <v>4666.7</v>
      </c>
      <c r="AA3238" s="6">
        <v>170</v>
      </c>
      <c r="AB3238">
        <v>4604.84</v>
      </c>
      <c r="AC3238">
        <v>4000</v>
      </c>
      <c r="AD3238">
        <v>500</v>
      </c>
      <c r="AE3238">
        <v>30000</v>
      </c>
      <c r="AF3238" s="6">
        <v>765</v>
      </c>
      <c r="AG3238">
        <v>2302.64</v>
      </c>
      <c r="AH3238">
        <v>1500</v>
      </c>
      <c r="AI3238">
        <v>150</v>
      </c>
      <c r="AJ3238">
        <v>20000</v>
      </c>
      <c r="AK3238" s="6">
        <v>247</v>
      </c>
      <c r="AL3238">
        <v>6021.72</v>
      </c>
      <c r="AM3238">
        <v>5000</v>
      </c>
      <c r="AN3238">
        <v>100</v>
      </c>
      <c r="AO3238">
        <v>25000</v>
      </c>
      <c r="AP3238" s="6">
        <v>23</v>
      </c>
      <c r="AQ3238">
        <v>5798.73</v>
      </c>
      <c r="AR3238">
        <v>4000</v>
      </c>
      <c r="AS3238">
        <v>233.3</v>
      </c>
      <c r="AT3238">
        <v>25000</v>
      </c>
      <c r="AU3238" s="6">
        <v>66</v>
      </c>
      <c r="AV3238">
        <v>1372.19</v>
      </c>
      <c r="AW3238">
        <v>1200</v>
      </c>
      <c r="AX3238">
        <v>241.7</v>
      </c>
      <c r="AY3238">
        <v>3300</v>
      </c>
      <c r="AZ3238" s="6">
        <v>25</v>
      </c>
      <c r="BA3238">
        <v>4088.7</v>
      </c>
      <c r="BB3238">
        <v>3000</v>
      </c>
      <c r="BC3238">
        <v>100</v>
      </c>
      <c r="BD3238">
        <v>26000</v>
      </c>
      <c r="BE3238" s="6">
        <v>138</v>
      </c>
      <c r="BF3238">
        <v>2184.35</v>
      </c>
      <c r="BG3238">
        <v>666.7</v>
      </c>
      <c r="BH3238">
        <v>666.7</v>
      </c>
      <c r="BI3238">
        <v>4000</v>
      </c>
      <c r="BJ3238" s="6">
        <v>2</v>
      </c>
      <c r="BK3238">
        <v>1588.74</v>
      </c>
      <c r="BL3238">
        <v>500</v>
      </c>
      <c r="BM3238">
        <v>500</v>
      </c>
      <c r="BN3238">
        <v>21750</v>
      </c>
      <c r="BO3238" s="6">
        <v>8</v>
      </c>
      <c r="BP3238">
        <v>5370.52</v>
      </c>
      <c r="BQ3238">
        <v>3000</v>
      </c>
      <c r="BR3238">
        <v>100</v>
      </c>
      <c r="BS3238">
        <v>40000</v>
      </c>
      <c r="BT3238" s="6">
        <v>64</v>
      </c>
      <c r="BU3238">
        <v>865</v>
      </c>
    </row>
    <row r="3239" spans="1:73" x14ac:dyDescent="0.35">
      <c r="A3239" t="s">
        <v>228</v>
      </c>
      <c r="B3239" t="s">
        <v>228</v>
      </c>
      <c r="C3239">
        <v>12841.11</v>
      </c>
      <c r="D3239">
        <v>10000</v>
      </c>
      <c r="E3239">
        <v>333.3</v>
      </c>
      <c r="F3239">
        <v>150000</v>
      </c>
      <c r="G3239" s="6">
        <v>1271</v>
      </c>
      <c r="H3239">
        <v>6272.64</v>
      </c>
      <c r="I3239">
        <v>3333.3</v>
      </c>
      <c r="J3239">
        <v>16.7</v>
      </c>
      <c r="K3239">
        <v>66666.7</v>
      </c>
      <c r="L3239" s="6">
        <v>241</v>
      </c>
      <c r="M3239">
        <v>17578.79</v>
      </c>
      <c r="N3239">
        <v>10000</v>
      </c>
      <c r="O3239">
        <v>250</v>
      </c>
      <c r="P3239">
        <v>150000</v>
      </c>
      <c r="Q3239" s="6">
        <v>109</v>
      </c>
      <c r="R3239">
        <v>2698.25</v>
      </c>
      <c r="S3239">
        <v>1750</v>
      </c>
      <c r="T3239">
        <v>100</v>
      </c>
      <c r="U3239">
        <v>35000</v>
      </c>
      <c r="V3239" s="6">
        <v>92</v>
      </c>
      <c r="W3239">
        <v>1917.18</v>
      </c>
      <c r="X3239">
        <v>2000</v>
      </c>
      <c r="Y3239">
        <v>400</v>
      </c>
      <c r="Z3239">
        <v>5000</v>
      </c>
      <c r="AA3239" s="6">
        <v>264</v>
      </c>
      <c r="AB3239">
        <v>4296.82</v>
      </c>
      <c r="AC3239">
        <v>4000</v>
      </c>
      <c r="AD3239">
        <v>428.6</v>
      </c>
      <c r="AE3239">
        <v>30000</v>
      </c>
      <c r="AF3239" s="6">
        <v>1194</v>
      </c>
      <c r="AG3239">
        <v>2115.1799999999998</v>
      </c>
      <c r="AH3239">
        <v>1400</v>
      </c>
      <c r="AI3239">
        <v>106.7</v>
      </c>
      <c r="AJ3239">
        <v>20000</v>
      </c>
      <c r="AK3239" s="6">
        <v>404</v>
      </c>
      <c r="AL3239">
        <v>5888.89</v>
      </c>
      <c r="AM3239">
        <v>4000</v>
      </c>
      <c r="AN3239">
        <v>100</v>
      </c>
      <c r="AO3239">
        <v>25000</v>
      </c>
      <c r="AP3239" s="6">
        <v>32</v>
      </c>
      <c r="AQ3239">
        <v>5244.2</v>
      </c>
      <c r="AR3239">
        <v>3333.3</v>
      </c>
      <c r="AS3239">
        <v>233.3</v>
      </c>
      <c r="AT3239">
        <v>30000</v>
      </c>
      <c r="AU3239" s="6">
        <v>92</v>
      </c>
      <c r="AV3239">
        <v>1217.7</v>
      </c>
      <c r="AW3239">
        <v>1200</v>
      </c>
      <c r="AX3239">
        <v>241.7</v>
      </c>
      <c r="AY3239">
        <v>3300</v>
      </c>
      <c r="AZ3239" s="6">
        <v>52</v>
      </c>
      <c r="BA3239">
        <v>4143.3599999999997</v>
      </c>
      <c r="BB3239">
        <v>2500</v>
      </c>
      <c r="BC3239">
        <v>75</v>
      </c>
      <c r="BD3239">
        <v>26000</v>
      </c>
      <c r="BE3239" s="6">
        <v>206</v>
      </c>
      <c r="BF3239">
        <v>2109.21</v>
      </c>
      <c r="BG3239">
        <v>1000</v>
      </c>
      <c r="BH3239">
        <v>666.7</v>
      </c>
      <c r="BI3239">
        <v>4000</v>
      </c>
      <c r="BJ3239" s="6">
        <v>3</v>
      </c>
      <c r="BK3239">
        <v>9971.93</v>
      </c>
      <c r="BL3239">
        <v>666.7</v>
      </c>
      <c r="BM3239">
        <v>500</v>
      </c>
      <c r="BN3239">
        <v>75000</v>
      </c>
      <c r="BO3239" s="6">
        <v>14</v>
      </c>
      <c r="BP3239">
        <v>5190.95</v>
      </c>
      <c r="BQ3239">
        <v>3000</v>
      </c>
      <c r="BR3239">
        <v>100</v>
      </c>
      <c r="BS3239">
        <v>40000</v>
      </c>
      <c r="BT3239" s="6">
        <v>87</v>
      </c>
      <c r="BU3239">
        <v>1271</v>
      </c>
    </row>
    <row r="3241" spans="1:73" x14ac:dyDescent="0.35">
      <c r="A3241" s="1" t="s">
        <v>1170</v>
      </c>
    </row>
    <row r="3242" spans="1:73" x14ac:dyDescent="0.35">
      <c r="A3242" t="s">
        <v>219</v>
      </c>
      <c r="B3242" t="s">
        <v>301</v>
      </c>
      <c r="C3242" t="s">
        <v>1098</v>
      </c>
      <c r="D3242" t="s">
        <v>1099</v>
      </c>
      <c r="E3242" t="s">
        <v>1100</v>
      </c>
      <c r="F3242" t="s">
        <v>1101</v>
      </c>
      <c r="G3242" t="s">
        <v>1102</v>
      </c>
      <c r="H3242" t="s">
        <v>1103</v>
      </c>
      <c r="I3242" t="s">
        <v>1104</v>
      </c>
      <c r="J3242" t="s">
        <v>1105</v>
      </c>
      <c r="K3242" t="s">
        <v>1106</v>
      </c>
      <c r="L3242" t="s">
        <v>1107</v>
      </c>
      <c r="M3242" t="s">
        <v>1108</v>
      </c>
      <c r="N3242" t="s">
        <v>1109</v>
      </c>
      <c r="O3242" t="s">
        <v>1110</v>
      </c>
      <c r="P3242" t="s">
        <v>1111</v>
      </c>
      <c r="Q3242" t="s">
        <v>1112</v>
      </c>
      <c r="R3242" t="s">
        <v>1113</v>
      </c>
      <c r="S3242" t="s">
        <v>1114</v>
      </c>
      <c r="T3242" t="s">
        <v>1115</v>
      </c>
      <c r="U3242" t="s">
        <v>1116</v>
      </c>
      <c r="V3242" t="s">
        <v>1117</v>
      </c>
      <c r="W3242" t="s">
        <v>1118</v>
      </c>
      <c r="X3242" t="s">
        <v>1119</v>
      </c>
      <c r="Y3242" t="s">
        <v>1120</v>
      </c>
      <c r="Z3242" t="s">
        <v>1121</v>
      </c>
      <c r="AA3242" t="s">
        <v>1122</v>
      </c>
      <c r="AB3242" t="s">
        <v>1123</v>
      </c>
      <c r="AC3242" t="s">
        <v>1124</v>
      </c>
      <c r="AD3242" t="s">
        <v>1125</v>
      </c>
      <c r="AE3242" t="s">
        <v>1126</v>
      </c>
      <c r="AF3242" t="s">
        <v>1127</v>
      </c>
      <c r="AG3242" t="s">
        <v>1128</v>
      </c>
      <c r="AH3242" t="s">
        <v>1129</v>
      </c>
      <c r="AI3242" t="s">
        <v>1130</v>
      </c>
      <c r="AJ3242" t="s">
        <v>1131</v>
      </c>
      <c r="AK3242" t="s">
        <v>1132</v>
      </c>
      <c r="AL3242" t="s">
        <v>1133</v>
      </c>
      <c r="AM3242" t="s">
        <v>1134</v>
      </c>
      <c r="AN3242" t="s">
        <v>1135</v>
      </c>
      <c r="AO3242" t="s">
        <v>1136</v>
      </c>
      <c r="AP3242" t="s">
        <v>1137</v>
      </c>
      <c r="AQ3242" t="s">
        <v>1138</v>
      </c>
      <c r="AR3242" t="s">
        <v>1139</v>
      </c>
      <c r="AS3242" t="s">
        <v>1140</v>
      </c>
      <c r="AT3242" t="s">
        <v>1141</v>
      </c>
      <c r="AU3242" t="s">
        <v>1142</v>
      </c>
      <c r="AV3242" t="s">
        <v>1143</v>
      </c>
      <c r="AW3242" t="s">
        <v>1144</v>
      </c>
      <c r="AX3242" t="s">
        <v>1145</v>
      </c>
      <c r="AY3242" t="s">
        <v>1146</v>
      </c>
      <c r="AZ3242" t="s">
        <v>1147</v>
      </c>
      <c r="BA3242" t="s">
        <v>1148</v>
      </c>
      <c r="BB3242" t="s">
        <v>1149</v>
      </c>
      <c r="BC3242" t="s">
        <v>1150</v>
      </c>
      <c r="BD3242" t="s">
        <v>1151</v>
      </c>
      <c r="BE3242" t="s">
        <v>1152</v>
      </c>
      <c r="BF3242" t="s">
        <v>1153</v>
      </c>
      <c r="BG3242" t="s">
        <v>1154</v>
      </c>
      <c r="BH3242" t="s">
        <v>1155</v>
      </c>
      <c r="BI3242" t="s">
        <v>1156</v>
      </c>
      <c r="BJ3242" t="s">
        <v>1157</v>
      </c>
      <c r="BK3242" t="s">
        <v>1158</v>
      </c>
      <c r="BL3242" t="s">
        <v>1159</v>
      </c>
      <c r="BM3242" t="s">
        <v>1160</v>
      </c>
      <c r="BN3242" t="s">
        <v>1161</v>
      </c>
      <c r="BO3242" t="s">
        <v>1162</v>
      </c>
      <c r="BP3242" t="s">
        <v>1163</v>
      </c>
      <c r="BQ3242" t="s">
        <v>1164</v>
      </c>
      <c r="BR3242" t="s">
        <v>1165</v>
      </c>
      <c r="BS3242" t="s">
        <v>1166</v>
      </c>
      <c r="BT3242" t="s">
        <v>1167</v>
      </c>
      <c r="BU3242" t="s">
        <v>957</v>
      </c>
    </row>
    <row r="3243" spans="1:73" x14ac:dyDescent="0.35">
      <c r="A3243" t="s">
        <v>227</v>
      </c>
      <c r="B3243" t="s">
        <v>240</v>
      </c>
      <c r="C3243">
        <v>11828.99</v>
      </c>
      <c r="D3243">
        <v>9000</v>
      </c>
      <c r="E3243">
        <v>607.70000000000005</v>
      </c>
      <c r="F3243">
        <v>150000</v>
      </c>
      <c r="G3243" s="6">
        <v>913</v>
      </c>
      <c r="H3243">
        <v>4916.55</v>
      </c>
      <c r="I3243">
        <v>3333.3</v>
      </c>
      <c r="J3243">
        <v>200</v>
      </c>
      <c r="K3243">
        <v>66666.7</v>
      </c>
      <c r="L3243" s="6">
        <v>152</v>
      </c>
      <c r="M3243">
        <v>14726.69</v>
      </c>
      <c r="N3243">
        <v>10000</v>
      </c>
      <c r="O3243">
        <v>250</v>
      </c>
      <c r="P3243">
        <v>150000</v>
      </c>
      <c r="Q3243" s="6">
        <v>86</v>
      </c>
      <c r="R3243">
        <v>2281.67</v>
      </c>
      <c r="S3243">
        <v>1500</v>
      </c>
      <c r="T3243">
        <v>100</v>
      </c>
      <c r="U3243">
        <v>16666.7</v>
      </c>
      <c r="V3243" s="6">
        <v>61</v>
      </c>
      <c r="W3243">
        <v>1780.05</v>
      </c>
      <c r="X3243">
        <v>2000</v>
      </c>
      <c r="Y3243">
        <v>500</v>
      </c>
      <c r="Z3243">
        <v>5000</v>
      </c>
      <c r="AA3243" s="6">
        <v>163</v>
      </c>
      <c r="AB3243">
        <v>3929.54</v>
      </c>
      <c r="AC3243">
        <v>3150</v>
      </c>
      <c r="AD3243">
        <v>575</v>
      </c>
      <c r="AE3243">
        <v>17500</v>
      </c>
      <c r="AF3243" s="6">
        <v>708</v>
      </c>
      <c r="AG3243">
        <v>1999.97</v>
      </c>
      <c r="AH3243">
        <v>1350</v>
      </c>
      <c r="AI3243">
        <v>150</v>
      </c>
      <c r="AJ3243">
        <v>20000</v>
      </c>
      <c r="AK3243" s="6">
        <v>289</v>
      </c>
      <c r="AL3243">
        <v>6287.69</v>
      </c>
      <c r="AM3243">
        <v>4000</v>
      </c>
      <c r="AN3243">
        <v>333.3</v>
      </c>
      <c r="AO3243">
        <v>25000</v>
      </c>
      <c r="AP3243" s="6">
        <v>19</v>
      </c>
      <c r="AQ3243">
        <v>5276.08</v>
      </c>
      <c r="AR3243">
        <v>2500</v>
      </c>
      <c r="AS3243">
        <v>666.7</v>
      </c>
      <c r="AT3243">
        <v>25000</v>
      </c>
      <c r="AU3243" s="6">
        <v>53</v>
      </c>
      <c r="AV3243">
        <v>982.39</v>
      </c>
      <c r="AW3243">
        <v>1000</v>
      </c>
      <c r="AX3243">
        <v>241.7</v>
      </c>
      <c r="AY3243">
        <v>2000</v>
      </c>
      <c r="AZ3243" s="6">
        <v>29</v>
      </c>
      <c r="BA3243">
        <v>3970.63</v>
      </c>
      <c r="BB3243">
        <v>2500</v>
      </c>
      <c r="BC3243">
        <v>75</v>
      </c>
      <c r="BD3243">
        <v>22750</v>
      </c>
      <c r="BE3243" s="6">
        <v>120</v>
      </c>
      <c r="BF3243">
        <v>703.54</v>
      </c>
      <c r="BG3243">
        <v>666.7</v>
      </c>
      <c r="BH3243">
        <v>666.7</v>
      </c>
      <c r="BI3243">
        <v>1000</v>
      </c>
      <c r="BJ3243" s="6">
        <v>2</v>
      </c>
      <c r="BK3243">
        <v>1759.17</v>
      </c>
      <c r="BL3243">
        <v>500</v>
      </c>
      <c r="BM3243">
        <v>500</v>
      </c>
      <c r="BN3243">
        <v>21750</v>
      </c>
      <c r="BO3243" s="6">
        <v>9</v>
      </c>
      <c r="BP3243">
        <v>5565.8</v>
      </c>
      <c r="BQ3243">
        <v>3000</v>
      </c>
      <c r="BR3243">
        <v>125</v>
      </c>
      <c r="BS3243">
        <v>20000</v>
      </c>
      <c r="BT3243" s="6">
        <v>53</v>
      </c>
      <c r="BU3243">
        <v>913</v>
      </c>
    </row>
    <row r="3244" spans="1:73" x14ac:dyDescent="0.35">
      <c r="A3244" t="s">
        <v>227</v>
      </c>
      <c r="B3244" t="s">
        <v>241</v>
      </c>
      <c r="C3244">
        <v>19269.349999999999</v>
      </c>
      <c r="D3244">
        <v>17000</v>
      </c>
      <c r="E3244">
        <v>1800</v>
      </c>
      <c r="F3244">
        <v>100000</v>
      </c>
      <c r="G3244" s="6">
        <v>274</v>
      </c>
      <c r="H3244">
        <v>11626.13</v>
      </c>
      <c r="I3244">
        <v>8000</v>
      </c>
      <c r="J3244">
        <v>300</v>
      </c>
      <c r="K3244">
        <v>40000</v>
      </c>
      <c r="L3244" s="6">
        <v>62</v>
      </c>
      <c r="M3244">
        <v>40274.89</v>
      </c>
      <c r="N3244">
        <v>30000</v>
      </c>
      <c r="O3244">
        <v>2000</v>
      </c>
      <c r="P3244">
        <v>93000</v>
      </c>
      <c r="Q3244" s="6">
        <v>15</v>
      </c>
      <c r="R3244">
        <v>5030.78</v>
      </c>
      <c r="S3244">
        <v>3000</v>
      </c>
      <c r="T3244">
        <v>100</v>
      </c>
      <c r="U3244">
        <v>35000</v>
      </c>
      <c r="V3244" s="6">
        <v>22</v>
      </c>
      <c r="W3244">
        <v>2327.15</v>
      </c>
      <c r="X3244">
        <v>2000</v>
      </c>
      <c r="Y3244">
        <v>2000</v>
      </c>
      <c r="Z3244">
        <v>5000</v>
      </c>
      <c r="AA3244" s="6">
        <v>71</v>
      </c>
      <c r="AB3244">
        <v>5662.62</v>
      </c>
      <c r="AC3244">
        <v>4800</v>
      </c>
      <c r="AD3244">
        <v>2300</v>
      </c>
      <c r="AE3244">
        <v>30000</v>
      </c>
      <c r="AF3244" s="6">
        <v>418</v>
      </c>
      <c r="AG3244">
        <v>3936.45</v>
      </c>
      <c r="AH3244">
        <v>3300</v>
      </c>
      <c r="AI3244">
        <v>300</v>
      </c>
      <c r="AJ3244">
        <v>13900</v>
      </c>
      <c r="AK3244" s="6">
        <v>53</v>
      </c>
      <c r="AL3244">
        <v>6733.66</v>
      </c>
      <c r="AM3244">
        <v>9000</v>
      </c>
      <c r="AN3244">
        <v>100</v>
      </c>
      <c r="AO3244">
        <v>18000</v>
      </c>
      <c r="AP3244" s="6">
        <v>12</v>
      </c>
      <c r="AQ3244">
        <v>6794.45</v>
      </c>
      <c r="AR3244">
        <v>4000</v>
      </c>
      <c r="AS3244">
        <v>1500</v>
      </c>
      <c r="AT3244">
        <v>30000</v>
      </c>
      <c r="AU3244" s="6">
        <v>32</v>
      </c>
      <c r="AV3244">
        <v>1697.01</v>
      </c>
      <c r="AW3244">
        <v>1200</v>
      </c>
      <c r="AX3244">
        <v>500</v>
      </c>
      <c r="AY3244">
        <v>3300</v>
      </c>
      <c r="AZ3244" s="6">
        <v>21</v>
      </c>
      <c r="BA3244">
        <v>4898.91</v>
      </c>
      <c r="BB3244">
        <v>5000</v>
      </c>
      <c r="BC3244">
        <v>100</v>
      </c>
      <c r="BD3244">
        <v>26000</v>
      </c>
      <c r="BE3244" s="6">
        <v>76</v>
      </c>
      <c r="BK3244">
        <v>62787.040000000001</v>
      </c>
      <c r="BL3244">
        <v>75000</v>
      </c>
      <c r="BM3244">
        <v>1000</v>
      </c>
      <c r="BN3244">
        <v>75000</v>
      </c>
      <c r="BO3244" s="6">
        <v>5</v>
      </c>
      <c r="BP3244">
        <v>4741.37</v>
      </c>
      <c r="BQ3244">
        <v>3000</v>
      </c>
      <c r="BR3244">
        <v>100</v>
      </c>
      <c r="BS3244">
        <v>40000</v>
      </c>
      <c r="BT3244" s="6">
        <v>31</v>
      </c>
      <c r="BU3244">
        <v>418</v>
      </c>
    </row>
    <row r="3245" spans="1:73" x14ac:dyDescent="0.35">
      <c r="A3245" t="s">
        <v>227</v>
      </c>
      <c r="B3245" t="s">
        <v>242</v>
      </c>
      <c r="C3245">
        <v>5877.07</v>
      </c>
      <c r="D3245">
        <v>6400</v>
      </c>
      <c r="E3245">
        <v>333.3</v>
      </c>
      <c r="F3245">
        <v>37000</v>
      </c>
      <c r="G3245" s="6">
        <v>84</v>
      </c>
      <c r="H3245">
        <v>1425.78</v>
      </c>
      <c r="I3245">
        <v>1666.7</v>
      </c>
      <c r="J3245">
        <v>16.7</v>
      </c>
      <c r="K3245">
        <v>6000</v>
      </c>
      <c r="L3245" s="6">
        <v>27</v>
      </c>
      <c r="M3245">
        <v>9870.15</v>
      </c>
      <c r="N3245">
        <v>4600</v>
      </c>
      <c r="O3245">
        <v>2222.1999999999998</v>
      </c>
      <c r="P3245">
        <v>33333.300000000003</v>
      </c>
      <c r="Q3245" s="6">
        <v>8</v>
      </c>
      <c r="R3245">
        <v>1776.65</v>
      </c>
      <c r="S3245">
        <v>800</v>
      </c>
      <c r="T3245">
        <v>200</v>
      </c>
      <c r="U3245">
        <v>8333.2999999999993</v>
      </c>
      <c r="V3245" s="6">
        <v>9</v>
      </c>
      <c r="W3245">
        <v>1664.14</v>
      </c>
      <c r="X3245">
        <v>2000</v>
      </c>
      <c r="Y3245">
        <v>400</v>
      </c>
      <c r="Z3245">
        <v>3000</v>
      </c>
      <c r="AA3245" s="6">
        <v>30</v>
      </c>
      <c r="AB3245">
        <v>1377.85</v>
      </c>
      <c r="AC3245">
        <v>1000</v>
      </c>
      <c r="AD3245">
        <v>428.6</v>
      </c>
      <c r="AE3245">
        <v>3800</v>
      </c>
      <c r="AF3245" s="6">
        <v>68</v>
      </c>
      <c r="AG3245">
        <v>1049.6400000000001</v>
      </c>
      <c r="AH3245">
        <v>800</v>
      </c>
      <c r="AI3245">
        <v>106.7</v>
      </c>
      <c r="AJ3245">
        <v>3800</v>
      </c>
      <c r="AK3245" s="6">
        <v>62</v>
      </c>
      <c r="AL3245">
        <v>1000</v>
      </c>
      <c r="AM3245">
        <v>1000</v>
      </c>
      <c r="AN3245">
        <v>1000</v>
      </c>
      <c r="AO3245">
        <v>1000</v>
      </c>
      <c r="AP3245" s="6">
        <v>1</v>
      </c>
      <c r="AQ3245">
        <v>2029.99</v>
      </c>
      <c r="AR3245">
        <v>4000</v>
      </c>
      <c r="AS3245">
        <v>233.3</v>
      </c>
      <c r="AT3245">
        <v>4000</v>
      </c>
      <c r="AU3245" s="6">
        <v>7</v>
      </c>
      <c r="AV3245">
        <v>480</v>
      </c>
      <c r="AW3245">
        <v>480</v>
      </c>
      <c r="AX3245">
        <v>480</v>
      </c>
      <c r="AY3245">
        <v>480</v>
      </c>
      <c r="AZ3245" s="6">
        <v>2</v>
      </c>
      <c r="BA3245">
        <v>1822.01</v>
      </c>
      <c r="BB3245">
        <v>1000</v>
      </c>
      <c r="BC3245">
        <v>200</v>
      </c>
      <c r="BD3245">
        <v>4000</v>
      </c>
      <c r="BE3245" s="6">
        <v>10</v>
      </c>
      <c r="BF3245">
        <v>4000</v>
      </c>
      <c r="BG3245">
        <v>4000</v>
      </c>
      <c r="BH3245">
        <v>4000</v>
      </c>
      <c r="BI3245">
        <v>4000</v>
      </c>
      <c r="BJ3245" s="6">
        <v>1</v>
      </c>
      <c r="BP3245">
        <v>906.57</v>
      </c>
      <c r="BQ3245">
        <v>1800</v>
      </c>
      <c r="BR3245">
        <v>400</v>
      </c>
      <c r="BS3245">
        <v>1800</v>
      </c>
      <c r="BT3245" s="6">
        <v>3</v>
      </c>
      <c r="BU3245">
        <v>84</v>
      </c>
    </row>
    <row r="3246" spans="1:73" x14ac:dyDescent="0.35">
      <c r="A3246" t="s">
        <v>228</v>
      </c>
      <c r="B3246" t="s">
        <v>228</v>
      </c>
      <c r="C3246">
        <v>12841.11</v>
      </c>
      <c r="D3246">
        <v>10000</v>
      </c>
      <c r="E3246">
        <v>333.3</v>
      </c>
      <c r="F3246">
        <v>150000</v>
      </c>
      <c r="G3246" s="6">
        <v>1271</v>
      </c>
      <c r="H3246">
        <v>6272.64</v>
      </c>
      <c r="I3246">
        <v>3333.3</v>
      </c>
      <c r="J3246">
        <v>16.7</v>
      </c>
      <c r="K3246">
        <v>66666.7</v>
      </c>
      <c r="L3246" s="6">
        <v>241</v>
      </c>
      <c r="M3246">
        <v>17578.79</v>
      </c>
      <c r="N3246">
        <v>10000</v>
      </c>
      <c r="O3246">
        <v>250</v>
      </c>
      <c r="P3246">
        <v>150000</v>
      </c>
      <c r="Q3246" s="6">
        <v>109</v>
      </c>
      <c r="R3246">
        <v>2698.25</v>
      </c>
      <c r="S3246">
        <v>1750</v>
      </c>
      <c r="T3246">
        <v>100</v>
      </c>
      <c r="U3246">
        <v>35000</v>
      </c>
      <c r="V3246" s="6">
        <v>92</v>
      </c>
      <c r="W3246">
        <v>1917.18</v>
      </c>
      <c r="X3246">
        <v>2000</v>
      </c>
      <c r="Y3246">
        <v>400</v>
      </c>
      <c r="Z3246">
        <v>5000</v>
      </c>
      <c r="AA3246" s="6">
        <v>264</v>
      </c>
      <c r="AB3246">
        <v>4296.82</v>
      </c>
      <c r="AC3246">
        <v>4000</v>
      </c>
      <c r="AD3246">
        <v>428.6</v>
      </c>
      <c r="AE3246">
        <v>30000</v>
      </c>
      <c r="AF3246" s="6">
        <v>1194</v>
      </c>
      <c r="AG3246">
        <v>2115.1799999999998</v>
      </c>
      <c r="AH3246">
        <v>1400</v>
      </c>
      <c r="AI3246">
        <v>106.7</v>
      </c>
      <c r="AJ3246">
        <v>20000</v>
      </c>
      <c r="AK3246" s="6">
        <v>404</v>
      </c>
      <c r="AL3246">
        <v>5888.89</v>
      </c>
      <c r="AM3246">
        <v>4000</v>
      </c>
      <c r="AN3246">
        <v>100</v>
      </c>
      <c r="AO3246">
        <v>25000</v>
      </c>
      <c r="AP3246" s="6">
        <v>32</v>
      </c>
      <c r="AQ3246">
        <v>5244.2</v>
      </c>
      <c r="AR3246">
        <v>3333.3</v>
      </c>
      <c r="AS3246">
        <v>233.3</v>
      </c>
      <c r="AT3246">
        <v>30000</v>
      </c>
      <c r="AU3246" s="6">
        <v>92</v>
      </c>
      <c r="AV3246">
        <v>1217.7</v>
      </c>
      <c r="AW3246">
        <v>1200</v>
      </c>
      <c r="AX3246">
        <v>241.7</v>
      </c>
      <c r="AY3246">
        <v>3300</v>
      </c>
      <c r="AZ3246" s="6">
        <v>52</v>
      </c>
      <c r="BA3246">
        <v>4143.3599999999997</v>
      </c>
      <c r="BB3246">
        <v>2500</v>
      </c>
      <c r="BC3246">
        <v>75</v>
      </c>
      <c r="BD3246">
        <v>26000</v>
      </c>
      <c r="BE3246" s="6">
        <v>206</v>
      </c>
      <c r="BF3246">
        <v>2109.21</v>
      </c>
      <c r="BG3246">
        <v>1000</v>
      </c>
      <c r="BH3246">
        <v>666.7</v>
      </c>
      <c r="BI3246">
        <v>4000</v>
      </c>
      <c r="BJ3246" s="6">
        <v>3</v>
      </c>
      <c r="BK3246">
        <v>9971.93</v>
      </c>
      <c r="BL3246">
        <v>666.7</v>
      </c>
      <c r="BM3246">
        <v>500</v>
      </c>
      <c r="BN3246">
        <v>75000</v>
      </c>
      <c r="BO3246" s="6">
        <v>14</v>
      </c>
      <c r="BP3246">
        <v>5190.95</v>
      </c>
      <c r="BQ3246">
        <v>3000</v>
      </c>
      <c r="BR3246">
        <v>100</v>
      </c>
      <c r="BS3246">
        <v>40000</v>
      </c>
      <c r="BT3246" s="6">
        <v>87</v>
      </c>
      <c r="BU3246">
        <v>1271</v>
      </c>
    </row>
    <row r="3248" spans="1:73" x14ac:dyDescent="0.35">
      <c r="A3248" s="1" t="s">
        <v>1171</v>
      </c>
    </row>
    <row r="3249" spans="1:73" x14ac:dyDescent="0.35">
      <c r="A3249" t="s">
        <v>219</v>
      </c>
      <c r="B3249" t="s">
        <v>301</v>
      </c>
      <c r="C3249" t="s">
        <v>1098</v>
      </c>
      <c r="D3249" t="s">
        <v>1099</v>
      </c>
      <c r="E3249" t="s">
        <v>1100</v>
      </c>
      <c r="F3249" t="s">
        <v>1101</v>
      </c>
      <c r="G3249" t="s">
        <v>1102</v>
      </c>
      <c r="H3249" t="s">
        <v>1103</v>
      </c>
      <c r="I3249" t="s">
        <v>1104</v>
      </c>
      <c r="J3249" t="s">
        <v>1105</v>
      </c>
      <c r="K3249" t="s">
        <v>1106</v>
      </c>
      <c r="L3249" t="s">
        <v>1107</v>
      </c>
      <c r="M3249" t="s">
        <v>1108</v>
      </c>
      <c r="N3249" t="s">
        <v>1109</v>
      </c>
      <c r="O3249" t="s">
        <v>1110</v>
      </c>
      <c r="P3249" t="s">
        <v>1111</v>
      </c>
      <c r="Q3249" t="s">
        <v>1112</v>
      </c>
      <c r="R3249" t="s">
        <v>1113</v>
      </c>
      <c r="S3249" t="s">
        <v>1114</v>
      </c>
      <c r="T3249" t="s">
        <v>1115</v>
      </c>
      <c r="U3249" t="s">
        <v>1116</v>
      </c>
      <c r="V3249" t="s">
        <v>1117</v>
      </c>
      <c r="W3249" t="s">
        <v>1118</v>
      </c>
      <c r="X3249" t="s">
        <v>1119</v>
      </c>
      <c r="Y3249" t="s">
        <v>1120</v>
      </c>
      <c r="Z3249" t="s">
        <v>1121</v>
      </c>
      <c r="AA3249" t="s">
        <v>1122</v>
      </c>
      <c r="AB3249" t="s">
        <v>1123</v>
      </c>
      <c r="AC3249" t="s">
        <v>1124</v>
      </c>
      <c r="AD3249" t="s">
        <v>1125</v>
      </c>
      <c r="AE3249" t="s">
        <v>1126</v>
      </c>
      <c r="AF3249" t="s">
        <v>1127</v>
      </c>
      <c r="AG3249" t="s">
        <v>1128</v>
      </c>
      <c r="AH3249" t="s">
        <v>1129</v>
      </c>
      <c r="AI3249" t="s">
        <v>1130</v>
      </c>
      <c r="AJ3249" t="s">
        <v>1131</v>
      </c>
      <c r="AK3249" t="s">
        <v>1132</v>
      </c>
      <c r="AL3249" t="s">
        <v>1133</v>
      </c>
      <c r="AM3249" t="s">
        <v>1134</v>
      </c>
      <c r="AN3249" t="s">
        <v>1135</v>
      </c>
      <c r="AO3249" t="s">
        <v>1136</v>
      </c>
      <c r="AP3249" t="s">
        <v>1137</v>
      </c>
      <c r="AQ3249" t="s">
        <v>1138</v>
      </c>
      <c r="AR3249" t="s">
        <v>1139</v>
      </c>
      <c r="AS3249" t="s">
        <v>1140</v>
      </c>
      <c r="AT3249" t="s">
        <v>1141</v>
      </c>
      <c r="AU3249" t="s">
        <v>1142</v>
      </c>
      <c r="AV3249" t="s">
        <v>1143</v>
      </c>
      <c r="AW3249" t="s">
        <v>1144</v>
      </c>
      <c r="AX3249" t="s">
        <v>1145</v>
      </c>
      <c r="AY3249" t="s">
        <v>1146</v>
      </c>
      <c r="AZ3249" t="s">
        <v>1147</v>
      </c>
      <c r="BA3249" t="s">
        <v>1148</v>
      </c>
      <c r="BB3249" t="s">
        <v>1149</v>
      </c>
      <c r="BC3249" t="s">
        <v>1150</v>
      </c>
      <c r="BD3249" t="s">
        <v>1151</v>
      </c>
      <c r="BE3249" t="s">
        <v>1152</v>
      </c>
      <c r="BF3249" t="s">
        <v>1153</v>
      </c>
      <c r="BG3249" t="s">
        <v>1154</v>
      </c>
      <c r="BH3249" t="s">
        <v>1155</v>
      </c>
      <c r="BI3249" t="s">
        <v>1156</v>
      </c>
      <c r="BJ3249" t="s">
        <v>1157</v>
      </c>
      <c r="BK3249" t="s">
        <v>1158</v>
      </c>
      <c r="BL3249" t="s">
        <v>1159</v>
      </c>
      <c r="BM3249" t="s">
        <v>1160</v>
      </c>
      <c r="BN3249" t="s">
        <v>1161</v>
      </c>
      <c r="BO3249" t="s">
        <v>1162</v>
      </c>
      <c r="BP3249" t="s">
        <v>1163</v>
      </c>
      <c r="BQ3249" t="s">
        <v>1164</v>
      </c>
      <c r="BR3249" t="s">
        <v>1165</v>
      </c>
      <c r="BS3249" t="s">
        <v>1166</v>
      </c>
      <c r="BT3249" t="s">
        <v>1167</v>
      </c>
      <c r="BU3249" t="s">
        <v>957</v>
      </c>
    </row>
    <row r="3250" spans="1:73" x14ac:dyDescent="0.35">
      <c r="A3250" t="s">
        <v>227</v>
      </c>
      <c r="B3250" t="s">
        <v>263</v>
      </c>
      <c r="C3250">
        <v>15016.39</v>
      </c>
      <c r="D3250">
        <v>12333.3</v>
      </c>
      <c r="E3250">
        <v>666.7</v>
      </c>
      <c r="F3250">
        <v>150000</v>
      </c>
      <c r="G3250" s="6">
        <v>274</v>
      </c>
      <c r="H3250">
        <v>9910.4599999999991</v>
      </c>
      <c r="I3250">
        <v>5000</v>
      </c>
      <c r="J3250">
        <v>300</v>
      </c>
      <c r="K3250">
        <v>40000</v>
      </c>
      <c r="L3250" s="6">
        <v>56</v>
      </c>
      <c r="M3250">
        <v>22030.31</v>
      </c>
      <c r="N3250">
        <v>14333.3</v>
      </c>
      <c r="O3250">
        <v>1500</v>
      </c>
      <c r="P3250">
        <v>150000</v>
      </c>
      <c r="Q3250" s="6">
        <v>31</v>
      </c>
      <c r="R3250">
        <v>6397.17</v>
      </c>
      <c r="S3250">
        <v>5000</v>
      </c>
      <c r="T3250">
        <v>100</v>
      </c>
      <c r="U3250">
        <v>35000</v>
      </c>
      <c r="V3250" s="6">
        <v>24</v>
      </c>
      <c r="W3250">
        <v>1747.02</v>
      </c>
      <c r="X3250">
        <v>2000</v>
      </c>
      <c r="Y3250">
        <v>500</v>
      </c>
      <c r="Z3250">
        <v>3000</v>
      </c>
      <c r="AA3250" s="6">
        <v>44</v>
      </c>
      <c r="AB3250">
        <v>4454.57</v>
      </c>
      <c r="AC3250">
        <v>4000</v>
      </c>
      <c r="AD3250">
        <v>500</v>
      </c>
      <c r="AE3250">
        <v>30000</v>
      </c>
      <c r="AF3250" s="6">
        <v>203</v>
      </c>
      <c r="AG3250">
        <v>2327.14</v>
      </c>
      <c r="AH3250">
        <v>1625</v>
      </c>
      <c r="AI3250">
        <v>160</v>
      </c>
      <c r="AJ3250">
        <v>13900</v>
      </c>
      <c r="AK3250" s="6">
        <v>73</v>
      </c>
      <c r="AL3250">
        <v>6762.94</v>
      </c>
      <c r="AM3250">
        <v>9000</v>
      </c>
      <c r="AN3250">
        <v>500</v>
      </c>
      <c r="AO3250">
        <v>25000</v>
      </c>
      <c r="AP3250" s="6">
        <v>10</v>
      </c>
      <c r="AQ3250">
        <v>6217.27</v>
      </c>
      <c r="AR3250">
        <v>4666.7</v>
      </c>
      <c r="AS3250">
        <v>1000</v>
      </c>
      <c r="AT3250">
        <v>20000</v>
      </c>
      <c r="AU3250" s="6">
        <v>17</v>
      </c>
      <c r="AV3250">
        <v>1280.3499999999999</v>
      </c>
      <c r="AW3250">
        <v>1200</v>
      </c>
      <c r="AX3250">
        <v>241.7</v>
      </c>
      <c r="AY3250">
        <v>2000</v>
      </c>
      <c r="AZ3250" s="6">
        <v>11</v>
      </c>
      <c r="BA3250">
        <v>3809.3</v>
      </c>
      <c r="BB3250">
        <v>2000</v>
      </c>
      <c r="BC3250">
        <v>100</v>
      </c>
      <c r="BD3250">
        <v>10000</v>
      </c>
      <c r="BE3250" s="6">
        <v>29</v>
      </c>
      <c r="BK3250">
        <v>10356.31</v>
      </c>
      <c r="BL3250">
        <v>1000</v>
      </c>
      <c r="BM3250">
        <v>500</v>
      </c>
      <c r="BN3250">
        <v>75000</v>
      </c>
      <c r="BO3250" s="6">
        <v>4</v>
      </c>
      <c r="BP3250">
        <v>5699.22</v>
      </c>
      <c r="BQ3250">
        <v>5000</v>
      </c>
      <c r="BR3250">
        <v>270</v>
      </c>
      <c r="BS3250">
        <v>22000</v>
      </c>
      <c r="BT3250" s="6">
        <v>14</v>
      </c>
      <c r="BU3250">
        <v>274</v>
      </c>
    </row>
    <row r="3251" spans="1:73" x14ac:dyDescent="0.35">
      <c r="A3251" t="s">
        <v>227</v>
      </c>
      <c r="B3251" t="s">
        <v>262</v>
      </c>
      <c r="C3251">
        <v>13768.13</v>
      </c>
      <c r="D3251">
        <v>9000</v>
      </c>
      <c r="E3251">
        <v>500</v>
      </c>
      <c r="F3251">
        <v>100000</v>
      </c>
      <c r="G3251" s="6">
        <v>432</v>
      </c>
      <c r="H3251">
        <v>4676.6400000000003</v>
      </c>
      <c r="I3251">
        <v>3750</v>
      </c>
      <c r="J3251">
        <v>16.7</v>
      </c>
      <c r="K3251">
        <v>39000</v>
      </c>
      <c r="L3251" s="6">
        <v>84</v>
      </c>
      <c r="M3251">
        <v>30233.87</v>
      </c>
      <c r="N3251">
        <v>20000</v>
      </c>
      <c r="O3251">
        <v>666.7</v>
      </c>
      <c r="P3251">
        <v>93000</v>
      </c>
      <c r="Q3251" s="6">
        <v>14</v>
      </c>
      <c r="R3251">
        <v>2209.0700000000002</v>
      </c>
      <c r="S3251">
        <v>3000</v>
      </c>
      <c r="T3251">
        <v>100</v>
      </c>
      <c r="U3251">
        <v>6666.7</v>
      </c>
      <c r="V3251" s="6">
        <v>23</v>
      </c>
      <c r="W3251">
        <v>2139.35</v>
      </c>
      <c r="X3251">
        <v>2000</v>
      </c>
      <c r="Y3251">
        <v>400</v>
      </c>
      <c r="Z3251">
        <v>5000</v>
      </c>
      <c r="AA3251" s="6">
        <v>123</v>
      </c>
      <c r="AB3251">
        <v>4764.03</v>
      </c>
      <c r="AC3251">
        <v>4333.3</v>
      </c>
      <c r="AD3251">
        <v>571.4</v>
      </c>
      <c r="AE3251">
        <v>27000</v>
      </c>
      <c r="AF3251" s="6">
        <v>545</v>
      </c>
      <c r="AG3251">
        <v>2051.0700000000002</v>
      </c>
      <c r="AH3251">
        <v>1445.3</v>
      </c>
      <c r="AI3251">
        <v>215</v>
      </c>
      <c r="AJ3251">
        <v>10000</v>
      </c>
      <c r="AK3251" s="6">
        <v>143</v>
      </c>
      <c r="AL3251">
        <v>4384.6000000000004</v>
      </c>
      <c r="AM3251">
        <v>1200</v>
      </c>
      <c r="AN3251">
        <v>100</v>
      </c>
      <c r="AO3251">
        <v>18000</v>
      </c>
      <c r="AP3251" s="6">
        <v>10</v>
      </c>
      <c r="AQ3251">
        <v>4457.53</v>
      </c>
      <c r="AR3251">
        <v>3000</v>
      </c>
      <c r="AS3251">
        <v>750</v>
      </c>
      <c r="AT3251">
        <v>30000</v>
      </c>
      <c r="AU3251" s="6">
        <v>47</v>
      </c>
      <c r="AV3251">
        <v>1348.75</v>
      </c>
      <c r="AW3251">
        <v>1200</v>
      </c>
      <c r="AX3251">
        <v>383.3</v>
      </c>
      <c r="AY3251">
        <v>3300</v>
      </c>
      <c r="AZ3251" s="6">
        <v>25</v>
      </c>
      <c r="BA3251">
        <v>4391.58</v>
      </c>
      <c r="BB3251">
        <v>4000</v>
      </c>
      <c r="BC3251">
        <v>75</v>
      </c>
      <c r="BD3251">
        <v>26000</v>
      </c>
      <c r="BE3251" s="6">
        <v>105</v>
      </c>
      <c r="BF3251">
        <v>666.67</v>
      </c>
      <c r="BG3251">
        <v>666.7</v>
      </c>
      <c r="BH3251">
        <v>666.7</v>
      </c>
      <c r="BI3251">
        <v>666.7</v>
      </c>
      <c r="BJ3251" s="6">
        <v>1</v>
      </c>
      <c r="BK3251">
        <v>15474.89</v>
      </c>
      <c r="BL3251">
        <v>1200</v>
      </c>
      <c r="BM3251">
        <v>500</v>
      </c>
      <c r="BN3251">
        <v>75000</v>
      </c>
      <c r="BO3251" s="6">
        <v>8</v>
      </c>
      <c r="BP3251">
        <v>5489.11</v>
      </c>
      <c r="BQ3251">
        <v>3000</v>
      </c>
      <c r="BR3251">
        <v>100</v>
      </c>
      <c r="BS3251">
        <v>40000</v>
      </c>
      <c r="BT3251" s="6">
        <v>45</v>
      </c>
      <c r="BU3251">
        <v>545</v>
      </c>
    </row>
    <row r="3252" spans="1:73" x14ac:dyDescent="0.35">
      <c r="A3252" t="s">
        <v>227</v>
      </c>
      <c r="B3252" t="s">
        <v>261</v>
      </c>
      <c r="C3252">
        <v>11303.18</v>
      </c>
      <c r="D3252">
        <v>9000</v>
      </c>
      <c r="E3252">
        <v>333.3</v>
      </c>
      <c r="F3252">
        <v>66666.7</v>
      </c>
      <c r="G3252" s="6">
        <v>563</v>
      </c>
      <c r="H3252">
        <v>5213.75</v>
      </c>
      <c r="I3252">
        <v>3333.3</v>
      </c>
      <c r="J3252">
        <v>100</v>
      </c>
      <c r="K3252">
        <v>66666.7</v>
      </c>
      <c r="L3252" s="6">
        <v>101</v>
      </c>
      <c r="M3252">
        <v>12557.25</v>
      </c>
      <c r="N3252">
        <v>10000</v>
      </c>
      <c r="O3252">
        <v>250</v>
      </c>
      <c r="P3252">
        <v>125000</v>
      </c>
      <c r="Q3252" s="6">
        <v>64</v>
      </c>
      <c r="R3252">
        <v>2110.63</v>
      </c>
      <c r="S3252">
        <v>1000</v>
      </c>
      <c r="T3252">
        <v>200</v>
      </c>
      <c r="U3252">
        <v>16666.7</v>
      </c>
      <c r="V3252" s="6">
        <v>45</v>
      </c>
      <c r="W3252">
        <v>1654.18</v>
      </c>
      <c r="X3252">
        <v>2000</v>
      </c>
      <c r="Y3252">
        <v>400</v>
      </c>
      <c r="Z3252">
        <v>3150</v>
      </c>
      <c r="AA3252" s="6">
        <v>97</v>
      </c>
      <c r="AB3252">
        <v>3751.43</v>
      </c>
      <c r="AC3252">
        <v>3000</v>
      </c>
      <c r="AD3252">
        <v>428.6</v>
      </c>
      <c r="AE3252">
        <v>17500</v>
      </c>
      <c r="AF3252" s="6">
        <v>444</v>
      </c>
      <c r="AG3252">
        <v>2073.06</v>
      </c>
      <c r="AH3252">
        <v>1233.3</v>
      </c>
      <c r="AI3252">
        <v>106.7</v>
      </c>
      <c r="AJ3252">
        <v>20000</v>
      </c>
      <c r="AK3252" s="6">
        <v>188</v>
      </c>
      <c r="AL3252">
        <v>5972.59</v>
      </c>
      <c r="AM3252">
        <v>4500</v>
      </c>
      <c r="AN3252">
        <v>333.3</v>
      </c>
      <c r="AO3252">
        <v>15000</v>
      </c>
      <c r="AP3252" s="6">
        <v>12</v>
      </c>
      <c r="AQ3252">
        <v>5821.44</v>
      </c>
      <c r="AR3252">
        <v>3333.3</v>
      </c>
      <c r="AS3252">
        <v>233.3</v>
      </c>
      <c r="AT3252">
        <v>25000</v>
      </c>
      <c r="AU3252" s="6">
        <v>28</v>
      </c>
      <c r="AV3252">
        <v>921.7</v>
      </c>
      <c r="AW3252">
        <v>1000</v>
      </c>
      <c r="AX3252">
        <v>300</v>
      </c>
      <c r="AY3252">
        <v>1600</v>
      </c>
      <c r="AZ3252" s="6">
        <v>16</v>
      </c>
      <c r="BA3252">
        <v>3975.56</v>
      </c>
      <c r="BB3252">
        <v>2500</v>
      </c>
      <c r="BC3252">
        <v>166.7</v>
      </c>
      <c r="BD3252">
        <v>22750</v>
      </c>
      <c r="BE3252" s="6">
        <v>72</v>
      </c>
      <c r="BF3252">
        <v>3611.47</v>
      </c>
      <c r="BG3252">
        <v>4000</v>
      </c>
      <c r="BH3252">
        <v>1000</v>
      </c>
      <c r="BI3252">
        <v>4000</v>
      </c>
      <c r="BJ3252" s="6">
        <v>2</v>
      </c>
      <c r="BK3252">
        <v>1457.46</v>
      </c>
      <c r="BL3252">
        <v>500</v>
      </c>
      <c r="BM3252">
        <v>500</v>
      </c>
      <c r="BN3252">
        <v>3333.3</v>
      </c>
      <c r="BO3252" s="6">
        <v>2</v>
      </c>
      <c r="BP3252">
        <v>4096.3500000000004</v>
      </c>
      <c r="BQ3252">
        <v>3000</v>
      </c>
      <c r="BR3252">
        <v>185</v>
      </c>
      <c r="BS3252">
        <v>20000</v>
      </c>
      <c r="BT3252" s="6">
        <v>28</v>
      </c>
      <c r="BU3252">
        <v>563</v>
      </c>
    </row>
    <row r="3253" spans="1:73" x14ac:dyDescent="0.35">
      <c r="A3253" s="3" t="s">
        <v>227</v>
      </c>
      <c r="B3253" s="3" t="s">
        <v>232</v>
      </c>
      <c r="C3253" s="5">
        <v>15100</v>
      </c>
      <c r="D3253" s="5">
        <v>5200</v>
      </c>
      <c r="E3253" s="5">
        <v>5200</v>
      </c>
      <c r="F3253" s="5">
        <v>25000</v>
      </c>
      <c r="G3253" s="5">
        <v>2</v>
      </c>
      <c r="H3253" s="5"/>
      <c r="I3253" s="5"/>
      <c r="J3253" s="5"/>
      <c r="K3253" s="5"/>
      <c r="L3253" s="5"/>
      <c r="M3253" s="5"/>
      <c r="N3253" s="5"/>
      <c r="O3253" s="5"/>
      <c r="P3253" s="5"/>
      <c r="Q3253" s="5"/>
      <c r="R3253" s="5"/>
      <c r="S3253" s="5"/>
      <c r="T3253" s="5"/>
      <c r="U3253" s="5"/>
      <c r="V3253" s="5"/>
      <c r="W3253" s="5"/>
      <c r="X3253" s="5"/>
      <c r="Y3253" s="5"/>
      <c r="Z3253" s="5"/>
      <c r="AA3253" s="5"/>
      <c r="AB3253" s="5">
        <v>7275</v>
      </c>
      <c r="AC3253" s="5">
        <v>1550</v>
      </c>
      <c r="AD3253" s="5">
        <v>1550</v>
      </c>
      <c r="AE3253" s="5">
        <v>13000</v>
      </c>
      <c r="AF3253" s="5">
        <v>2</v>
      </c>
      <c r="AG3253" s="5"/>
      <c r="AH3253" s="5"/>
      <c r="AI3253" s="5"/>
      <c r="AJ3253" s="5"/>
      <c r="AK3253" s="5"/>
      <c r="AL3253" s="5"/>
      <c r="AM3253" s="5"/>
      <c r="AN3253" s="5"/>
      <c r="AO3253" s="5"/>
      <c r="AP3253" s="5"/>
      <c r="AQ3253" s="5"/>
      <c r="AR3253" s="5"/>
      <c r="AS3253" s="5"/>
      <c r="AT3253" s="5"/>
      <c r="AU3253" s="5"/>
      <c r="AV3253" s="5"/>
      <c r="AW3253" s="5"/>
      <c r="AX3253" s="5"/>
      <c r="AY3253" s="5"/>
      <c r="AZ3253" s="5"/>
      <c r="BA3253" s="5"/>
      <c r="BB3253" s="5"/>
      <c r="BC3253" s="5"/>
      <c r="BD3253" s="5"/>
      <c r="BE3253" s="5"/>
      <c r="BF3253" s="5"/>
      <c r="BG3253" s="5"/>
      <c r="BH3253" s="5"/>
      <c r="BI3253" s="5"/>
      <c r="BJ3253" s="5"/>
      <c r="BK3253" s="5"/>
      <c r="BL3253" s="5"/>
      <c r="BM3253" s="5"/>
      <c r="BN3253" s="5"/>
      <c r="BO3253" s="5"/>
      <c r="BP3253" s="5"/>
      <c r="BQ3253" s="5"/>
      <c r="BR3253" s="5"/>
      <c r="BS3253" s="5"/>
      <c r="BT3253" s="5"/>
      <c r="BU3253" s="5">
        <v>2</v>
      </c>
    </row>
    <row r="3254" spans="1:73" x14ac:dyDescent="0.35">
      <c r="A3254" t="s">
        <v>228</v>
      </c>
      <c r="B3254" t="s">
        <v>228</v>
      </c>
      <c r="C3254">
        <v>12841.11</v>
      </c>
      <c r="D3254">
        <v>10000</v>
      </c>
      <c r="E3254">
        <v>333.3</v>
      </c>
      <c r="F3254">
        <v>150000</v>
      </c>
      <c r="G3254" s="6">
        <v>1271</v>
      </c>
      <c r="H3254">
        <v>6272.64</v>
      </c>
      <c r="I3254">
        <v>3333.3</v>
      </c>
      <c r="J3254">
        <v>16.7</v>
      </c>
      <c r="K3254">
        <v>66666.7</v>
      </c>
      <c r="L3254" s="6">
        <v>241</v>
      </c>
      <c r="M3254">
        <v>17578.79</v>
      </c>
      <c r="N3254">
        <v>10000</v>
      </c>
      <c r="O3254">
        <v>250</v>
      </c>
      <c r="P3254">
        <v>150000</v>
      </c>
      <c r="Q3254" s="6">
        <v>109</v>
      </c>
      <c r="R3254">
        <v>2698.25</v>
      </c>
      <c r="S3254">
        <v>1750</v>
      </c>
      <c r="T3254">
        <v>100</v>
      </c>
      <c r="U3254">
        <v>35000</v>
      </c>
      <c r="V3254" s="6">
        <v>92</v>
      </c>
      <c r="W3254">
        <v>1917.18</v>
      </c>
      <c r="X3254">
        <v>2000</v>
      </c>
      <c r="Y3254">
        <v>400</v>
      </c>
      <c r="Z3254">
        <v>5000</v>
      </c>
      <c r="AA3254" s="6">
        <v>264</v>
      </c>
      <c r="AB3254">
        <v>4296.82</v>
      </c>
      <c r="AC3254">
        <v>4000</v>
      </c>
      <c r="AD3254">
        <v>428.6</v>
      </c>
      <c r="AE3254">
        <v>30000</v>
      </c>
      <c r="AF3254" s="6">
        <v>1194</v>
      </c>
      <c r="AG3254">
        <v>2115.1799999999998</v>
      </c>
      <c r="AH3254">
        <v>1400</v>
      </c>
      <c r="AI3254">
        <v>106.7</v>
      </c>
      <c r="AJ3254">
        <v>20000</v>
      </c>
      <c r="AK3254" s="6">
        <v>404</v>
      </c>
      <c r="AL3254">
        <v>5888.89</v>
      </c>
      <c r="AM3254">
        <v>4000</v>
      </c>
      <c r="AN3254">
        <v>100</v>
      </c>
      <c r="AO3254">
        <v>25000</v>
      </c>
      <c r="AP3254" s="6">
        <v>32</v>
      </c>
      <c r="AQ3254">
        <v>5244.2</v>
      </c>
      <c r="AR3254">
        <v>3333.3</v>
      </c>
      <c r="AS3254">
        <v>233.3</v>
      </c>
      <c r="AT3254">
        <v>30000</v>
      </c>
      <c r="AU3254" s="6">
        <v>92</v>
      </c>
      <c r="AV3254">
        <v>1217.7</v>
      </c>
      <c r="AW3254">
        <v>1200</v>
      </c>
      <c r="AX3254">
        <v>241.7</v>
      </c>
      <c r="AY3254">
        <v>3300</v>
      </c>
      <c r="AZ3254" s="6">
        <v>52</v>
      </c>
      <c r="BA3254">
        <v>4143.3599999999997</v>
      </c>
      <c r="BB3254">
        <v>2500</v>
      </c>
      <c r="BC3254">
        <v>75</v>
      </c>
      <c r="BD3254">
        <v>26000</v>
      </c>
      <c r="BE3254" s="6">
        <v>206</v>
      </c>
      <c r="BF3254">
        <v>2109.21</v>
      </c>
      <c r="BG3254">
        <v>1000</v>
      </c>
      <c r="BH3254">
        <v>666.7</v>
      </c>
      <c r="BI3254">
        <v>4000</v>
      </c>
      <c r="BJ3254" s="6">
        <v>3</v>
      </c>
      <c r="BK3254">
        <v>9971.93</v>
      </c>
      <c r="BL3254">
        <v>666.7</v>
      </c>
      <c r="BM3254">
        <v>500</v>
      </c>
      <c r="BN3254">
        <v>75000</v>
      </c>
      <c r="BO3254" s="6">
        <v>14</v>
      </c>
      <c r="BP3254">
        <v>5190.95</v>
      </c>
      <c r="BQ3254">
        <v>3000</v>
      </c>
      <c r="BR3254">
        <v>100</v>
      </c>
      <c r="BS3254">
        <v>40000</v>
      </c>
      <c r="BT3254" s="6">
        <v>87</v>
      </c>
      <c r="BU3254">
        <v>1271</v>
      </c>
    </row>
    <row r="3256" spans="1:73" x14ac:dyDescent="0.35">
      <c r="A3256" s="1" t="s">
        <v>1172</v>
      </c>
    </row>
    <row r="3257" spans="1:73" x14ac:dyDescent="0.35">
      <c r="A3257" t="s">
        <v>219</v>
      </c>
      <c r="B3257" t="s">
        <v>301</v>
      </c>
      <c r="C3257" t="s">
        <v>1098</v>
      </c>
      <c r="D3257" t="s">
        <v>1099</v>
      </c>
      <c r="E3257" t="s">
        <v>1100</v>
      </c>
      <c r="F3257" t="s">
        <v>1101</v>
      </c>
      <c r="G3257" t="s">
        <v>1102</v>
      </c>
      <c r="H3257" t="s">
        <v>1103</v>
      </c>
      <c r="I3257" t="s">
        <v>1104</v>
      </c>
      <c r="J3257" t="s">
        <v>1105</v>
      </c>
      <c r="K3257" t="s">
        <v>1106</v>
      </c>
      <c r="L3257" t="s">
        <v>1107</v>
      </c>
      <c r="M3257" t="s">
        <v>1108</v>
      </c>
      <c r="N3257" t="s">
        <v>1109</v>
      </c>
      <c r="O3257" t="s">
        <v>1110</v>
      </c>
      <c r="P3257" t="s">
        <v>1111</v>
      </c>
      <c r="Q3257" t="s">
        <v>1112</v>
      </c>
      <c r="R3257" t="s">
        <v>1113</v>
      </c>
      <c r="S3257" t="s">
        <v>1114</v>
      </c>
      <c r="T3257" t="s">
        <v>1115</v>
      </c>
      <c r="U3257" t="s">
        <v>1116</v>
      </c>
      <c r="V3257" t="s">
        <v>1117</v>
      </c>
      <c r="W3257" t="s">
        <v>1118</v>
      </c>
      <c r="X3257" t="s">
        <v>1119</v>
      </c>
      <c r="Y3257" t="s">
        <v>1120</v>
      </c>
      <c r="Z3257" t="s">
        <v>1121</v>
      </c>
      <c r="AA3257" t="s">
        <v>1122</v>
      </c>
      <c r="AB3257" t="s">
        <v>1123</v>
      </c>
      <c r="AC3257" t="s">
        <v>1124</v>
      </c>
      <c r="AD3257" t="s">
        <v>1125</v>
      </c>
      <c r="AE3257" t="s">
        <v>1126</v>
      </c>
      <c r="AF3257" t="s">
        <v>1127</v>
      </c>
      <c r="AG3257" t="s">
        <v>1128</v>
      </c>
      <c r="AH3257" t="s">
        <v>1129</v>
      </c>
      <c r="AI3257" t="s">
        <v>1130</v>
      </c>
      <c r="AJ3257" t="s">
        <v>1131</v>
      </c>
      <c r="AK3257" t="s">
        <v>1132</v>
      </c>
      <c r="AL3257" t="s">
        <v>1133</v>
      </c>
      <c r="AM3257" t="s">
        <v>1134</v>
      </c>
      <c r="AN3257" t="s">
        <v>1135</v>
      </c>
      <c r="AO3257" t="s">
        <v>1136</v>
      </c>
      <c r="AP3257" t="s">
        <v>1137</v>
      </c>
      <c r="AQ3257" t="s">
        <v>1138</v>
      </c>
      <c r="AR3257" t="s">
        <v>1139</v>
      </c>
      <c r="AS3257" t="s">
        <v>1140</v>
      </c>
      <c r="AT3257" t="s">
        <v>1141</v>
      </c>
      <c r="AU3257" t="s">
        <v>1142</v>
      </c>
      <c r="AV3257" t="s">
        <v>1143</v>
      </c>
      <c r="AW3257" t="s">
        <v>1144</v>
      </c>
      <c r="AX3257" t="s">
        <v>1145</v>
      </c>
      <c r="AY3257" t="s">
        <v>1146</v>
      </c>
      <c r="AZ3257" t="s">
        <v>1147</v>
      </c>
      <c r="BA3257" t="s">
        <v>1148</v>
      </c>
      <c r="BB3257" t="s">
        <v>1149</v>
      </c>
      <c r="BC3257" t="s">
        <v>1150</v>
      </c>
      <c r="BD3257" t="s">
        <v>1151</v>
      </c>
      <c r="BE3257" t="s">
        <v>1152</v>
      </c>
      <c r="BF3257" t="s">
        <v>1153</v>
      </c>
      <c r="BG3257" t="s">
        <v>1154</v>
      </c>
      <c r="BH3257" t="s">
        <v>1155</v>
      </c>
      <c r="BI3257" t="s">
        <v>1156</v>
      </c>
      <c r="BJ3257" t="s">
        <v>1157</v>
      </c>
      <c r="BK3257" t="s">
        <v>1158</v>
      </c>
      <c r="BL3257" t="s">
        <v>1159</v>
      </c>
      <c r="BM3257" t="s">
        <v>1160</v>
      </c>
      <c r="BN3257" t="s">
        <v>1161</v>
      </c>
      <c r="BO3257" t="s">
        <v>1162</v>
      </c>
      <c r="BP3257" t="s">
        <v>1163</v>
      </c>
      <c r="BQ3257" t="s">
        <v>1164</v>
      </c>
      <c r="BR3257" t="s">
        <v>1165</v>
      </c>
      <c r="BS3257" t="s">
        <v>1166</v>
      </c>
      <c r="BT3257" t="s">
        <v>1167</v>
      </c>
      <c r="BU3257" t="s">
        <v>957</v>
      </c>
    </row>
    <row r="3258" spans="1:73" x14ac:dyDescent="0.35">
      <c r="A3258" t="s">
        <v>227</v>
      </c>
      <c r="B3258" t="s">
        <v>248</v>
      </c>
      <c r="C3258">
        <v>7804.77</v>
      </c>
      <c r="D3258">
        <v>6500</v>
      </c>
      <c r="E3258">
        <v>1500</v>
      </c>
      <c r="F3258">
        <v>25000</v>
      </c>
      <c r="G3258" s="6">
        <v>90</v>
      </c>
      <c r="H3258">
        <v>7741.84</v>
      </c>
      <c r="I3258">
        <v>5400</v>
      </c>
      <c r="J3258">
        <v>300</v>
      </c>
      <c r="K3258">
        <v>39000</v>
      </c>
      <c r="L3258" s="6">
        <v>17</v>
      </c>
      <c r="M3258">
        <v>13483.3</v>
      </c>
      <c r="N3258">
        <v>15000</v>
      </c>
      <c r="O3258">
        <v>2500</v>
      </c>
      <c r="P3258">
        <v>30000</v>
      </c>
      <c r="Q3258" s="6">
        <v>11</v>
      </c>
      <c r="R3258">
        <v>1467.45</v>
      </c>
      <c r="S3258">
        <v>1000</v>
      </c>
      <c r="T3258">
        <v>500</v>
      </c>
      <c r="U3258">
        <v>8000</v>
      </c>
      <c r="V3258" s="6">
        <v>14</v>
      </c>
      <c r="W3258">
        <v>2117.16</v>
      </c>
      <c r="X3258">
        <v>2000</v>
      </c>
      <c r="Y3258">
        <v>666.7</v>
      </c>
      <c r="Z3258">
        <v>5000</v>
      </c>
      <c r="AA3258" s="6">
        <v>116</v>
      </c>
      <c r="AB3258">
        <v>5566.77</v>
      </c>
      <c r="AC3258">
        <v>4875</v>
      </c>
      <c r="AD3258">
        <v>1000</v>
      </c>
      <c r="AE3258">
        <v>30000</v>
      </c>
      <c r="AF3258" s="6">
        <v>705</v>
      </c>
      <c r="AG3258">
        <v>2491.9499999999998</v>
      </c>
      <c r="AH3258">
        <v>1750</v>
      </c>
      <c r="AI3258">
        <v>150</v>
      </c>
      <c r="AJ3258">
        <v>9850</v>
      </c>
      <c r="AK3258" s="6">
        <v>53</v>
      </c>
      <c r="AL3258">
        <v>3442.93</v>
      </c>
      <c r="AM3258">
        <v>4500</v>
      </c>
      <c r="AN3258">
        <v>100</v>
      </c>
      <c r="AO3258">
        <v>9000</v>
      </c>
      <c r="AP3258" s="6">
        <v>9</v>
      </c>
      <c r="AQ3258">
        <v>2734.72</v>
      </c>
      <c r="AR3258">
        <v>2500</v>
      </c>
      <c r="AS3258">
        <v>1000</v>
      </c>
      <c r="AT3258">
        <v>8500</v>
      </c>
      <c r="AU3258" s="6">
        <v>23</v>
      </c>
      <c r="AV3258">
        <v>1107.56</v>
      </c>
      <c r="AW3258">
        <v>1200</v>
      </c>
      <c r="AX3258">
        <v>241.7</v>
      </c>
      <c r="AY3258">
        <v>2000</v>
      </c>
      <c r="AZ3258" s="6">
        <v>29</v>
      </c>
      <c r="BA3258">
        <v>3012.92</v>
      </c>
      <c r="BB3258">
        <v>2000</v>
      </c>
      <c r="BC3258">
        <v>100</v>
      </c>
      <c r="BD3258">
        <v>26000</v>
      </c>
      <c r="BE3258" s="6">
        <v>53</v>
      </c>
      <c r="BK3258">
        <v>18850.11</v>
      </c>
      <c r="BL3258">
        <v>500</v>
      </c>
      <c r="BM3258">
        <v>500</v>
      </c>
      <c r="BN3258">
        <v>75000</v>
      </c>
      <c r="BO3258" s="6">
        <v>7</v>
      </c>
      <c r="BP3258">
        <v>3125.75</v>
      </c>
      <c r="BQ3258">
        <v>3000</v>
      </c>
      <c r="BR3258">
        <v>100</v>
      </c>
      <c r="BS3258">
        <v>16666.7</v>
      </c>
      <c r="BT3258" s="6">
        <v>16</v>
      </c>
      <c r="BU3258">
        <v>705</v>
      </c>
    </row>
    <row r="3259" spans="1:73" x14ac:dyDescent="0.35">
      <c r="A3259" t="s">
        <v>227</v>
      </c>
      <c r="B3259" t="s">
        <v>249</v>
      </c>
      <c r="C3259">
        <v>8188.66</v>
      </c>
      <c r="D3259">
        <v>6250</v>
      </c>
      <c r="E3259">
        <v>500</v>
      </c>
      <c r="F3259">
        <v>75000</v>
      </c>
      <c r="G3259" s="6">
        <v>279</v>
      </c>
      <c r="H3259">
        <v>3028.48</v>
      </c>
      <c r="I3259">
        <v>3333.3</v>
      </c>
      <c r="J3259">
        <v>16.7</v>
      </c>
      <c r="K3259">
        <v>9500</v>
      </c>
      <c r="L3259" s="6">
        <v>47</v>
      </c>
      <c r="M3259">
        <v>8757.31</v>
      </c>
      <c r="N3259">
        <v>7500</v>
      </c>
      <c r="O3259">
        <v>250</v>
      </c>
      <c r="P3259">
        <v>33333.300000000003</v>
      </c>
      <c r="Q3259" s="6">
        <v>28</v>
      </c>
      <c r="R3259">
        <v>2175.48</v>
      </c>
      <c r="S3259">
        <v>1500</v>
      </c>
      <c r="T3259">
        <v>200</v>
      </c>
      <c r="U3259">
        <v>8333.2999999999993</v>
      </c>
      <c r="V3259" s="6">
        <v>25</v>
      </c>
      <c r="W3259">
        <v>1350.22</v>
      </c>
      <c r="X3259">
        <v>1000</v>
      </c>
      <c r="Y3259">
        <v>400</v>
      </c>
      <c r="Z3259">
        <v>2571.4</v>
      </c>
      <c r="AA3259" s="6">
        <v>73</v>
      </c>
      <c r="AB3259">
        <v>2514.73</v>
      </c>
      <c r="AC3259">
        <v>2000</v>
      </c>
      <c r="AD3259">
        <v>428.6</v>
      </c>
      <c r="AE3259">
        <v>17500</v>
      </c>
      <c r="AF3259" s="6">
        <v>415</v>
      </c>
      <c r="AG3259">
        <v>1637.03</v>
      </c>
      <c r="AH3259">
        <v>1400</v>
      </c>
      <c r="AI3259">
        <v>172</v>
      </c>
      <c r="AJ3259">
        <v>10000</v>
      </c>
      <c r="AK3259" s="6">
        <v>111</v>
      </c>
      <c r="AL3259">
        <v>1674.82</v>
      </c>
      <c r="AM3259">
        <v>2000</v>
      </c>
      <c r="AN3259">
        <v>333.3</v>
      </c>
      <c r="AO3259">
        <v>3500</v>
      </c>
      <c r="AP3259" s="6">
        <v>5</v>
      </c>
      <c r="AQ3259">
        <v>5080.8599999999997</v>
      </c>
      <c r="AR3259">
        <v>3333.3</v>
      </c>
      <c r="AS3259">
        <v>233.3</v>
      </c>
      <c r="AT3259">
        <v>16666.7</v>
      </c>
      <c r="AU3259" s="6">
        <v>22</v>
      </c>
      <c r="AV3259">
        <v>737.73</v>
      </c>
      <c r="AW3259">
        <v>600</v>
      </c>
      <c r="AX3259">
        <v>300</v>
      </c>
      <c r="AY3259">
        <v>1200</v>
      </c>
      <c r="AZ3259" s="6">
        <v>11</v>
      </c>
      <c r="BA3259">
        <v>3474.52</v>
      </c>
      <c r="BB3259">
        <v>1666.7</v>
      </c>
      <c r="BC3259">
        <v>166.7</v>
      </c>
      <c r="BD3259">
        <v>20000</v>
      </c>
      <c r="BE3259" s="6">
        <v>27</v>
      </c>
      <c r="BF3259">
        <v>3611.47</v>
      </c>
      <c r="BG3259">
        <v>4000</v>
      </c>
      <c r="BH3259">
        <v>1000</v>
      </c>
      <c r="BI3259">
        <v>4000</v>
      </c>
      <c r="BJ3259" s="6">
        <v>2</v>
      </c>
      <c r="BK3259">
        <v>2806.26</v>
      </c>
      <c r="BL3259">
        <v>3333.3</v>
      </c>
      <c r="BM3259">
        <v>500</v>
      </c>
      <c r="BN3259">
        <v>21750</v>
      </c>
      <c r="BO3259" s="6">
        <v>5</v>
      </c>
      <c r="BP3259">
        <v>1906.64</v>
      </c>
      <c r="BQ3259">
        <v>1800</v>
      </c>
      <c r="BR3259">
        <v>400</v>
      </c>
      <c r="BS3259">
        <v>6000</v>
      </c>
      <c r="BT3259" s="6">
        <v>16</v>
      </c>
      <c r="BU3259">
        <v>415</v>
      </c>
    </row>
    <row r="3260" spans="1:73" x14ac:dyDescent="0.35">
      <c r="A3260" t="s">
        <v>227</v>
      </c>
      <c r="B3260" t="s">
        <v>247</v>
      </c>
      <c r="C3260">
        <v>14707.39</v>
      </c>
      <c r="D3260">
        <v>12000</v>
      </c>
      <c r="E3260">
        <v>333.3</v>
      </c>
      <c r="F3260">
        <v>150000</v>
      </c>
      <c r="G3260" s="6">
        <v>902</v>
      </c>
      <c r="H3260">
        <v>6846.37</v>
      </c>
      <c r="I3260">
        <v>3333.3</v>
      </c>
      <c r="J3260">
        <v>100</v>
      </c>
      <c r="K3260">
        <v>66666.7</v>
      </c>
      <c r="L3260" s="6">
        <v>177</v>
      </c>
      <c r="M3260">
        <v>23036.73</v>
      </c>
      <c r="N3260">
        <v>14333.3</v>
      </c>
      <c r="O3260">
        <v>666.7</v>
      </c>
      <c r="P3260">
        <v>150000</v>
      </c>
      <c r="Q3260" s="6">
        <v>70</v>
      </c>
      <c r="R3260">
        <v>3582.41</v>
      </c>
      <c r="S3260">
        <v>2833.3</v>
      </c>
      <c r="T3260">
        <v>100</v>
      </c>
      <c r="U3260">
        <v>35000</v>
      </c>
      <c r="V3260" s="6">
        <v>53</v>
      </c>
      <c r="W3260">
        <v>2085.88</v>
      </c>
      <c r="X3260">
        <v>2000</v>
      </c>
      <c r="Y3260">
        <v>666.7</v>
      </c>
      <c r="Z3260">
        <v>5000</v>
      </c>
      <c r="AA3260" s="6">
        <v>75</v>
      </c>
      <c r="AB3260">
        <v>3403.13</v>
      </c>
      <c r="AC3260">
        <v>3000</v>
      </c>
      <c r="AD3260">
        <v>500</v>
      </c>
      <c r="AE3260">
        <v>16500</v>
      </c>
      <c r="AF3260" s="6">
        <v>74</v>
      </c>
      <c r="AG3260">
        <v>2214.14</v>
      </c>
      <c r="AH3260">
        <v>1250</v>
      </c>
      <c r="AI3260">
        <v>106.7</v>
      </c>
      <c r="AJ3260">
        <v>20000</v>
      </c>
      <c r="AK3260" s="6">
        <v>240</v>
      </c>
      <c r="AL3260">
        <v>7023.27</v>
      </c>
      <c r="AM3260">
        <v>8000</v>
      </c>
      <c r="AN3260">
        <v>500</v>
      </c>
      <c r="AO3260">
        <v>25000</v>
      </c>
      <c r="AP3260" s="6">
        <v>18</v>
      </c>
      <c r="AQ3260">
        <v>6105.15</v>
      </c>
      <c r="AR3260">
        <v>4500</v>
      </c>
      <c r="AS3260">
        <v>250</v>
      </c>
      <c r="AT3260">
        <v>30000</v>
      </c>
      <c r="AU3260" s="6">
        <v>47</v>
      </c>
      <c r="AV3260">
        <v>1850.08</v>
      </c>
      <c r="AW3260">
        <v>1200</v>
      </c>
      <c r="AX3260">
        <v>400</v>
      </c>
      <c r="AY3260">
        <v>3300</v>
      </c>
      <c r="AZ3260" s="6">
        <v>12</v>
      </c>
      <c r="BA3260">
        <v>4722.3900000000003</v>
      </c>
      <c r="BB3260">
        <v>3333.3</v>
      </c>
      <c r="BC3260">
        <v>75</v>
      </c>
      <c r="BD3260">
        <v>26000</v>
      </c>
      <c r="BE3260" s="6">
        <v>126</v>
      </c>
      <c r="BF3260">
        <v>666.67</v>
      </c>
      <c r="BG3260">
        <v>666.7</v>
      </c>
      <c r="BH3260">
        <v>666.7</v>
      </c>
      <c r="BI3260">
        <v>666.7</v>
      </c>
      <c r="BJ3260" s="6">
        <v>1</v>
      </c>
      <c r="BK3260">
        <v>1202.56</v>
      </c>
      <c r="BL3260">
        <v>666.7</v>
      </c>
      <c r="BM3260">
        <v>666.7</v>
      </c>
      <c r="BN3260">
        <v>5166.7</v>
      </c>
      <c r="BO3260" s="6">
        <v>2</v>
      </c>
      <c r="BP3260">
        <v>6220.77</v>
      </c>
      <c r="BQ3260">
        <v>5000</v>
      </c>
      <c r="BR3260">
        <v>125</v>
      </c>
      <c r="BS3260">
        <v>40000</v>
      </c>
      <c r="BT3260" s="6">
        <v>55</v>
      </c>
      <c r="BU3260">
        <v>902</v>
      </c>
    </row>
    <row r="3261" spans="1:73" x14ac:dyDescent="0.35">
      <c r="A3261" t="s">
        <v>228</v>
      </c>
      <c r="B3261" t="s">
        <v>228</v>
      </c>
      <c r="C3261">
        <v>12841.11</v>
      </c>
      <c r="D3261">
        <v>10000</v>
      </c>
      <c r="E3261">
        <v>333.3</v>
      </c>
      <c r="F3261">
        <v>150000</v>
      </c>
      <c r="G3261" s="6">
        <v>1271</v>
      </c>
      <c r="H3261">
        <v>6272.64</v>
      </c>
      <c r="I3261">
        <v>3333.3</v>
      </c>
      <c r="J3261">
        <v>16.7</v>
      </c>
      <c r="K3261">
        <v>66666.7</v>
      </c>
      <c r="L3261" s="6">
        <v>241</v>
      </c>
      <c r="M3261">
        <v>17578.79</v>
      </c>
      <c r="N3261">
        <v>10000</v>
      </c>
      <c r="O3261">
        <v>250</v>
      </c>
      <c r="P3261">
        <v>150000</v>
      </c>
      <c r="Q3261" s="6">
        <v>109</v>
      </c>
      <c r="R3261">
        <v>2698.25</v>
      </c>
      <c r="S3261">
        <v>1750</v>
      </c>
      <c r="T3261">
        <v>100</v>
      </c>
      <c r="U3261">
        <v>35000</v>
      </c>
      <c r="V3261" s="6">
        <v>92</v>
      </c>
      <c r="W3261">
        <v>1917.18</v>
      </c>
      <c r="X3261">
        <v>2000</v>
      </c>
      <c r="Y3261">
        <v>400</v>
      </c>
      <c r="Z3261">
        <v>5000</v>
      </c>
      <c r="AA3261" s="6">
        <v>264</v>
      </c>
      <c r="AB3261">
        <v>4296.82</v>
      </c>
      <c r="AC3261">
        <v>4000</v>
      </c>
      <c r="AD3261">
        <v>428.6</v>
      </c>
      <c r="AE3261">
        <v>30000</v>
      </c>
      <c r="AF3261" s="6">
        <v>1194</v>
      </c>
      <c r="AG3261">
        <v>2115.1799999999998</v>
      </c>
      <c r="AH3261">
        <v>1400</v>
      </c>
      <c r="AI3261">
        <v>106.7</v>
      </c>
      <c r="AJ3261">
        <v>20000</v>
      </c>
      <c r="AK3261" s="6">
        <v>404</v>
      </c>
      <c r="AL3261">
        <v>5888.89</v>
      </c>
      <c r="AM3261">
        <v>4000</v>
      </c>
      <c r="AN3261">
        <v>100</v>
      </c>
      <c r="AO3261">
        <v>25000</v>
      </c>
      <c r="AP3261" s="6">
        <v>32</v>
      </c>
      <c r="AQ3261">
        <v>5244.2</v>
      </c>
      <c r="AR3261">
        <v>3333.3</v>
      </c>
      <c r="AS3261">
        <v>233.3</v>
      </c>
      <c r="AT3261">
        <v>30000</v>
      </c>
      <c r="AU3261" s="6">
        <v>92</v>
      </c>
      <c r="AV3261">
        <v>1217.7</v>
      </c>
      <c r="AW3261">
        <v>1200</v>
      </c>
      <c r="AX3261">
        <v>241.7</v>
      </c>
      <c r="AY3261">
        <v>3300</v>
      </c>
      <c r="AZ3261" s="6">
        <v>52</v>
      </c>
      <c r="BA3261">
        <v>4143.3599999999997</v>
      </c>
      <c r="BB3261">
        <v>2500</v>
      </c>
      <c r="BC3261">
        <v>75</v>
      </c>
      <c r="BD3261">
        <v>26000</v>
      </c>
      <c r="BE3261" s="6">
        <v>206</v>
      </c>
      <c r="BF3261">
        <v>2109.21</v>
      </c>
      <c r="BG3261">
        <v>1000</v>
      </c>
      <c r="BH3261">
        <v>666.7</v>
      </c>
      <c r="BI3261">
        <v>4000</v>
      </c>
      <c r="BJ3261" s="6">
        <v>3</v>
      </c>
      <c r="BK3261">
        <v>9971.93</v>
      </c>
      <c r="BL3261">
        <v>666.7</v>
      </c>
      <c r="BM3261">
        <v>500</v>
      </c>
      <c r="BN3261">
        <v>75000</v>
      </c>
      <c r="BO3261" s="6">
        <v>14</v>
      </c>
      <c r="BP3261">
        <v>5190.95</v>
      </c>
      <c r="BQ3261">
        <v>3000</v>
      </c>
      <c r="BR3261">
        <v>100</v>
      </c>
      <c r="BS3261">
        <v>40000</v>
      </c>
      <c r="BT3261" s="6">
        <v>87</v>
      </c>
      <c r="BU3261">
        <v>1271</v>
      </c>
    </row>
    <row r="3263" spans="1:73" x14ac:dyDescent="0.35">
      <c r="A3263" s="1" t="s">
        <v>1173</v>
      </c>
    </row>
    <row r="3264" spans="1:73" x14ac:dyDescent="0.35">
      <c r="A3264" t="s">
        <v>219</v>
      </c>
      <c r="B3264" t="s">
        <v>301</v>
      </c>
      <c r="C3264" t="s">
        <v>1098</v>
      </c>
      <c r="D3264" t="s">
        <v>1099</v>
      </c>
      <c r="E3264" t="s">
        <v>1100</v>
      </c>
      <c r="F3264" t="s">
        <v>1101</v>
      </c>
      <c r="G3264" t="s">
        <v>1102</v>
      </c>
      <c r="H3264" t="s">
        <v>1103</v>
      </c>
      <c r="I3264" t="s">
        <v>1104</v>
      </c>
      <c r="J3264" t="s">
        <v>1105</v>
      </c>
      <c r="K3264" t="s">
        <v>1106</v>
      </c>
      <c r="L3264" t="s">
        <v>1107</v>
      </c>
      <c r="M3264" t="s">
        <v>1108</v>
      </c>
      <c r="N3264" t="s">
        <v>1109</v>
      </c>
      <c r="O3264" t="s">
        <v>1110</v>
      </c>
      <c r="P3264" t="s">
        <v>1111</v>
      </c>
      <c r="Q3264" t="s">
        <v>1112</v>
      </c>
      <c r="R3264" t="s">
        <v>1113</v>
      </c>
      <c r="S3264" t="s">
        <v>1114</v>
      </c>
      <c r="T3264" t="s">
        <v>1115</v>
      </c>
      <c r="U3264" t="s">
        <v>1116</v>
      </c>
      <c r="V3264" t="s">
        <v>1117</v>
      </c>
      <c r="W3264" t="s">
        <v>1118</v>
      </c>
      <c r="X3264" t="s">
        <v>1119</v>
      </c>
      <c r="Y3264" t="s">
        <v>1120</v>
      </c>
      <c r="Z3264" t="s">
        <v>1121</v>
      </c>
      <c r="AA3264" t="s">
        <v>1122</v>
      </c>
      <c r="AB3264" t="s">
        <v>1123</v>
      </c>
      <c r="AC3264" t="s">
        <v>1124</v>
      </c>
      <c r="AD3264" t="s">
        <v>1125</v>
      </c>
      <c r="AE3264" t="s">
        <v>1126</v>
      </c>
      <c r="AF3264" t="s">
        <v>1127</v>
      </c>
      <c r="AG3264" t="s">
        <v>1128</v>
      </c>
      <c r="AH3264" t="s">
        <v>1129</v>
      </c>
      <c r="AI3264" t="s">
        <v>1130</v>
      </c>
      <c r="AJ3264" t="s">
        <v>1131</v>
      </c>
      <c r="AK3264" t="s">
        <v>1132</v>
      </c>
      <c r="AL3264" t="s">
        <v>1133</v>
      </c>
      <c r="AM3264" t="s">
        <v>1134</v>
      </c>
      <c r="AN3264" t="s">
        <v>1135</v>
      </c>
      <c r="AO3264" t="s">
        <v>1136</v>
      </c>
      <c r="AP3264" t="s">
        <v>1137</v>
      </c>
      <c r="AQ3264" t="s">
        <v>1138</v>
      </c>
      <c r="AR3264" t="s">
        <v>1139</v>
      </c>
      <c r="AS3264" t="s">
        <v>1140</v>
      </c>
      <c r="AT3264" t="s">
        <v>1141</v>
      </c>
      <c r="AU3264" t="s">
        <v>1142</v>
      </c>
      <c r="AV3264" t="s">
        <v>1143</v>
      </c>
      <c r="AW3264" t="s">
        <v>1144</v>
      </c>
      <c r="AX3264" t="s">
        <v>1145</v>
      </c>
      <c r="AY3264" t="s">
        <v>1146</v>
      </c>
      <c r="AZ3264" t="s">
        <v>1147</v>
      </c>
      <c r="BA3264" t="s">
        <v>1148</v>
      </c>
      <c r="BB3264" t="s">
        <v>1149</v>
      </c>
      <c r="BC3264" t="s">
        <v>1150</v>
      </c>
      <c r="BD3264" t="s">
        <v>1151</v>
      </c>
      <c r="BE3264" t="s">
        <v>1152</v>
      </c>
      <c r="BF3264" t="s">
        <v>1153</v>
      </c>
      <c r="BG3264" t="s">
        <v>1154</v>
      </c>
      <c r="BH3264" t="s">
        <v>1155</v>
      </c>
      <c r="BI3264" t="s">
        <v>1156</v>
      </c>
      <c r="BJ3264" t="s">
        <v>1157</v>
      </c>
      <c r="BK3264" t="s">
        <v>1158</v>
      </c>
      <c r="BL3264" t="s">
        <v>1159</v>
      </c>
      <c r="BM3264" t="s">
        <v>1160</v>
      </c>
      <c r="BN3264" t="s">
        <v>1161</v>
      </c>
      <c r="BO3264" t="s">
        <v>1162</v>
      </c>
      <c r="BP3264" t="s">
        <v>1163</v>
      </c>
      <c r="BQ3264" t="s">
        <v>1164</v>
      </c>
      <c r="BR3264" t="s">
        <v>1165</v>
      </c>
      <c r="BS3264" t="s">
        <v>1166</v>
      </c>
      <c r="BT3264" t="s">
        <v>1167</v>
      </c>
      <c r="BU3264" t="s">
        <v>957</v>
      </c>
    </row>
    <row r="3265" spans="1:73" x14ac:dyDescent="0.35">
      <c r="A3265" t="s">
        <v>227</v>
      </c>
      <c r="B3265" t="s">
        <v>245</v>
      </c>
      <c r="C3265">
        <v>9779.14</v>
      </c>
      <c r="D3265">
        <v>7500</v>
      </c>
      <c r="E3265">
        <v>333.3</v>
      </c>
      <c r="F3265">
        <v>150000</v>
      </c>
      <c r="G3265" s="6">
        <v>471</v>
      </c>
      <c r="H3265">
        <v>4738.09</v>
      </c>
      <c r="I3265">
        <v>2666.7</v>
      </c>
      <c r="J3265">
        <v>16.7</v>
      </c>
      <c r="K3265">
        <v>66666.7</v>
      </c>
      <c r="L3265" s="6">
        <v>99</v>
      </c>
      <c r="M3265">
        <v>14581.89</v>
      </c>
      <c r="N3265">
        <v>13333.3</v>
      </c>
      <c r="O3265">
        <v>666.7</v>
      </c>
      <c r="P3265">
        <v>125000</v>
      </c>
      <c r="Q3265" s="6">
        <v>41</v>
      </c>
      <c r="R3265">
        <v>3365.7</v>
      </c>
      <c r="S3265">
        <v>2833.3</v>
      </c>
      <c r="T3265">
        <v>100</v>
      </c>
      <c r="U3265">
        <v>16666.7</v>
      </c>
      <c r="V3265" s="6">
        <v>28</v>
      </c>
      <c r="W3265">
        <v>1953.92</v>
      </c>
      <c r="X3265">
        <v>2200</v>
      </c>
      <c r="Y3265">
        <v>400</v>
      </c>
      <c r="Z3265">
        <v>4666.7</v>
      </c>
      <c r="AA3265" s="6">
        <v>79</v>
      </c>
      <c r="AB3265">
        <v>1925.66</v>
      </c>
      <c r="AC3265">
        <v>1333.3</v>
      </c>
      <c r="AD3265">
        <v>428.6</v>
      </c>
      <c r="AE3265">
        <v>13333.3</v>
      </c>
      <c r="AF3265" s="6">
        <v>155</v>
      </c>
      <c r="AG3265">
        <v>1337.76</v>
      </c>
      <c r="AH3265">
        <v>900</v>
      </c>
      <c r="AI3265">
        <v>106.7</v>
      </c>
      <c r="AJ3265">
        <v>20000</v>
      </c>
      <c r="AK3265" s="6">
        <v>193</v>
      </c>
      <c r="AL3265">
        <v>5608.53</v>
      </c>
      <c r="AM3265">
        <v>10000</v>
      </c>
      <c r="AN3265">
        <v>500</v>
      </c>
      <c r="AO3265">
        <v>10000</v>
      </c>
      <c r="AP3265" s="6">
        <v>4</v>
      </c>
      <c r="AQ3265">
        <v>2701.6</v>
      </c>
      <c r="AR3265">
        <v>2333.3000000000002</v>
      </c>
      <c r="AS3265">
        <v>233.3</v>
      </c>
      <c r="AT3265">
        <v>13000</v>
      </c>
      <c r="AU3265" s="6">
        <v>24</v>
      </c>
      <c r="AV3265">
        <v>941.03</v>
      </c>
      <c r="AW3265">
        <v>1200</v>
      </c>
      <c r="AX3265">
        <v>300</v>
      </c>
      <c r="AY3265">
        <v>1600</v>
      </c>
      <c r="AZ3265" s="6">
        <v>7</v>
      </c>
      <c r="BA3265">
        <v>2721.6</v>
      </c>
      <c r="BB3265">
        <v>2500</v>
      </c>
      <c r="BC3265">
        <v>75</v>
      </c>
      <c r="BD3265">
        <v>15000</v>
      </c>
      <c r="BE3265" s="6">
        <v>75</v>
      </c>
      <c r="BF3265">
        <v>2184.35</v>
      </c>
      <c r="BG3265">
        <v>666.7</v>
      </c>
      <c r="BH3265">
        <v>666.7</v>
      </c>
      <c r="BI3265">
        <v>4000</v>
      </c>
      <c r="BJ3265" s="6">
        <v>2</v>
      </c>
      <c r="BK3265">
        <v>2443.44</v>
      </c>
      <c r="BL3265">
        <v>5166.7</v>
      </c>
      <c r="BM3265">
        <v>666.7</v>
      </c>
      <c r="BN3265">
        <v>21750</v>
      </c>
      <c r="BO3265" s="6">
        <v>3</v>
      </c>
      <c r="BP3265">
        <v>4842.32</v>
      </c>
      <c r="BQ3265">
        <v>2500</v>
      </c>
      <c r="BR3265">
        <v>125</v>
      </c>
      <c r="BS3265">
        <v>20000</v>
      </c>
      <c r="BT3265" s="6">
        <v>28</v>
      </c>
      <c r="BU3265">
        <v>471</v>
      </c>
    </row>
    <row r="3266" spans="1:73" x14ac:dyDescent="0.35">
      <c r="A3266" t="s">
        <v>227</v>
      </c>
      <c r="B3266" t="s">
        <v>244</v>
      </c>
      <c r="C3266">
        <v>14726.18</v>
      </c>
      <c r="D3266">
        <v>11000</v>
      </c>
      <c r="E3266">
        <v>666.7</v>
      </c>
      <c r="F3266">
        <v>100000</v>
      </c>
      <c r="G3266" s="6">
        <v>800</v>
      </c>
      <c r="H3266">
        <v>7556.28</v>
      </c>
      <c r="I3266">
        <v>5000</v>
      </c>
      <c r="J3266">
        <v>200</v>
      </c>
      <c r="K3266">
        <v>40000</v>
      </c>
      <c r="L3266" s="6">
        <v>142</v>
      </c>
      <c r="M3266">
        <v>18635.099999999999</v>
      </c>
      <c r="N3266">
        <v>10000</v>
      </c>
      <c r="O3266">
        <v>250</v>
      </c>
      <c r="P3266">
        <v>150000</v>
      </c>
      <c r="Q3266" s="6">
        <v>68</v>
      </c>
      <c r="R3266">
        <v>2544.46</v>
      </c>
      <c r="S3266">
        <v>1500</v>
      </c>
      <c r="T3266">
        <v>100</v>
      </c>
      <c r="U3266">
        <v>35000</v>
      </c>
      <c r="V3266" s="6">
        <v>64</v>
      </c>
      <c r="W3266">
        <v>1899.72</v>
      </c>
      <c r="X3266">
        <v>2000</v>
      </c>
      <c r="Y3266">
        <v>400</v>
      </c>
      <c r="Z3266">
        <v>5000</v>
      </c>
      <c r="AA3266" s="6">
        <v>185</v>
      </c>
      <c r="AB3266">
        <v>4692.57</v>
      </c>
      <c r="AC3266">
        <v>4200</v>
      </c>
      <c r="AD3266">
        <v>500</v>
      </c>
      <c r="AE3266">
        <v>30000</v>
      </c>
      <c r="AF3266" s="6">
        <v>1039</v>
      </c>
      <c r="AG3266">
        <v>2760.75</v>
      </c>
      <c r="AH3266">
        <v>1671.5</v>
      </c>
      <c r="AI3266">
        <v>150</v>
      </c>
      <c r="AJ3266">
        <v>18000</v>
      </c>
      <c r="AK3266" s="6">
        <v>211</v>
      </c>
      <c r="AL3266">
        <v>5941.51</v>
      </c>
      <c r="AM3266">
        <v>2100</v>
      </c>
      <c r="AN3266">
        <v>100</v>
      </c>
      <c r="AO3266">
        <v>25000</v>
      </c>
      <c r="AP3266" s="6">
        <v>28</v>
      </c>
      <c r="AQ3266">
        <v>6643.38</v>
      </c>
      <c r="AR3266">
        <v>4000</v>
      </c>
      <c r="AS3266">
        <v>1000</v>
      </c>
      <c r="AT3266">
        <v>30000</v>
      </c>
      <c r="AU3266" s="6">
        <v>68</v>
      </c>
      <c r="AV3266">
        <v>1250.21</v>
      </c>
      <c r="AW3266">
        <v>1200</v>
      </c>
      <c r="AX3266">
        <v>241.7</v>
      </c>
      <c r="AY3266">
        <v>3300</v>
      </c>
      <c r="AZ3266" s="6">
        <v>45</v>
      </c>
      <c r="BA3266">
        <v>4931.49</v>
      </c>
      <c r="BB3266">
        <v>3000</v>
      </c>
      <c r="BC3266">
        <v>100</v>
      </c>
      <c r="BD3266">
        <v>26000</v>
      </c>
      <c r="BE3266" s="6">
        <v>131</v>
      </c>
      <c r="BF3266">
        <v>1000</v>
      </c>
      <c r="BG3266">
        <v>1000</v>
      </c>
      <c r="BH3266">
        <v>1000</v>
      </c>
      <c r="BI3266">
        <v>1000</v>
      </c>
      <c r="BJ3266" s="6">
        <v>1</v>
      </c>
      <c r="BK3266">
        <v>10885.45</v>
      </c>
      <c r="BL3266">
        <v>500</v>
      </c>
      <c r="BM3266">
        <v>500</v>
      </c>
      <c r="BN3266">
        <v>75000</v>
      </c>
      <c r="BO3266" s="6">
        <v>11</v>
      </c>
      <c r="BP3266">
        <v>5390.89</v>
      </c>
      <c r="BQ3266">
        <v>3500</v>
      </c>
      <c r="BR3266">
        <v>100</v>
      </c>
      <c r="BS3266">
        <v>40000</v>
      </c>
      <c r="BT3266" s="6">
        <v>59</v>
      </c>
      <c r="BU3266">
        <v>1039</v>
      </c>
    </row>
    <row r="3267" spans="1:73" x14ac:dyDescent="0.35">
      <c r="A3267" t="s">
        <v>228</v>
      </c>
      <c r="B3267" t="s">
        <v>228</v>
      </c>
      <c r="C3267">
        <v>12841.11</v>
      </c>
      <c r="D3267">
        <v>10000</v>
      </c>
      <c r="E3267">
        <v>333.3</v>
      </c>
      <c r="F3267">
        <v>150000</v>
      </c>
      <c r="G3267" s="6">
        <v>1271</v>
      </c>
      <c r="H3267">
        <v>6272.64</v>
      </c>
      <c r="I3267">
        <v>3333.3</v>
      </c>
      <c r="J3267">
        <v>16.7</v>
      </c>
      <c r="K3267">
        <v>66666.7</v>
      </c>
      <c r="L3267" s="6">
        <v>241</v>
      </c>
      <c r="M3267">
        <v>17578.79</v>
      </c>
      <c r="N3267">
        <v>10000</v>
      </c>
      <c r="O3267">
        <v>250</v>
      </c>
      <c r="P3267">
        <v>150000</v>
      </c>
      <c r="Q3267" s="6">
        <v>109</v>
      </c>
      <c r="R3267">
        <v>2698.25</v>
      </c>
      <c r="S3267">
        <v>1750</v>
      </c>
      <c r="T3267">
        <v>100</v>
      </c>
      <c r="U3267">
        <v>35000</v>
      </c>
      <c r="V3267" s="6">
        <v>92</v>
      </c>
      <c r="W3267">
        <v>1917.18</v>
      </c>
      <c r="X3267">
        <v>2000</v>
      </c>
      <c r="Y3267">
        <v>400</v>
      </c>
      <c r="Z3267">
        <v>5000</v>
      </c>
      <c r="AA3267" s="6">
        <v>264</v>
      </c>
      <c r="AB3267">
        <v>4296.82</v>
      </c>
      <c r="AC3267">
        <v>4000</v>
      </c>
      <c r="AD3267">
        <v>428.6</v>
      </c>
      <c r="AE3267">
        <v>30000</v>
      </c>
      <c r="AF3267" s="6">
        <v>1194</v>
      </c>
      <c r="AG3267">
        <v>2115.1799999999998</v>
      </c>
      <c r="AH3267">
        <v>1400</v>
      </c>
      <c r="AI3267">
        <v>106.7</v>
      </c>
      <c r="AJ3267">
        <v>20000</v>
      </c>
      <c r="AK3267" s="6">
        <v>404</v>
      </c>
      <c r="AL3267">
        <v>5888.89</v>
      </c>
      <c r="AM3267">
        <v>4000</v>
      </c>
      <c r="AN3267">
        <v>100</v>
      </c>
      <c r="AO3267">
        <v>25000</v>
      </c>
      <c r="AP3267" s="6">
        <v>32</v>
      </c>
      <c r="AQ3267">
        <v>5244.2</v>
      </c>
      <c r="AR3267">
        <v>3333.3</v>
      </c>
      <c r="AS3267">
        <v>233.3</v>
      </c>
      <c r="AT3267">
        <v>30000</v>
      </c>
      <c r="AU3267" s="6">
        <v>92</v>
      </c>
      <c r="AV3267">
        <v>1217.7</v>
      </c>
      <c r="AW3267">
        <v>1200</v>
      </c>
      <c r="AX3267">
        <v>241.7</v>
      </c>
      <c r="AY3267">
        <v>3300</v>
      </c>
      <c r="AZ3267" s="6">
        <v>52</v>
      </c>
      <c r="BA3267">
        <v>4143.3599999999997</v>
      </c>
      <c r="BB3267">
        <v>2500</v>
      </c>
      <c r="BC3267">
        <v>75</v>
      </c>
      <c r="BD3267">
        <v>26000</v>
      </c>
      <c r="BE3267" s="6">
        <v>206</v>
      </c>
      <c r="BF3267">
        <v>2109.21</v>
      </c>
      <c r="BG3267">
        <v>1000</v>
      </c>
      <c r="BH3267">
        <v>666.7</v>
      </c>
      <c r="BI3267">
        <v>4000</v>
      </c>
      <c r="BJ3267" s="6">
        <v>3</v>
      </c>
      <c r="BK3267">
        <v>9971.93</v>
      </c>
      <c r="BL3267">
        <v>666.7</v>
      </c>
      <c r="BM3267">
        <v>500</v>
      </c>
      <c r="BN3267">
        <v>75000</v>
      </c>
      <c r="BO3267" s="6">
        <v>14</v>
      </c>
      <c r="BP3267">
        <v>5190.95</v>
      </c>
      <c r="BQ3267">
        <v>3000</v>
      </c>
      <c r="BR3267">
        <v>100</v>
      </c>
      <c r="BS3267">
        <v>40000</v>
      </c>
      <c r="BT3267" s="6">
        <v>87</v>
      </c>
      <c r="BU3267">
        <v>1271</v>
      </c>
    </row>
    <row r="3269" spans="1:73" x14ac:dyDescent="0.35">
      <c r="A3269" s="1" t="s">
        <v>1174</v>
      </c>
    </row>
    <row r="3270" spans="1:73" x14ac:dyDescent="0.35">
      <c r="A3270" t="s">
        <v>219</v>
      </c>
      <c r="B3270" t="s">
        <v>301</v>
      </c>
      <c r="C3270" t="s">
        <v>1098</v>
      </c>
      <c r="D3270" t="s">
        <v>1099</v>
      </c>
      <c r="E3270" t="s">
        <v>1100</v>
      </c>
      <c r="F3270" t="s">
        <v>1101</v>
      </c>
      <c r="G3270" t="s">
        <v>1102</v>
      </c>
      <c r="H3270" t="s">
        <v>1103</v>
      </c>
      <c r="I3270" t="s">
        <v>1104</v>
      </c>
      <c r="J3270" t="s">
        <v>1105</v>
      </c>
      <c r="K3270" t="s">
        <v>1106</v>
      </c>
      <c r="L3270" t="s">
        <v>1107</v>
      </c>
      <c r="M3270" t="s">
        <v>1108</v>
      </c>
      <c r="N3270" t="s">
        <v>1109</v>
      </c>
      <c r="O3270" t="s">
        <v>1110</v>
      </c>
      <c r="P3270" t="s">
        <v>1111</v>
      </c>
      <c r="Q3270" t="s">
        <v>1112</v>
      </c>
      <c r="R3270" t="s">
        <v>1113</v>
      </c>
      <c r="S3270" t="s">
        <v>1114</v>
      </c>
      <c r="T3270" t="s">
        <v>1115</v>
      </c>
      <c r="U3270" t="s">
        <v>1116</v>
      </c>
      <c r="V3270" t="s">
        <v>1117</v>
      </c>
      <c r="W3270" t="s">
        <v>1118</v>
      </c>
      <c r="X3270" t="s">
        <v>1119</v>
      </c>
      <c r="Y3270" t="s">
        <v>1120</v>
      </c>
      <c r="Z3270" t="s">
        <v>1121</v>
      </c>
      <c r="AA3270" t="s">
        <v>1122</v>
      </c>
      <c r="AB3270" t="s">
        <v>1123</v>
      </c>
      <c r="AC3270" t="s">
        <v>1124</v>
      </c>
      <c r="AD3270" t="s">
        <v>1125</v>
      </c>
      <c r="AE3270" t="s">
        <v>1126</v>
      </c>
      <c r="AF3270" t="s">
        <v>1127</v>
      </c>
      <c r="AG3270" t="s">
        <v>1128</v>
      </c>
      <c r="AH3270" t="s">
        <v>1129</v>
      </c>
      <c r="AI3270" t="s">
        <v>1130</v>
      </c>
      <c r="AJ3270" t="s">
        <v>1131</v>
      </c>
      <c r="AK3270" t="s">
        <v>1132</v>
      </c>
      <c r="AL3270" t="s">
        <v>1133</v>
      </c>
      <c r="AM3270" t="s">
        <v>1134</v>
      </c>
      <c r="AN3270" t="s">
        <v>1135</v>
      </c>
      <c r="AO3270" t="s">
        <v>1136</v>
      </c>
      <c r="AP3270" t="s">
        <v>1137</v>
      </c>
      <c r="AQ3270" t="s">
        <v>1138</v>
      </c>
      <c r="AR3270" t="s">
        <v>1139</v>
      </c>
      <c r="AS3270" t="s">
        <v>1140</v>
      </c>
      <c r="AT3270" t="s">
        <v>1141</v>
      </c>
      <c r="AU3270" t="s">
        <v>1142</v>
      </c>
      <c r="AV3270" t="s">
        <v>1143</v>
      </c>
      <c r="AW3270" t="s">
        <v>1144</v>
      </c>
      <c r="AX3270" t="s">
        <v>1145</v>
      </c>
      <c r="AY3270" t="s">
        <v>1146</v>
      </c>
      <c r="AZ3270" t="s">
        <v>1147</v>
      </c>
      <c r="BA3270" t="s">
        <v>1148</v>
      </c>
      <c r="BB3270" t="s">
        <v>1149</v>
      </c>
      <c r="BC3270" t="s">
        <v>1150</v>
      </c>
      <c r="BD3270" t="s">
        <v>1151</v>
      </c>
      <c r="BE3270" t="s">
        <v>1152</v>
      </c>
      <c r="BF3270" t="s">
        <v>1153</v>
      </c>
      <c r="BG3270" t="s">
        <v>1154</v>
      </c>
      <c r="BH3270" t="s">
        <v>1155</v>
      </c>
      <c r="BI3270" t="s">
        <v>1156</v>
      </c>
      <c r="BJ3270" t="s">
        <v>1157</v>
      </c>
      <c r="BK3270" t="s">
        <v>1158</v>
      </c>
      <c r="BL3270" t="s">
        <v>1159</v>
      </c>
      <c r="BM3270" t="s">
        <v>1160</v>
      </c>
      <c r="BN3270" t="s">
        <v>1161</v>
      </c>
      <c r="BO3270" t="s">
        <v>1162</v>
      </c>
      <c r="BP3270" t="s">
        <v>1163</v>
      </c>
      <c r="BQ3270" t="s">
        <v>1164</v>
      </c>
      <c r="BR3270" t="s">
        <v>1165</v>
      </c>
      <c r="BS3270" t="s">
        <v>1166</v>
      </c>
      <c r="BT3270" t="s">
        <v>1167</v>
      </c>
      <c r="BU3270" t="s">
        <v>957</v>
      </c>
    </row>
    <row r="3271" spans="1:73" x14ac:dyDescent="0.35">
      <c r="A3271" t="s">
        <v>227</v>
      </c>
      <c r="B3271" t="s">
        <v>259</v>
      </c>
      <c r="C3271">
        <v>10846.33</v>
      </c>
      <c r="D3271">
        <v>10000</v>
      </c>
      <c r="E3271">
        <v>333.3</v>
      </c>
      <c r="F3271">
        <v>33333.300000000003</v>
      </c>
      <c r="G3271" s="6">
        <v>27</v>
      </c>
      <c r="H3271">
        <v>2925.5</v>
      </c>
      <c r="I3271">
        <v>6000</v>
      </c>
      <c r="J3271">
        <v>833.3</v>
      </c>
      <c r="K3271">
        <v>7500</v>
      </c>
      <c r="L3271" s="6">
        <v>5</v>
      </c>
      <c r="M3271">
        <v>19624.68</v>
      </c>
      <c r="N3271">
        <v>30000</v>
      </c>
      <c r="O3271">
        <v>10000</v>
      </c>
      <c r="P3271">
        <v>30000</v>
      </c>
      <c r="Q3271" s="6">
        <v>3</v>
      </c>
      <c r="R3271">
        <v>2833.33</v>
      </c>
      <c r="S3271">
        <v>2833.3</v>
      </c>
      <c r="T3271">
        <v>2833.3</v>
      </c>
      <c r="U3271">
        <v>2833.3</v>
      </c>
      <c r="V3271" s="6">
        <v>1</v>
      </c>
      <c r="W3271">
        <v>1919.54</v>
      </c>
      <c r="X3271">
        <v>3000</v>
      </c>
      <c r="Y3271">
        <v>500</v>
      </c>
      <c r="Z3271">
        <v>3000</v>
      </c>
      <c r="AA3271" s="6">
        <v>10</v>
      </c>
      <c r="AB3271">
        <v>3937.64</v>
      </c>
      <c r="AC3271">
        <v>3300</v>
      </c>
      <c r="AD3271">
        <v>831.2</v>
      </c>
      <c r="AE3271">
        <v>11750</v>
      </c>
      <c r="AF3271" s="6">
        <v>40</v>
      </c>
      <c r="AG3271">
        <v>1998.54</v>
      </c>
      <c r="AH3271">
        <v>2833.3</v>
      </c>
      <c r="AI3271">
        <v>253.3</v>
      </c>
      <c r="AJ3271">
        <v>2875</v>
      </c>
      <c r="AK3271" s="6">
        <v>12</v>
      </c>
      <c r="AL3271">
        <v>1388.94</v>
      </c>
      <c r="AM3271">
        <v>1500</v>
      </c>
      <c r="AN3271">
        <v>1000</v>
      </c>
      <c r="AO3271">
        <v>3500</v>
      </c>
      <c r="AP3271" s="6">
        <v>3</v>
      </c>
      <c r="AQ3271">
        <v>7469.54</v>
      </c>
      <c r="AR3271">
        <v>10000</v>
      </c>
      <c r="AS3271">
        <v>1500</v>
      </c>
      <c r="AT3271">
        <v>10000</v>
      </c>
      <c r="AU3271" s="6">
        <v>3</v>
      </c>
      <c r="AV3271">
        <v>1104.03</v>
      </c>
      <c r="AW3271">
        <v>1600</v>
      </c>
      <c r="AX3271">
        <v>241.7</v>
      </c>
      <c r="AY3271">
        <v>1600</v>
      </c>
      <c r="AZ3271" s="6">
        <v>5</v>
      </c>
      <c r="BA3271">
        <v>1967.46</v>
      </c>
      <c r="BB3271">
        <v>2666.7</v>
      </c>
      <c r="BC3271">
        <v>1000</v>
      </c>
      <c r="BD3271">
        <v>2666.7</v>
      </c>
      <c r="BE3271" s="6">
        <v>3</v>
      </c>
      <c r="BP3271">
        <v>17758.8</v>
      </c>
      <c r="BQ3271">
        <v>20000</v>
      </c>
      <c r="BR3271">
        <v>5000</v>
      </c>
      <c r="BS3271">
        <v>20000</v>
      </c>
      <c r="BT3271" s="6">
        <v>3</v>
      </c>
      <c r="BU3271">
        <v>40</v>
      </c>
    </row>
    <row r="3272" spans="1:73" x14ac:dyDescent="0.35">
      <c r="A3272" t="s">
        <v>227</v>
      </c>
      <c r="B3272" t="s">
        <v>257</v>
      </c>
      <c r="C3272">
        <v>14321.19</v>
      </c>
      <c r="D3272">
        <v>10000</v>
      </c>
      <c r="E3272">
        <v>607.70000000000005</v>
      </c>
      <c r="F3272">
        <v>75000</v>
      </c>
      <c r="G3272" s="6">
        <v>160</v>
      </c>
      <c r="H3272">
        <v>3900.79</v>
      </c>
      <c r="I3272">
        <v>3500</v>
      </c>
      <c r="J3272">
        <v>500</v>
      </c>
      <c r="K3272">
        <v>8333.2999999999993</v>
      </c>
      <c r="L3272" s="6">
        <v>31</v>
      </c>
      <c r="M3272">
        <v>13150.85</v>
      </c>
      <c r="N3272">
        <v>30000</v>
      </c>
      <c r="O3272">
        <v>3000</v>
      </c>
      <c r="P3272">
        <v>30000</v>
      </c>
      <c r="Q3272" s="6">
        <v>7</v>
      </c>
      <c r="R3272">
        <v>730.75</v>
      </c>
      <c r="S3272">
        <v>500</v>
      </c>
      <c r="T3272">
        <v>300</v>
      </c>
      <c r="U3272">
        <v>8000</v>
      </c>
      <c r="V3272" s="6">
        <v>5</v>
      </c>
      <c r="W3272">
        <v>1914.19</v>
      </c>
      <c r="X3272">
        <v>2000</v>
      </c>
      <c r="Y3272">
        <v>400</v>
      </c>
      <c r="Z3272">
        <v>5000</v>
      </c>
      <c r="AA3272" s="6">
        <v>188</v>
      </c>
      <c r="AB3272">
        <v>4704.24</v>
      </c>
      <c r="AC3272">
        <v>4500</v>
      </c>
      <c r="AD3272">
        <v>571.4</v>
      </c>
      <c r="AE3272">
        <v>27000</v>
      </c>
      <c r="AF3272" s="6">
        <v>175</v>
      </c>
      <c r="AG3272">
        <v>1900.66</v>
      </c>
      <c r="AH3272">
        <v>1566.7</v>
      </c>
      <c r="AI3272">
        <v>160</v>
      </c>
      <c r="AJ3272">
        <v>8000</v>
      </c>
      <c r="AK3272" s="6">
        <v>67</v>
      </c>
      <c r="AL3272">
        <v>6226.33</v>
      </c>
      <c r="AM3272">
        <v>8000</v>
      </c>
      <c r="AN3272">
        <v>2500</v>
      </c>
      <c r="AO3272">
        <v>8000</v>
      </c>
      <c r="AP3272" s="6">
        <v>4</v>
      </c>
      <c r="AQ3272">
        <v>6816.69</v>
      </c>
      <c r="AR3272">
        <v>2500</v>
      </c>
      <c r="AS3272">
        <v>666.7</v>
      </c>
      <c r="AT3272">
        <v>20000</v>
      </c>
      <c r="AU3272" s="6">
        <v>16</v>
      </c>
      <c r="AV3272">
        <v>1360.01</v>
      </c>
      <c r="AW3272">
        <v>1200</v>
      </c>
      <c r="AX3272">
        <v>480</v>
      </c>
      <c r="AY3272">
        <v>2000</v>
      </c>
      <c r="AZ3272" s="6">
        <v>5</v>
      </c>
      <c r="BA3272">
        <v>2986.79</v>
      </c>
      <c r="BB3272">
        <v>2500</v>
      </c>
      <c r="BC3272">
        <v>100</v>
      </c>
      <c r="BD3272">
        <v>10000</v>
      </c>
      <c r="BE3272" s="6">
        <v>29</v>
      </c>
      <c r="BP3272">
        <v>4990.8999999999996</v>
      </c>
      <c r="BQ3272">
        <v>7500</v>
      </c>
      <c r="BR3272">
        <v>256</v>
      </c>
      <c r="BS3272">
        <v>7500</v>
      </c>
      <c r="BT3272" s="6">
        <v>9</v>
      </c>
      <c r="BU3272">
        <v>188</v>
      </c>
    </row>
    <row r="3273" spans="1:73" x14ac:dyDescent="0.35">
      <c r="A3273" t="s">
        <v>227</v>
      </c>
      <c r="B3273" t="s">
        <v>256</v>
      </c>
      <c r="C3273">
        <v>11851.84</v>
      </c>
      <c r="D3273">
        <v>9000</v>
      </c>
      <c r="E3273">
        <v>500</v>
      </c>
      <c r="F3273">
        <v>150000</v>
      </c>
      <c r="G3273" s="6">
        <v>821</v>
      </c>
      <c r="H3273">
        <v>5132.4399999999996</v>
      </c>
      <c r="I3273">
        <v>3333.3</v>
      </c>
      <c r="J3273">
        <v>100</v>
      </c>
      <c r="K3273">
        <v>39000</v>
      </c>
      <c r="L3273" s="6">
        <v>151</v>
      </c>
      <c r="M3273">
        <v>19674.34</v>
      </c>
      <c r="N3273">
        <v>10000</v>
      </c>
      <c r="O3273">
        <v>250</v>
      </c>
      <c r="P3273">
        <v>150000</v>
      </c>
      <c r="Q3273" s="6">
        <v>63</v>
      </c>
      <c r="R3273">
        <v>2705.34</v>
      </c>
      <c r="S3273">
        <v>1666.7</v>
      </c>
      <c r="T3273">
        <v>100</v>
      </c>
      <c r="U3273">
        <v>35000</v>
      </c>
      <c r="V3273" s="6">
        <v>73</v>
      </c>
      <c r="W3273">
        <v>2049.52</v>
      </c>
      <c r="X3273">
        <v>2333.3000000000002</v>
      </c>
      <c r="Y3273">
        <v>500</v>
      </c>
      <c r="Z3273">
        <v>3000</v>
      </c>
      <c r="AA3273" s="6">
        <v>25</v>
      </c>
      <c r="AB3273">
        <v>4218.01</v>
      </c>
      <c r="AC3273">
        <v>3900</v>
      </c>
      <c r="AD3273">
        <v>428.6</v>
      </c>
      <c r="AE3273">
        <v>30000</v>
      </c>
      <c r="AF3273" s="6">
        <v>811</v>
      </c>
      <c r="AG3273">
        <v>2257.52</v>
      </c>
      <c r="AH3273">
        <v>1260</v>
      </c>
      <c r="AI3273">
        <v>106.7</v>
      </c>
      <c r="AJ3273">
        <v>20000</v>
      </c>
      <c r="AK3273" s="6">
        <v>242</v>
      </c>
      <c r="AL3273">
        <v>6169.52</v>
      </c>
      <c r="AM3273">
        <v>1900</v>
      </c>
      <c r="AN3273">
        <v>100</v>
      </c>
      <c r="AO3273">
        <v>25000</v>
      </c>
      <c r="AP3273" s="6">
        <v>16</v>
      </c>
      <c r="AQ3273">
        <v>5421.2</v>
      </c>
      <c r="AR3273">
        <v>4000</v>
      </c>
      <c r="AS3273">
        <v>233.3</v>
      </c>
      <c r="AT3273">
        <v>30000</v>
      </c>
      <c r="AU3273" s="6">
        <v>53</v>
      </c>
      <c r="AV3273">
        <v>1017.35</v>
      </c>
      <c r="AW3273">
        <v>1200</v>
      </c>
      <c r="AX3273">
        <v>383.3</v>
      </c>
      <c r="AY3273">
        <v>1500</v>
      </c>
      <c r="AZ3273" s="6">
        <v>28</v>
      </c>
      <c r="BA3273">
        <v>4372.51</v>
      </c>
      <c r="BB3273">
        <v>2500</v>
      </c>
      <c r="BC3273">
        <v>75</v>
      </c>
      <c r="BD3273">
        <v>26000</v>
      </c>
      <c r="BE3273" s="6">
        <v>125</v>
      </c>
      <c r="BF3273">
        <v>3611.47</v>
      </c>
      <c r="BG3273">
        <v>4000</v>
      </c>
      <c r="BH3273">
        <v>1000</v>
      </c>
      <c r="BI3273">
        <v>4000</v>
      </c>
      <c r="BJ3273" s="6">
        <v>2</v>
      </c>
      <c r="BK3273">
        <v>12102.89</v>
      </c>
      <c r="BL3273">
        <v>500</v>
      </c>
      <c r="BM3273">
        <v>500</v>
      </c>
      <c r="BN3273">
        <v>75000</v>
      </c>
      <c r="BO3273" s="6">
        <v>10</v>
      </c>
      <c r="BP3273">
        <v>3268.76</v>
      </c>
      <c r="BQ3273">
        <v>2500</v>
      </c>
      <c r="BR3273">
        <v>125</v>
      </c>
      <c r="BS3273">
        <v>40000</v>
      </c>
      <c r="BT3273" s="6">
        <v>52</v>
      </c>
      <c r="BU3273">
        <v>821</v>
      </c>
    </row>
    <row r="3274" spans="1:73" x14ac:dyDescent="0.35">
      <c r="A3274" s="3" t="s">
        <v>227</v>
      </c>
      <c r="B3274" s="3" t="s">
        <v>232</v>
      </c>
      <c r="C3274" s="5">
        <v>9080.89</v>
      </c>
      <c r="D3274" s="5">
        <v>11000</v>
      </c>
      <c r="E3274" s="5">
        <v>2050</v>
      </c>
      <c r="F3274" s="5">
        <v>11000</v>
      </c>
      <c r="G3274" s="5">
        <v>3</v>
      </c>
      <c r="H3274" s="5"/>
      <c r="I3274" s="5"/>
      <c r="J3274" s="5"/>
      <c r="K3274" s="5"/>
      <c r="L3274" s="5"/>
      <c r="M3274" s="5"/>
      <c r="N3274" s="5"/>
      <c r="O3274" s="5"/>
      <c r="P3274" s="5"/>
      <c r="Q3274" s="5"/>
      <c r="R3274" s="5">
        <v>1000</v>
      </c>
      <c r="S3274" s="5">
        <v>1000</v>
      </c>
      <c r="T3274" s="5">
        <v>1000</v>
      </c>
      <c r="U3274" s="5">
        <v>1000</v>
      </c>
      <c r="V3274" s="5">
        <v>1</v>
      </c>
      <c r="W3274" s="5">
        <v>2000</v>
      </c>
      <c r="X3274" s="5">
        <v>2000</v>
      </c>
      <c r="Y3274" s="5">
        <v>2000</v>
      </c>
      <c r="Z3274" s="5">
        <v>2000</v>
      </c>
      <c r="AA3274" s="5">
        <v>1</v>
      </c>
      <c r="AB3274" s="5">
        <v>3226.22</v>
      </c>
      <c r="AC3274" s="5">
        <v>3000</v>
      </c>
      <c r="AD3274" s="5">
        <v>3000</v>
      </c>
      <c r="AE3274" s="5">
        <v>6500</v>
      </c>
      <c r="AF3274" s="5">
        <v>3</v>
      </c>
      <c r="AG3274" s="5">
        <v>1536.45</v>
      </c>
      <c r="AH3274" s="5">
        <v>1500</v>
      </c>
      <c r="AI3274" s="5">
        <v>1500</v>
      </c>
      <c r="AJ3274" s="5">
        <v>1661.5</v>
      </c>
      <c r="AK3274" s="5">
        <v>2</v>
      </c>
      <c r="AL3274" s="5"/>
      <c r="AM3274" s="5"/>
      <c r="AN3274" s="5"/>
      <c r="AO3274" s="5"/>
      <c r="AP3274" s="5"/>
      <c r="AQ3274" s="5"/>
      <c r="AR3274" s="5"/>
      <c r="AS3274" s="5"/>
      <c r="AT3274" s="5"/>
      <c r="AU3274" s="5"/>
      <c r="AV3274" s="5"/>
      <c r="AW3274" s="5"/>
      <c r="AX3274" s="5"/>
      <c r="AY3274" s="5"/>
      <c r="AZ3274" s="5"/>
      <c r="BA3274" s="5">
        <v>6000</v>
      </c>
      <c r="BB3274" s="5">
        <v>6000</v>
      </c>
      <c r="BC3274" s="5">
        <v>6000</v>
      </c>
      <c r="BD3274" s="5">
        <v>6000</v>
      </c>
      <c r="BE3274" s="5">
        <v>1</v>
      </c>
      <c r="BF3274" s="5"/>
      <c r="BG3274" s="5"/>
      <c r="BH3274" s="5"/>
      <c r="BI3274" s="5"/>
      <c r="BJ3274" s="5"/>
      <c r="BK3274" s="5"/>
      <c r="BL3274" s="5"/>
      <c r="BM3274" s="5"/>
      <c r="BN3274" s="5"/>
      <c r="BO3274" s="5"/>
      <c r="BP3274" s="5">
        <v>3840.98</v>
      </c>
      <c r="BQ3274" s="5">
        <v>4000</v>
      </c>
      <c r="BR3274" s="5">
        <v>1661.5</v>
      </c>
      <c r="BS3274" s="5">
        <v>4000</v>
      </c>
      <c r="BT3274" s="5">
        <v>2</v>
      </c>
      <c r="BU3274" s="5">
        <v>3</v>
      </c>
    </row>
    <row r="3275" spans="1:73" x14ac:dyDescent="0.35">
      <c r="A3275" t="s">
        <v>227</v>
      </c>
      <c r="B3275" t="s">
        <v>258</v>
      </c>
      <c r="C3275">
        <v>15732.26</v>
      </c>
      <c r="D3275">
        <v>12500</v>
      </c>
      <c r="E3275">
        <v>1000</v>
      </c>
      <c r="F3275">
        <v>100000</v>
      </c>
      <c r="G3275" s="6">
        <v>260</v>
      </c>
      <c r="H3275">
        <v>11563.2</v>
      </c>
      <c r="I3275">
        <v>5000</v>
      </c>
      <c r="J3275">
        <v>16.7</v>
      </c>
      <c r="K3275">
        <v>66666.7</v>
      </c>
      <c r="L3275" s="6">
        <v>54</v>
      </c>
      <c r="M3275">
        <v>14302.22</v>
      </c>
      <c r="N3275">
        <v>15000</v>
      </c>
      <c r="O3275">
        <v>666.7</v>
      </c>
      <c r="P3275">
        <v>125000</v>
      </c>
      <c r="Q3275" s="6">
        <v>36</v>
      </c>
      <c r="R3275">
        <v>4245.7</v>
      </c>
      <c r="S3275">
        <v>6000</v>
      </c>
      <c r="T3275">
        <v>500</v>
      </c>
      <c r="U3275">
        <v>20000</v>
      </c>
      <c r="V3275" s="6">
        <v>12</v>
      </c>
      <c r="W3275">
        <v>1830.49</v>
      </c>
      <c r="X3275">
        <v>2000</v>
      </c>
      <c r="Y3275">
        <v>400</v>
      </c>
      <c r="Z3275">
        <v>5000</v>
      </c>
      <c r="AA3275" s="6">
        <v>40</v>
      </c>
      <c r="AB3275">
        <v>4255.0600000000004</v>
      </c>
      <c r="AC3275">
        <v>3250</v>
      </c>
      <c r="AD3275">
        <v>500</v>
      </c>
      <c r="AE3275">
        <v>16000</v>
      </c>
      <c r="AF3275" s="6">
        <v>165</v>
      </c>
      <c r="AG3275">
        <v>1607.15</v>
      </c>
      <c r="AH3275">
        <v>1250</v>
      </c>
      <c r="AI3275">
        <v>172</v>
      </c>
      <c r="AJ3275">
        <v>7000</v>
      </c>
      <c r="AK3275" s="6">
        <v>81</v>
      </c>
      <c r="AL3275">
        <v>6549.22</v>
      </c>
      <c r="AM3275">
        <v>10000</v>
      </c>
      <c r="AN3275">
        <v>500</v>
      </c>
      <c r="AO3275">
        <v>15000</v>
      </c>
      <c r="AP3275" s="6">
        <v>9</v>
      </c>
      <c r="AQ3275">
        <v>2798.1</v>
      </c>
      <c r="AR3275">
        <v>2500</v>
      </c>
      <c r="AS3275">
        <v>1000</v>
      </c>
      <c r="AT3275">
        <v>10000</v>
      </c>
      <c r="AU3275" s="6">
        <v>20</v>
      </c>
      <c r="AV3275">
        <v>1352.69</v>
      </c>
      <c r="AW3275">
        <v>1200</v>
      </c>
      <c r="AX3275">
        <v>300</v>
      </c>
      <c r="AY3275">
        <v>3300</v>
      </c>
      <c r="AZ3275" s="6">
        <v>14</v>
      </c>
      <c r="BA3275">
        <v>4692.74</v>
      </c>
      <c r="BB3275">
        <v>4000</v>
      </c>
      <c r="BC3275">
        <v>400</v>
      </c>
      <c r="BD3275">
        <v>20000</v>
      </c>
      <c r="BE3275" s="6">
        <v>48</v>
      </c>
      <c r="BF3275">
        <v>666.67</v>
      </c>
      <c r="BG3275">
        <v>666.7</v>
      </c>
      <c r="BH3275">
        <v>666.7</v>
      </c>
      <c r="BI3275">
        <v>666.7</v>
      </c>
      <c r="BJ3275" s="6">
        <v>1</v>
      </c>
      <c r="BK3275">
        <v>2580.35</v>
      </c>
      <c r="BL3275">
        <v>10000</v>
      </c>
      <c r="BM3275">
        <v>666.7</v>
      </c>
      <c r="BN3275">
        <v>10000</v>
      </c>
      <c r="BO3275" s="6">
        <v>4</v>
      </c>
      <c r="BP3275">
        <v>8641.5499999999993</v>
      </c>
      <c r="BQ3275">
        <v>12500</v>
      </c>
      <c r="BR3275">
        <v>100</v>
      </c>
      <c r="BS3275">
        <v>22000</v>
      </c>
      <c r="BT3275" s="6">
        <v>21</v>
      </c>
      <c r="BU3275">
        <v>260</v>
      </c>
    </row>
    <row r="3276" spans="1:73" x14ac:dyDescent="0.35">
      <c r="A3276" t="s">
        <v>228</v>
      </c>
      <c r="B3276" t="s">
        <v>228</v>
      </c>
      <c r="C3276">
        <v>12841.11</v>
      </c>
      <c r="D3276">
        <v>10000</v>
      </c>
      <c r="E3276">
        <v>333.3</v>
      </c>
      <c r="F3276">
        <v>150000</v>
      </c>
      <c r="G3276" s="6">
        <v>1271</v>
      </c>
      <c r="H3276">
        <v>6272.64</v>
      </c>
      <c r="I3276">
        <v>3333.3</v>
      </c>
      <c r="J3276">
        <v>16.7</v>
      </c>
      <c r="K3276">
        <v>66666.7</v>
      </c>
      <c r="L3276" s="6">
        <v>241</v>
      </c>
      <c r="M3276">
        <v>17578.79</v>
      </c>
      <c r="N3276">
        <v>10000</v>
      </c>
      <c r="O3276">
        <v>250</v>
      </c>
      <c r="P3276">
        <v>150000</v>
      </c>
      <c r="Q3276" s="6">
        <v>109</v>
      </c>
      <c r="R3276">
        <v>2698.25</v>
      </c>
      <c r="S3276">
        <v>1750</v>
      </c>
      <c r="T3276">
        <v>100</v>
      </c>
      <c r="U3276">
        <v>35000</v>
      </c>
      <c r="V3276" s="6">
        <v>92</v>
      </c>
      <c r="W3276">
        <v>1917.18</v>
      </c>
      <c r="X3276">
        <v>2000</v>
      </c>
      <c r="Y3276">
        <v>400</v>
      </c>
      <c r="Z3276">
        <v>5000</v>
      </c>
      <c r="AA3276" s="6">
        <v>264</v>
      </c>
      <c r="AB3276">
        <v>4296.82</v>
      </c>
      <c r="AC3276">
        <v>4000</v>
      </c>
      <c r="AD3276">
        <v>428.6</v>
      </c>
      <c r="AE3276">
        <v>30000</v>
      </c>
      <c r="AF3276" s="6">
        <v>1194</v>
      </c>
      <c r="AG3276">
        <v>2115.1799999999998</v>
      </c>
      <c r="AH3276">
        <v>1400</v>
      </c>
      <c r="AI3276">
        <v>106.7</v>
      </c>
      <c r="AJ3276">
        <v>20000</v>
      </c>
      <c r="AK3276" s="6">
        <v>404</v>
      </c>
      <c r="AL3276">
        <v>5888.89</v>
      </c>
      <c r="AM3276">
        <v>4000</v>
      </c>
      <c r="AN3276">
        <v>100</v>
      </c>
      <c r="AO3276">
        <v>25000</v>
      </c>
      <c r="AP3276" s="6">
        <v>32</v>
      </c>
      <c r="AQ3276">
        <v>5244.2</v>
      </c>
      <c r="AR3276">
        <v>3333.3</v>
      </c>
      <c r="AS3276">
        <v>233.3</v>
      </c>
      <c r="AT3276">
        <v>30000</v>
      </c>
      <c r="AU3276" s="6">
        <v>92</v>
      </c>
      <c r="AV3276">
        <v>1217.7</v>
      </c>
      <c r="AW3276">
        <v>1200</v>
      </c>
      <c r="AX3276">
        <v>241.7</v>
      </c>
      <c r="AY3276">
        <v>3300</v>
      </c>
      <c r="AZ3276" s="6">
        <v>52</v>
      </c>
      <c r="BA3276">
        <v>4143.3599999999997</v>
      </c>
      <c r="BB3276">
        <v>2500</v>
      </c>
      <c r="BC3276">
        <v>75</v>
      </c>
      <c r="BD3276">
        <v>26000</v>
      </c>
      <c r="BE3276" s="6">
        <v>206</v>
      </c>
      <c r="BF3276">
        <v>2109.21</v>
      </c>
      <c r="BG3276">
        <v>1000</v>
      </c>
      <c r="BH3276">
        <v>666.7</v>
      </c>
      <c r="BI3276">
        <v>4000</v>
      </c>
      <c r="BJ3276" s="6">
        <v>3</v>
      </c>
      <c r="BK3276">
        <v>9971.93</v>
      </c>
      <c r="BL3276">
        <v>666.7</v>
      </c>
      <c r="BM3276">
        <v>500</v>
      </c>
      <c r="BN3276">
        <v>75000</v>
      </c>
      <c r="BO3276" s="6">
        <v>14</v>
      </c>
      <c r="BP3276">
        <v>5190.95</v>
      </c>
      <c r="BQ3276">
        <v>3000</v>
      </c>
      <c r="BR3276">
        <v>100</v>
      </c>
      <c r="BS3276">
        <v>40000</v>
      </c>
      <c r="BT3276" s="6">
        <v>87</v>
      </c>
      <c r="BU3276">
        <v>1271</v>
      </c>
    </row>
    <row r="3278" spans="1:73" x14ac:dyDescent="0.35">
      <c r="A3278" s="1" t="s">
        <v>1175</v>
      </c>
    </row>
    <row r="3279" spans="1:73" x14ac:dyDescent="0.35">
      <c r="A3279" t="s">
        <v>219</v>
      </c>
      <c r="B3279" t="s">
        <v>301</v>
      </c>
      <c r="C3279" t="s">
        <v>1098</v>
      </c>
      <c r="D3279" t="s">
        <v>1099</v>
      </c>
      <c r="E3279" t="s">
        <v>1100</v>
      </c>
      <c r="F3279" t="s">
        <v>1101</v>
      </c>
      <c r="G3279" t="s">
        <v>1102</v>
      </c>
      <c r="H3279" t="s">
        <v>1103</v>
      </c>
      <c r="I3279" t="s">
        <v>1104</v>
      </c>
      <c r="J3279" t="s">
        <v>1105</v>
      </c>
      <c r="K3279" t="s">
        <v>1106</v>
      </c>
      <c r="L3279" t="s">
        <v>1107</v>
      </c>
      <c r="M3279" t="s">
        <v>1108</v>
      </c>
      <c r="N3279" t="s">
        <v>1109</v>
      </c>
      <c r="O3279" t="s">
        <v>1110</v>
      </c>
      <c r="P3279" t="s">
        <v>1111</v>
      </c>
      <c r="Q3279" t="s">
        <v>1112</v>
      </c>
      <c r="R3279" t="s">
        <v>1113</v>
      </c>
      <c r="S3279" t="s">
        <v>1114</v>
      </c>
      <c r="T3279" t="s">
        <v>1115</v>
      </c>
      <c r="U3279" t="s">
        <v>1116</v>
      </c>
      <c r="V3279" t="s">
        <v>1117</v>
      </c>
      <c r="W3279" t="s">
        <v>1118</v>
      </c>
      <c r="X3279" t="s">
        <v>1119</v>
      </c>
      <c r="Y3279" t="s">
        <v>1120</v>
      </c>
      <c r="Z3279" t="s">
        <v>1121</v>
      </c>
      <c r="AA3279" t="s">
        <v>1122</v>
      </c>
      <c r="AB3279" t="s">
        <v>1123</v>
      </c>
      <c r="AC3279" t="s">
        <v>1124</v>
      </c>
      <c r="AD3279" t="s">
        <v>1125</v>
      </c>
      <c r="AE3279" t="s">
        <v>1126</v>
      </c>
      <c r="AF3279" t="s">
        <v>1127</v>
      </c>
      <c r="AG3279" t="s">
        <v>1128</v>
      </c>
      <c r="AH3279" t="s">
        <v>1129</v>
      </c>
      <c r="AI3279" t="s">
        <v>1130</v>
      </c>
      <c r="AJ3279" t="s">
        <v>1131</v>
      </c>
      <c r="AK3279" t="s">
        <v>1132</v>
      </c>
      <c r="AL3279" t="s">
        <v>1133</v>
      </c>
      <c r="AM3279" t="s">
        <v>1134</v>
      </c>
      <c r="AN3279" t="s">
        <v>1135</v>
      </c>
      <c r="AO3279" t="s">
        <v>1136</v>
      </c>
      <c r="AP3279" t="s">
        <v>1137</v>
      </c>
      <c r="AQ3279" t="s">
        <v>1138</v>
      </c>
      <c r="AR3279" t="s">
        <v>1139</v>
      </c>
      <c r="AS3279" t="s">
        <v>1140</v>
      </c>
      <c r="AT3279" t="s">
        <v>1141</v>
      </c>
      <c r="AU3279" t="s">
        <v>1142</v>
      </c>
      <c r="AV3279" t="s">
        <v>1143</v>
      </c>
      <c r="AW3279" t="s">
        <v>1144</v>
      </c>
      <c r="AX3279" t="s">
        <v>1145</v>
      </c>
      <c r="AY3279" t="s">
        <v>1146</v>
      </c>
      <c r="AZ3279" t="s">
        <v>1147</v>
      </c>
      <c r="BA3279" t="s">
        <v>1148</v>
      </c>
      <c r="BB3279" t="s">
        <v>1149</v>
      </c>
      <c r="BC3279" t="s">
        <v>1150</v>
      </c>
      <c r="BD3279" t="s">
        <v>1151</v>
      </c>
      <c r="BE3279" t="s">
        <v>1152</v>
      </c>
      <c r="BF3279" t="s">
        <v>1153</v>
      </c>
      <c r="BG3279" t="s">
        <v>1154</v>
      </c>
      <c r="BH3279" t="s">
        <v>1155</v>
      </c>
      <c r="BI3279" t="s">
        <v>1156</v>
      </c>
      <c r="BJ3279" t="s">
        <v>1157</v>
      </c>
      <c r="BK3279" t="s">
        <v>1158</v>
      </c>
      <c r="BL3279" t="s">
        <v>1159</v>
      </c>
      <c r="BM3279" t="s">
        <v>1160</v>
      </c>
      <c r="BN3279" t="s">
        <v>1161</v>
      </c>
      <c r="BO3279" t="s">
        <v>1162</v>
      </c>
      <c r="BP3279" t="s">
        <v>1163</v>
      </c>
      <c r="BQ3279" t="s">
        <v>1164</v>
      </c>
      <c r="BR3279" t="s">
        <v>1165</v>
      </c>
      <c r="BS3279" t="s">
        <v>1166</v>
      </c>
      <c r="BT3279" t="s">
        <v>1167</v>
      </c>
      <c r="BU3279" t="s">
        <v>957</v>
      </c>
    </row>
    <row r="3280" spans="1:73" x14ac:dyDescent="0.35">
      <c r="A3280" t="s">
        <v>227</v>
      </c>
      <c r="B3280" t="s">
        <v>343</v>
      </c>
      <c r="C3280">
        <v>14321.19</v>
      </c>
      <c r="D3280">
        <v>10000</v>
      </c>
      <c r="E3280">
        <v>607.70000000000005</v>
      </c>
      <c r="F3280">
        <v>75000</v>
      </c>
      <c r="G3280" s="6">
        <v>160</v>
      </c>
      <c r="H3280">
        <v>3900.79</v>
      </c>
      <c r="I3280">
        <v>3500</v>
      </c>
      <c r="J3280">
        <v>500</v>
      </c>
      <c r="K3280">
        <v>8333.2999999999993</v>
      </c>
      <c r="L3280" s="6">
        <v>31</v>
      </c>
      <c r="M3280">
        <v>13150.85</v>
      </c>
      <c r="N3280">
        <v>30000</v>
      </c>
      <c r="O3280">
        <v>3000</v>
      </c>
      <c r="P3280">
        <v>30000</v>
      </c>
      <c r="Q3280" s="6">
        <v>7</v>
      </c>
      <c r="R3280">
        <v>730.75</v>
      </c>
      <c r="S3280">
        <v>500</v>
      </c>
      <c r="T3280">
        <v>300</v>
      </c>
      <c r="U3280">
        <v>8000</v>
      </c>
      <c r="V3280" s="6">
        <v>5</v>
      </c>
      <c r="W3280">
        <v>1914.19</v>
      </c>
      <c r="X3280">
        <v>2000</v>
      </c>
      <c r="Y3280">
        <v>400</v>
      </c>
      <c r="Z3280">
        <v>5000</v>
      </c>
      <c r="AA3280" s="6">
        <v>188</v>
      </c>
      <c r="AB3280">
        <v>4704.24</v>
      </c>
      <c r="AC3280">
        <v>4500</v>
      </c>
      <c r="AD3280">
        <v>571.4</v>
      </c>
      <c r="AE3280">
        <v>27000</v>
      </c>
      <c r="AF3280" s="6">
        <v>175</v>
      </c>
      <c r="AG3280">
        <v>1900.66</v>
      </c>
      <c r="AH3280">
        <v>1566.7</v>
      </c>
      <c r="AI3280">
        <v>160</v>
      </c>
      <c r="AJ3280">
        <v>8000</v>
      </c>
      <c r="AK3280" s="6">
        <v>67</v>
      </c>
      <c r="AL3280">
        <v>6226.33</v>
      </c>
      <c r="AM3280">
        <v>8000</v>
      </c>
      <c r="AN3280">
        <v>2500</v>
      </c>
      <c r="AO3280">
        <v>8000</v>
      </c>
      <c r="AP3280" s="6">
        <v>4</v>
      </c>
      <c r="AQ3280">
        <v>6816.69</v>
      </c>
      <c r="AR3280">
        <v>2500</v>
      </c>
      <c r="AS3280">
        <v>666.7</v>
      </c>
      <c r="AT3280">
        <v>20000</v>
      </c>
      <c r="AU3280" s="6">
        <v>16</v>
      </c>
      <c r="AV3280">
        <v>1360.01</v>
      </c>
      <c r="AW3280">
        <v>1200</v>
      </c>
      <c r="AX3280">
        <v>480</v>
      </c>
      <c r="AY3280">
        <v>2000</v>
      </c>
      <c r="AZ3280" s="6">
        <v>5</v>
      </c>
      <c r="BA3280">
        <v>2986.79</v>
      </c>
      <c r="BB3280">
        <v>2500</v>
      </c>
      <c r="BC3280">
        <v>100</v>
      </c>
      <c r="BD3280">
        <v>10000</v>
      </c>
      <c r="BE3280" s="6">
        <v>29</v>
      </c>
      <c r="BP3280">
        <v>4990.8999999999996</v>
      </c>
      <c r="BQ3280">
        <v>7500</v>
      </c>
      <c r="BR3280">
        <v>256</v>
      </c>
      <c r="BS3280">
        <v>7500</v>
      </c>
      <c r="BT3280" s="6">
        <v>9</v>
      </c>
      <c r="BU3280">
        <v>188</v>
      </c>
    </row>
    <row r="3281" spans="1:73" x14ac:dyDescent="0.35">
      <c r="A3281" t="s">
        <v>227</v>
      </c>
      <c r="B3281" t="s">
        <v>344</v>
      </c>
      <c r="C3281">
        <v>12616.23</v>
      </c>
      <c r="D3281">
        <v>10000</v>
      </c>
      <c r="E3281">
        <v>333.3</v>
      </c>
      <c r="F3281">
        <v>150000</v>
      </c>
      <c r="G3281" s="6">
        <v>1111</v>
      </c>
      <c r="H3281">
        <v>6592.77</v>
      </c>
      <c r="I3281">
        <v>3333.3</v>
      </c>
      <c r="J3281">
        <v>16.7</v>
      </c>
      <c r="K3281">
        <v>66666.7</v>
      </c>
      <c r="L3281" s="6">
        <v>210</v>
      </c>
      <c r="M3281">
        <v>17963.439999999999</v>
      </c>
      <c r="N3281">
        <v>10000</v>
      </c>
      <c r="O3281">
        <v>250</v>
      </c>
      <c r="P3281">
        <v>150000</v>
      </c>
      <c r="Q3281" s="6">
        <v>102</v>
      </c>
      <c r="R3281">
        <v>2790.15</v>
      </c>
      <c r="S3281">
        <v>2000</v>
      </c>
      <c r="T3281">
        <v>100</v>
      </c>
      <c r="U3281">
        <v>35000</v>
      </c>
      <c r="V3281" s="6">
        <v>87</v>
      </c>
      <c r="W3281">
        <v>1938.94</v>
      </c>
      <c r="X3281">
        <v>2000</v>
      </c>
      <c r="Y3281">
        <v>400</v>
      </c>
      <c r="Z3281">
        <v>5000</v>
      </c>
      <c r="AA3281" s="6">
        <v>76</v>
      </c>
      <c r="AB3281">
        <v>4212.1000000000004</v>
      </c>
      <c r="AC3281">
        <v>3700</v>
      </c>
      <c r="AD3281">
        <v>428.6</v>
      </c>
      <c r="AE3281">
        <v>30000</v>
      </c>
      <c r="AF3281" s="6">
        <v>1019</v>
      </c>
      <c r="AG3281">
        <v>2158.67</v>
      </c>
      <c r="AH3281">
        <v>1250</v>
      </c>
      <c r="AI3281">
        <v>106.7</v>
      </c>
      <c r="AJ3281">
        <v>20000</v>
      </c>
      <c r="AK3281" s="6">
        <v>337</v>
      </c>
      <c r="AL3281">
        <v>5797.65</v>
      </c>
      <c r="AM3281">
        <v>1900</v>
      </c>
      <c r="AN3281">
        <v>100</v>
      </c>
      <c r="AO3281">
        <v>25000</v>
      </c>
      <c r="AP3281" s="6">
        <v>28</v>
      </c>
      <c r="AQ3281">
        <v>4954.7299999999996</v>
      </c>
      <c r="AR3281">
        <v>4000</v>
      </c>
      <c r="AS3281">
        <v>233.3</v>
      </c>
      <c r="AT3281">
        <v>30000</v>
      </c>
      <c r="AU3281" s="6">
        <v>76</v>
      </c>
      <c r="AV3281">
        <v>1175.5</v>
      </c>
      <c r="AW3281">
        <v>1200</v>
      </c>
      <c r="AX3281">
        <v>241.7</v>
      </c>
      <c r="AY3281">
        <v>3300</v>
      </c>
      <c r="AZ3281" s="6">
        <v>47</v>
      </c>
      <c r="BA3281">
        <v>4345.3599999999997</v>
      </c>
      <c r="BB3281">
        <v>3000</v>
      </c>
      <c r="BC3281">
        <v>75</v>
      </c>
      <c r="BD3281">
        <v>26000</v>
      </c>
      <c r="BE3281" s="6">
        <v>177</v>
      </c>
      <c r="BF3281">
        <v>2109.21</v>
      </c>
      <c r="BG3281">
        <v>1000</v>
      </c>
      <c r="BH3281">
        <v>666.7</v>
      </c>
      <c r="BI3281">
        <v>4000</v>
      </c>
      <c r="BJ3281" s="6">
        <v>3</v>
      </c>
      <c r="BK3281">
        <v>9971.93</v>
      </c>
      <c r="BL3281">
        <v>666.7</v>
      </c>
      <c r="BM3281">
        <v>500</v>
      </c>
      <c r="BN3281">
        <v>75000</v>
      </c>
      <c r="BO3281" s="6">
        <v>14</v>
      </c>
      <c r="BP3281">
        <v>5205.53</v>
      </c>
      <c r="BQ3281">
        <v>3000</v>
      </c>
      <c r="BR3281">
        <v>100</v>
      </c>
      <c r="BS3281">
        <v>40000</v>
      </c>
      <c r="BT3281" s="6">
        <v>78</v>
      </c>
      <c r="BU3281">
        <v>1111</v>
      </c>
    </row>
    <row r="3282" spans="1:73" x14ac:dyDescent="0.35">
      <c r="A3282" t="s">
        <v>228</v>
      </c>
      <c r="B3282" t="s">
        <v>228</v>
      </c>
      <c r="C3282">
        <v>12841.11</v>
      </c>
      <c r="D3282">
        <v>10000</v>
      </c>
      <c r="E3282">
        <v>333.3</v>
      </c>
      <c r="F3282">
        <v>150000</v>
      </c>
      <c r="G3282" s="6">
        <v>1271</v>
      </c>
      <c r="H3282">
        <v>6272.64</v>
      </c>
      <c r="I3282">
        <v>3333.3</v>
      </c>
      <c r="J3282">
        <v>16.7</v>
      </c>
      <c r="K3282">
        <v>66666.7</v>
      </c>
      <c r="L3282" s="6">
        <v>241</v>
      </c>
      <c r="M3282">
        <v>17578.79</v>
      </c>
      <c r="N3282">
        <v>10000</v>
      </c>
      <c r="O3282">
        <v>250</v>
      </c>
      <c r="P3282">
        <v>150000</v>
      </c>
      <c r="Q3282" s="6">
        <v>109</v>
      </c>
      <c r="R3282">
        <v>2698.25</v>
      </c>
      <c r="S3282">
        <v>1750</v>
      </c>
      <c r="T3282">
        <v>100</v>
      </c>
      <c r="U3282">
        <v>35000</v>
      </c>
      <c r="V3282" s="6">
        <v>92</v>
      </c>
      <c r="W3282">
        <v>1917.18</v>
      </c>
      <c r="X3282">
        <v>2000</v>
      </c>
      <c r="Y3282">
        <v>400</v>
      </c>
      <c r="Z3282">
        <v>5000</v>
      </c>
      <c r="AA3282" s="6">
        <v>264</v>
      </c>
      <c r="AB3282">
        <v>4296.82</v>
      </c>
      <c r="AC3282">
        <v>4000</v>
      </c>
      <c r="AD3282">
        <v>428.6</v>
      </c>
      <c r="AE3282">
        <v>30000</v>
      </c>
      <c r="AF3282" s="6">
        <v>1194</v>
      </c>
      <c r="AG3282">
        <v>2115.1799999999998</v>
      </c>
      <c r="AH3282">
        <v>1400</v>
      </c>
      <c r="AI3282">
        <v>106.7</v>
      </c>
      <c r="AJ3282">
        <v>20000</v>
      </c>
      <c r="AK3282" s="6">
        <v>404</v>
      </c>
      <c r="AL3282">
        <v>5888.89</v>
      </c>
      <c r="AM3282">
        <v>4000</v>
      </c>
      <c r="AN3282">
        <v>100</v>
      </c>
      <c r="AO3282">
        <v>25000</v>
      </c>
      <c r="AP3282" s="6">
        <v>32</v>
      </c>
      <c r="AQ3282">
        <v>5244.2</v>
      </c>
      <c r="AR3282">
        <v>3333.3</v>
      </c>
      <c r="AS3282">
        <v>233.3</v>
      </c>
      <c r="AT3282">
        <v>30000</v>
      </c>
      <c r="AU3282" s="6">
        <v>92</v>
      </c>
      <c r="AV3282">
        <v>1217.7</v>
      </c>
      <c r="AW3282">
        <v>1200</v>
      </c>
      <c r="AX3282">
        <v>241.7</v>
      </c>
      <c r="AY3282">
        <v>3300</v>
      </c>
      <c r="AZ3282" s="6">
        <v>52</v>
      </c>
      <c r="BA3282">
        <v>4143.3599999999997</v>
      </c>
      <c r="BB3282">
        <v>2500</v>
      </c>
      <c r="BC3282">
        <v>75</v>
      </c>
      <c r="BD3282">
        <v>26000</v>
      </c>
      <c r="BE3282" s="6">
        <v>206</v>
      </c>
      <c r="BF3282">
        <v>2109.21</v>
      </c>
      <c r="BG3282">
        <v>1000</v>
      </c>
      <c r="BH3282">
        <v>666.7</v>
      </c>
      <c r="BI3282">
        <v>4000</v>
      </c>
      <c r="BJ3282" s="6">
        <v>3</v>
      </c>
      <c r="BK3282">
        <v>9971.93</v>
      </c>
      <c r="BL3282">
        <v>666.7</v>
      </c>
      <c r="BM3282">
        <v>500</v>
      </c>
      <c r="BN3282">
        <v>75000</v>
      </c>
      <c r="BO3282" s="6">
        <v>14</v>
      </c>
      <c r="BP3282">
        <v>5190.95</v>
      </c>
      <c r="BQ3282">
        <v>3000</v>
      </c>
      <c r="BR3282">
        <v>100</v>
      </c>
      <c r="BS3282">
        <v>40000</v>
      </c>
      <c r="BT3282" s="6">
        <v>87</v>
      </c>
      <c r="BU3282">
        <v>1271</v>
      </c>
    </row>
    <row r="3284" spans="1:73" x14ac:dyDescent="0.35">
      <c r="A3284" s="1" t="s">
        <v>1176</v>
      </c>
    </row>
    <row r="3285" spans="1:73" x14ac:dyDescent="0.35">
      <c r="A3285" t="s">
        <v>219</v>
      </c>
      <c r="B3285" t="s">
        <v>301</v>
      </c>
      <c r="C3285" t="s">
        <v>1098</v>
      </c>
      <c r="D3285" t="s">
        <v>1099</v>
      </c>
      <c r="E3285" t="s">
        <v>1100</v>
      </c>
      <c r="F3285" t="s">
        <v>1101</v>
      </c>
      <c r="G3285" t="s">
        <v>1102</v>
      </c>
      <c r="H3285" t="s">
        <v>1103</v>
      </c>
      <c r="I3285" t="s">
        <v>1104</v>
      </c>
      <c r="J3285" t="s">
        <v>1105</v>
      </c>
      <c r="K3285" t="s">
        <v>1106</v>
      </c>
      <c r="L3285" t="s">
        <v>1107</v>
      </c>
      <c r="M3285" t="s">
        <v>1108</v>
      </c>
      <c r="N3285" t="s">
        <v>1109</v>
      </c>
      <c r="O3285" t="s">
        <v>1110</v>
      </c>
      <c r="P3285" t="s">
        <v>1111</v>
      </c>
      <c r="Q3285" t="s">
        <v>1112</v>
      </c>
      <c r="R3285" t="s">
        <v>1113</v>
      </c>
      <c r="S3285" t="s">
        <v>1114</v>
      </c>
      <c r="T3285" t="s">
        <v>1115</v>
      </c>
      <c r="U3285" t="s">
        <v>1116</v>
      </c>
      <c r="V3285" t="s">
        <v>1117</v>
      </c>
      <c r="W3285" t="s">
        <v>1118</v>
      </c>
      <c r="X3285" t="s">
        <v>1119</v>
      </c>
      <c r="Y3285" t="s">
        <v>1120</v>
      </c>
      <c r="Z3285" t="s">
        <v>1121</v>
      </c>
      <c r="AA3285" t="s">
        <v>1122</v>
      </c>
      <c r="AB3285" t="s">
        <v>1123</v>
      </c>
      <c r="AC3285" t="s">
        <v>1124</v>
      </c>
      <c r="AD3285" t="s">
        <v>1125</v>
      </c>
      <c r="AE3285" t="s">
        <v>1126</v>
      </c>
      <c r="AF3285" t="s">
        <v>1127</v>
      </c>
      <c r="AG3285" t="s">
        <v>1128</v>
      </c>
      <c r="AH3285" t="s">
        <v>1129</v>
      </c>
      <c r="AI3285" t="s">
        <v>1130</v>
      </c>
      <c r="AJ3285" t="s">
        <v>1131</v>
      </c>
      <c r="AK3285" t="s">
        <v>1132</v>
      </c>
      <c r="AL3285" t="s">
        <v>1133</v>
      </c>
      <c r="AM3285" t="s">
        <v>1134</v>
      </c>
      <c r="AN3285" t="s">
        <v>1135</v>
      </c>
      <c r="AO3285" t="s">
        <v>1136</v>
      </c>
      <c r="AP3285" t="s">
        <v>1137</v>
      </c>
      <c r="AQ3285" t="s">
        <v>1138</v>
      </c>
      <c r="AR3285" t="s">
        <v>1139</v>
      </c>
      <c r="AS3285" t="s">
        <v>1140</v>
      </c>
      <c r="AT3285" t="s">
        <v>1141</v>
      </c>
      <c r="AU3285" t="s">
        <v>1142</v>
      </c>
      <c r="AV3285" t="s">
        <v>1143</v>
      </c>
      <c r="AW3285" t="s">
        <v>1144</v>
      </c>
      <c r="AX3285" t="s">
        <v>1145</v>
      </c>
      <c r="AY3285" t="s">
        <v>1146</v>
      </c>
      <c r="AZ3285" t="s">
        <v>1147</v>
      </c>
      <c r="BA3285" t="s">
        <v>1148</v>
      </c>
      <c r="BB3285" t="s">
        <v>1149</v>
      </c>
      <c r="BC3285" t="s">
        <v>1150</v>
      </c>
      <c r="BD3285" t="s">
        <v>1151</v>
      </c>
      <c r="BE3285" t="s">
        <v>1152</v>
      </c>
      <c r="BF3285" t="s">
        <v>1153</v>
      </c>
      <c r="BG3285" t="s">
        <v>1154</v>
      </c>
      <c r="BH3285" t="s">
        <v>1155</v>
      </c>
      <c r="BI3285" t="s">
        <v>1156</v>
      </c>
      <c r="BJ3285" t="s">
        <v>1157</v>
      </c>
      <c r="BK3285" t="s">
        <v>1158</v>
      </c>
      <c r="BL3285" t="s">
        <v>1159</v>
      </c>
      <c r="BM3285" t="s">
        <v>1160</v>
      </c>
      <c r="BN3285" t="s">
        <v>1161</v>
      </c>
      <c r="BO3285" t="s">
        <v>1162</v>
      </c>
      <c r="BP3285" t="s">
        <v>1163</v>
      </c>
      <c r="BQ3285" t="s">
        <v>1164</v>
      </c>
      <c r="BR3285" t="s">
        <v>1165</v>
      </c>
      <c r="BS3285" t="s">
        <v>1166</v>
      </c>
      <c r="BT3285" t="s">
        <v>1167</v>
      </c>
      <c r="BU3285" t="s">
        <v>957</v>
      </c>
    </row>
    <row r="3286" spans="1:73" x14ac:dyDescent="0.35">
      <c r="A3286" t="s">
        <v>227</v>
      </c>
      <c r="B3286" t="s">
        <v>346</v>
      </c>
      <c r="C3286">
        <v>12882.57</v>
      </c>
      <c r="D3286">
        <v>10000</v>
      </c>
      <c r="E3286">
        <v>333.3</v>
      </c>
      <c r="F3286">
        <v>100000</v>
      </c>
      <c r="G3286" s="6">
        <v>713</v>
      </c>
      <c r="H3286">
        <v>6366.76</v>
      </c>
      <c r="I3286">
        <v>3333.3</v>
      </c>
      <c r="J3286">
        <v>16.7</v>
      </c>
      <c r="K3286">
        <v>66666.7</v>
      </c>
      <c r="L3286" s="6">
        <v>131</v>
      </c>
      <c r="M3286">
        <v>17545.88</v>
      </c>
      <c r="N3286">
        <v>10000</v>
      </c>
      <c r="O3286">
        <v>250</v>
      </c>
      <c r="P3286">
        <v>150000</v>
      </c>
      <c r="Q3286" s="6">
        <v>64</v>
      </c>
      <c r="R3286">
        <v>2492.5700000000002</v>
      </c>
      <c r="S3286">
        <v>1750</v>
      </c>
      <c r="T3286">
        <v>100</v>
      </c>
      <c r="U3286">
        <v>30000</v>
      </c>
      <c r="V3286" s="6">
        <v>48</v>
      </c>
      <c r="W3286">
        <v>1927.72</v>
      </c>
      <c r="X3286">
        <v>2000</v>
      </c>
      <c r="Y3286">
        <v>400</v>
      </c>
      <c r="Z3286">
        <v>5000</v>
      </c>
      <c r="AA3286" s="6">
        <v>113</v>
      </c>
      <c r="AB3286">
        <v>4300.3100000000004</v>
      </c>
      <c r="AC3286">
        <v>4000</v>
      </c>
      <c r="AD3286">
        <v>460</v>
      </c>
      <c r="AE3286">
        <v>27000</v>
      </c>
      <c r="AF3286" s="6">
        <v>587</v>
      </c>
      <c r="AG3286">
        <v>2169.21</v>
      </c>
      <c r="AH3286">
        <v>1400</v>
      </c>
      <c r="AI3286">
        <v>106.7</v>
      </c>
      <c r="AJ3286">
        <v>20000</v>
      </c>
      <c r="AK3286" s="6">
        <v>212</v>
      </c>
      <c r="AL3286">
        <v>6390.93</v>
      </c>
      <c r="AM3286">
        <v>5000</v>
      </c>
      <c r="AN3286">
        <v>100</v>
      </c>
      <c r="AO3286">
        <v>25000</v>
      </c>
      <c r="AP3286" s="6">
        <v>19</v>
      </c>
      <c r="AQ3286">
        <v>5269.59</v>
      </c>
      <c r="AR3286">
        <v>3333.3</v>
      </c>
      <c r="AS3286">
        <v>233.3</v>
      </c>
      <c r="AT3286">
        <v>25000</v>
      </c>
      <c r="AU3286" s="6">
        <v>51</v>
      </c>
      <c r="AV3286">
        <v>1340.88</v>
      </c>
      <c r="AW3286">
        <v>1200</v>
      </c>
      <c r="AX3286">
        <v>300</v>
      </c>
      <c r="AY3286">
        <v>3300</v>
      </c>
      <c r="AZ3286" s="6">
        <v>22</v>
      </c>
      <c r="BA3286">
        <v>4194.6499999999996</v>
      </c>
      <c r="BB3286">
        <v>3000</v>
      </c>
      <c r="BC3286">
        <v>75</v>
      </c>
      <c r="BD3286">
        <v>26000</v>
      </c>
      <c r="BE3286" s="6">
        <v>113</v>
      </c>
      <c r="BF3286">
        <v>2184.35</v>
      </c>
      <c r="BG3286">
        <v>666.7</v>
      </c>
      <c r="BH3286">
        <v>666.7</v>
      </c>
      <c r="BI3286">
        <v>4000</v>
      </c>
      <c r="BJ3286" s="6">
        <v>2</v>
      </c>
      <c r="BK3286">
        <v>9099.2900000000009</v>
      </c>
      <c r="BL3286">
        <v>666.7</v>
      </c>
      <c r="BM3286">
        <v>500</v>
      </c>
      <c r="BN3286">
        <v>75000</v>
      </c>
      <c r="BO3286" s="6">
        <v>9</v>
      </c>
      <c r="BP3286">
        <v>5030.66</v>
      </c>
      <c r="BQ3286">
        <v>3000</v>
      </c>
      <c r="BR3286">
        <v>100</v>
      </c>
      <c r="BS3286">
        <v>25000</v>
      </c>
      <c r="BT3286" s="6">
        <v>50</v>
      </c>
      <c r="BU3286">
        <v>713</v>
      </c>
    </row>
    <row r="3287" spans="1:73" x14ac:dyDescent="0.35">
      <c r="A3287" t="s">
        <v>227</v>
      </c>
      <c r="B3287" t="s">
        <v>347</v>
      </c>
      <c r="C3287">
        <v>11540.7</v>
      </c>
      <c r="D3287">
        <v>7500</v>
      </c>
      <c r="E3287">
        <v>666.7</v>
      </c>
      <c r="F3287">
        <v>150000</v>
      </c>
      <c r="G3287" s="6">
        <v>215</v>
      </c>
      <c r="H3287">
        <v>4794.3900000000003</v>
      </c>
      <c r="I3287">
        <v>3333.3</v>
      </c>
      <c r="J3287">
        <v>100</v>
      </c>
      <c r="K3287">
        <v>21000</v>
      </c>
      <c r="L3287" s="6">
        <v>49</v>
      </c>
      <c r="M3287">
        <v>12986.92</v>
      </c>
      <c r="N3287">
        <v>15000</v>
      </c>
      <c r="O3287">
        <v>2000</v>
      </c>
      <c r="P3287">
        <v>30000</v>
      </c>
      <c r="Q3287" s="6">
        <v>12</v>
      </c>
      <c r="R3287">
        <v>4508.2</v>
      </c>
      <c r="S3287">
        <v>3000</v>
      </c>
      <c r="T3287">
        <v>100</v>
      </c>
      <c r="U3287">
        <v>30000</v>
      </c>
      <c r="V3287" s="6">
        <v>23</v>
      </c>
      <c r="W3287">
        <v>1842.8</v>
      </c>
      <c r="X3287">
        <v>2000</v>
      </c>
      <c r="Y3287">
        <v>500</v>
      </c>
      <c r="Z3287">
        <v>5000</v>
      </c>
      <c r="AA3287" s="6">
        <v>70</v>
      </c>
      <c r="AB3287">
        <v>4108.97</v>
      </c>
      <c r="AC3287">
        <v>3700</v>
      </c>
      <c r="AD3287">
        <v>428.6</v>
      </c>
      <c r="AE3287">
        <v>16000</v>
      </c>
      <c r="AF3287" s="6">
        <v>262</v>
      </c>
      <c r="AG3287">
        <v>1713.82</v>
      </c>
      <c r="AH3287">
        <v>1500</v>
      </c>
      <c r="AI3287">
        <v>150</v>
      </c>
      <c r="AJ3287">
        <v>10000</v>
      </c>
      <c r="AK3287" s="6">
        <v>94</v>
      </c>
      <c r="AL3287">
        <v>608</v>
      </c>
      <c r="AM3287">
        <v>608</v>
      </c>
      <c r="AN3287">
        <v>608</v>
      </c>
      <c r="AO3287">
        <v>608</v>
      </c>
      <c r="AP3287" s="6">
        <v>1</v>
      </c>
      <c r="AQ3287">
        <v>4485.18</v>
      </c>
      <c r="AR3287">
        <v>2500</v>
      </c>
      <c r="AS3287">
        <v>1000</v>
      </c>
      <c r="AT3287">
        <v>20000</v>
      </c>
      <c r="AU3287" s="6">
        <v>17</v>
      </c>
      <c r="AV3287">
        <v>928.56</v>
      </c>
      <c r="AW3287">
        <v>1200</v>
      </c>
      <c r="AX3287">
        <v>241.7</v>
      </c>
      <c r="AY3287">
        <v>1600</v>
      </c>
      <c r="AZ3287" s="6">
        <v>20</v>
      </c>
      <c r="BA3287">
        <v>4304.76</v>
      </c>
      <c r="BB3287">
        <v>3000</v>
      </c>
      <c r="BC3287">
        <v>100</v>
      </c>
      <c r="BD3287">
        <v>20000</v>
      </c>
      <c r="BE3287" s="6">
        <v>40</v>
      </c>
      <c r="BK3287">
        <v>9585.01</v>
      </c>
      <c r="BL3287">
        <v>21750</v>
      </c>
      <c r="BM3287">
        <v>1000</v>
      </c>
      <c r="BN3287">
        <v>21750</v>
      </c>
      <c r="BO3287" s="6">
        <v>4</v>
      </c>
      <c r="BP3287">
        <v>9455.0400000000009</v>
      </c>
      <c r="BQ3287">
        <v>1107.7</v>
      </c>
      <c r="BR3287">
        <v>125</v>
      </c>
      <c r="BS3287">
        <v>40000</v>
      </c>
      <c r="BT3287" s="6">
        <v>18</v>
      </c>
      <c r="BU3287">
        <v>262</v>
      </c>
    </row>
    <row r="3288" spans="1:73" x14ac:dyDescent="0.35">
      <c r="A3288" t="s">
        <v>227</v>
      </c>
      <c r="B3288" t="s">
        <v>348</v>
      </c>
      <c r="C3288">
        <v>12819.88</v>
      </c>
      <c r="D3288">
        <v>9000</v>
      </c>
      <c r="E3288">
        <v>1000</v>
      </c>
      <c r="F3288">
        <v>80000</v>
      </c>
      <c r="G3288" s="6">
        <v>343</v>
      </c>
      <c r="H3288">
        <v>5915.81</v>
      </c>
      <c r="I3288">
        <v>4800</v>
      </c>
      <c r="J3288">
        <v>500</v>
      </c>
      <c r="K3288">
        <v>39000</v>
      </c>
      <c r="L3288" s="6">
        <v>61</v>
      </c>
      <c r="M3288">
        <v>18741.07</v>
      </c>
      <c r="N3288">
        <v>10000</v>
      </c>
      <c r="O3288">
        <v>666.7</v>
      </c>
      <c r="P3288">
        <v>125000</v>
      </c>
      <c r="Q3288" s="6">
        <v>33</v>
      </c>
      <c r="R3288">
        <v>3798.85</v>
      </c>
      <c r="S3288">
        <v>1333.3</v>
      </c>
      <c r="T3288">
        <v>233.3</v>
      </c>
      <c r="U3288">
        <v>35000</v>
      </c>
      <c r="V3288" s="6">
        <v>21</v>
      </c>
      <c r="W3288">
        <v>1871.74</v>
      </c>
      <c r="X3288">
        <v>2000</v>
      </c>
      <c r="Y3288">
        <v>400</v>
      </c>
      <c r="Z3288">
        <v>4666.7</v>
      </c>
      <c r="AA3288" s="6">
        <v>81</v>
      </c>
      <c r="AB3288">
        <v>4337.22</v>
      </c>
      <c r="AC3288">
        <v>4000</v>
      </c>
      <c r="AD3288">
        <v>500</v>
      </c>
      <c r="AE3288">
        <v>30000</v>
      </c>
      <c r="AF3288" s="6">
        <v>345</v>
      </c>
      <c r="AG3288">
        <v>1703.96</v>
      </c>
      <c r="AH3288">
        <v>1250</v>
      </c>
      <c r="AI3288">
        <v>160</v>
      </c>
      <c r="AJ3288">
        <v>10000</v>
      </c>
      <c r="AK3288" s="6">
        <v>98</v>
      </c>
      <c r="AL3288">
        <v>2474.3000000000002</v>
      </c>
      <c r="AM3288">
        <v>2000</v>
      </c>
      <c r="AN3288">
        <v>333.3</v>
      </c>
      <c r="AO3288">
        <v>15000</v>
      </c>
      <c r="AP3288" s="6">
        <v>12</v>
      </c>
      <c r="AQ3288">
        <v>5259.68</v>
      </c>
      <c r="AR3288">
        <v>4000</v>
      </c>
      <c r="AS3288">
        <v>666.7</v>
      </c>
      <c r="AT3288">
        <v>30000</v>
      </c>
      <c r="AU3288" s="6">
        <v>24</v>
      </c>
      <c r="AV3288">
        <v>1144.53</v>
      </c>
      <c r="AW3288">
        <v>1200</v>
      </c>
      <c r="AX3288">
        <v>600</v>
      </c>
      <c r="AY3288">
        <v>1300</v>
      </c>
      <c r="AZ3288" s="6">
        <v>10</v>
      </c>
      <c r="BA3288">
        <v>3517.28</v>
      </c>
      <c r="BB3288">
        <v>2500</v>
      </c>
      <c r="BC3288">
        <v>200</v>
      </c>
      <c r="BD3288">
        <v>26000</v>
      </c>
      <c r="BE3288" s="6">
        <v>53</v>
      </c>
      <c r="BF3288">
        <v>1000</v>
      </c>
      <c r="BG3288">
        <v>1000</v>
      </c>
      <c r="BH3288">
        <v>1000</v>
      </c>
      <c r="BI3288">
        <v>1000</v>
      </c>
      <c r="BJ3288" s="6">
        <v>1</v>
      </c>
      <c r="BK3288">
        <v>75000</v>
      </c>
      <c r="BL3288">
        <v>75000</v>
      </c>
      <c r="BM3288">
        <v>75000</v>
      </c>
      <c r="BN3288">
        <v>75000</v>
      </c>
      <c r="BO3288" s="6">
        <v>1</v>
      </c>
      <c r="BP3288">
        <v>5533.87</v>
      </c>
      <c r="BQ3288">
        <v>3000</v>
      </c>
      <c r="BR3288">
        <v>185</v>
      </c>
      <c r="BS3288">
        <v>22000</v>
      </c>
      <c r="BT3288" s="6">
        <v>19</v>
      </c>
      <c r="BU3288">
        <v>345</v>
      </c>
    </row>
    <row r="3289" spans="1:73" x14ac:dyDescent="0.35">
      <c r="A3289" t="s">
        <v>228</v>
      </c>
      <c r="B3289" t="s">
        <v>228</v>
      </c>
      <c r="C3289">
        <v>12841.11</v>
      </c>
      <c r="D3289">
        <v>10000</v>
      </c>
      <c r="E3289">
        <v>333.3</v>
      </c>
      <c r="F3289">
        <v>150000</v>
      </c>
      <c r="G3289" s="6">
        <v>1271</v>
      </c>
      <c r="H3289">
        <v>6272.64</v>
      </c>
      <c r="I3289">
        <v>3333.3</v>
      </c>
      <c r="J3289">
        <v>16.7</v>
      </c>
      <c r="K3289">
        <v>66666.7</v>
      </c>
      <c r="L3289" s="6">
        <v>241</v>
      </c>
      <c r="M3289">
        <v>17578.79</v>
      </c>
      <c r="N3289">
        <v>10000</v>
      </c>
      <c r="O3289">
        <v>250</v>
      </c>
      <c r="P3289">
        <v>150000</v>
      </c>
      <c r="Q3289" s="6">
        <v>109</v>
      </c>
      <c r="R3289">
        <v>2698.25</v>
      </c>
      <c r="S3289">
        <v>1750</v>
      </c>
      <c r="T3289">
        <v>100</v>
      </c>
      <c r="U3289">
        <v>35000</v>
      </c>
      <c r="V3289" s="6">
        <v>92</v>
      </c>
      <c r="W3289">
        <v>1917.18</v>
      </c>
      <c r="X3289">
        <v>2000</v>
      </c>
      <c r="Y3289">
        <v>400</v>
      </c>
      <c r="Z3289">
        <v>5000</v>
      </c>
      <c r="AA3289" s="6">
        <v>264</v>
      </c>
      <c r="AB3289">
        <v>4296.82</v>
      </c>
      <c r="AC3289">
        <v>4000</v>
      </c>
      <c r="AD3289">
        <v>428.6</v>
      </c>
      <c r="AE3289">
        <v>30000</v>
      </c>
      <c r="AF3289" s="6">
        <v>1194</v>
      </c>
      <c r="AG3289">
        <v>2115.1799999999998</v>
      </c>
      <c r="AH3289">
        <v>1400</v>
      </c>
      <c r="AI3289">
        <v>106.7</v>
      </c>
      <c r="AJ3289">
        <v>20000</v>
      </c>
      <c r="AK3289" s="6">
        <v>404</v>
      </c>
      <c r="AL3289">
        <v>5888.89</v>
      </c>
      <c r="AM3289">
        <v>4000</v>
      </c>
      <c r="AN3289">
        <v>100</v>
      </c>
      <c r="AO3289">
        <v>25000</v>
      </c>
      <c r="AP3289" s="6">
        <v>32</v>
      </c>
      <c r="AQ3289">
        <v>5244.2</v>
      </c>
      <c r="AR3289">
        <v>3333.3</v>
      </c>
      <c r="AS3289">
        <v>233.3</v>
      </c>
      <c r="AT3289">
        <v>30000</v>
      </c>
      <c r="AU3289" s="6">
        <v>92</v>
      </c>
      <c r="AV3289">
        <v>1217.7</v>
      </c>
      <c r="AW3289">
        <v>1200</v>
      </c>
      <c r="AX3289">
        <v>241.7</v>
      </c>
      <c r="AY3289">
        <v>3300</v>
      </c>
      <c r="AZ3289" s="6">
        <v>52</v>
      </c>
      <c r="BA3289">
        <v>4143.3599999999997</v>
      </c>
      <c r="BB3289">
        <v>2500</v>
      </c>
      <c r="BC3289">
        <v>75</v>
      </c>
      <c r="BD3289">
        <v>26000</v>
      </c>
      <c r="BE3289" s="6">
        <v>206</v>
      </c>
      <c r="BF3289">
        <v>2109.21</v>
      </c>
      <c r="BG3289">
        <v>1000</v>
      </c>
      <c r="BH3289">
        <v>666.7</v>
      </c>
      <c r="BI3289">
        <v>4000</v>
      </c>
      <c r="BJ3289" s="6">
        <v>3</v>
      </c>
      <c r="BK3289">
        <v>9971.93</v>
      </c>
      <c r="BL3289">
        <v>666.7</v>
      </c>
      <c r="BM3289">
        <v>500</v>
      </c>
      <c r="BN3289">
        <v>75000</v>
      </c>
      <c r="BO3289" s="6">
        <v>14</v>
      </c>
      <c r="BP3289">
        <v>5190.95</v>
      </c>
      <c r="BQ3289">
        <v>3000</v>
      </c>
      <c r="BR3289">
        <v>100</v>
      </c>
      <c r="BS3289">
        <v>40000</v>
      </c>
      <c r="BT3289" s="6">
        <v>87</v>
      </c>
      <c r="BU3289">
        <v>1271</v>
      </c>
    </row>
    <row r="3291" spans="1:73" x14ac:dyDescent="0.35">
      <c r="A3291" s="1" t="s">
        <v>1177</v>
      </c>
    </row>
    <row r="3292" spans="1:73" x14ac:dyDescent="0.35">
      <c r="A3292" t="s">
        <v>219</v>
      </c>
      <c r="B3292" t="s">
        <v>301</v>
      </c>
      <c r="C3292" t="s">
        <v>1098</v>
      </c>
      <c r="D3292" t="s">
        <v>1099</v>
      </c>
      <c r="E3292" t="s">
        <v>1100</v>
      </c>
      <c r="F3292" t="s">
        <v>1101</v>
      </c>
      <c r="G3292" t="s">
        <v>1102</v>
      </c>
      <c r="H3292" t="s">
        <v>1103</v>
      </c>
      <c r="I3292" t="s">
        <v>1104</v>
      </c>
      <c r="J3292" t="s">
        <v>1105</v>
      </c>
      <c r="K3292" t="s">
        <v>1106</v>
      </c>
      <c r="L3292" t="s">
        <v>1107</v>
      </c>
      <c r="M3292" t="s">
        <v>1108</v>
      </c>
      <c r="N3292" t="s">
        <v>1109</v>
      </c>
      <c r="O3292" t="s">
        <v>1110</v>
      </c>
      <c r="P3292" t="s">
        <v>1111</v>
      </c>
      <c r="Q3292" t="s">
        <v>1112</v>
      </c>
      <c r="R3292" t="s">
        <v>1113</v>
      </c>
      <c r="S3292" t="s">
        <v>1114</v>
      </c>
      <c r="T3292" t="s">
        <v>1115</v>
      </c>
      <c r="U3292" t="s">
        <v>1116</v>
      </c>
      <c r="V3292" t="s">
        <v>1117</v>
      </c>
      <c r="W3292" t="s">
        <v>1118</v>
      </c>
      <c r="X3292" t="s">
        <v>1119</v>
      </c>
      <c r="Y3292" t="s">
        <v>1120</v>
      </c>
      <c r="Z3292" t="s">
        <v>1121</v>
      </c>
      <c r="AA3292" t="s">
        <v>1122</v>
      </c>
      <c r="AB3292" t="s">
        <v>1123</v>
      </c>
      <c r="AC3292" t="s">
        <v>1124</v>
      </c>
      <c r="AD3292" t="s">
        <v>1125</v>
      </c>
      <c r="AE3292" t="s">
        <v>1126</v>
      </c>
      <c r="AF3292" t="s">
        <v>1127</v>
      </c>
      <c r="AG3292" t="s">
        <v>1128</v>
      </c>
      <c r="AH3292" t="s">
        <v>1129</v>
      </c>
      <c r="AI3292" t="s">
        <v>1130</v>
      </c>
      <c r="AJ3292" t="s">
        <v>1131</v>
      </c>
      <c r="AK3292" t="s">
        <v>1132</v>
      </c>
      <c r="AL3292" t="s">
        <v>1133</v>
      </c>
      <c r="AM3292" t="s">
        <v>1134</v>
      </c>
      <c r="AN3292" t="s">
        <v>1135</v>
      </c>
      <c r="AO3292" t="s">
        <v>1136</v>
      </c>
      <c r="AP3292" t="s">
        <v>1137</v>
      </c>
      <c r="AQ3292" t="s">
        <v>1138</v>
      </c>
      <c r="AR3292" t="s">
        <v>1139</v>
      </c>
      <c r="AS3292" t="s">
        <v>1140</v>
      </c>
      <c r="AT3292" t="s">
        <v>1141</v>
      </c>
      <c r="AU3292" t="s">
        <v>1142</v>
      </c>
      <c r="AV3292" t="s">
        <v>1143</v>
      </c>
      <c r="AW3292" t="s">
        <v>1144</v>
      </c>
      <c r="AX3292" t="s">
        <v>1145</v>
      </c>
      <c r="AY3292" t="s">
        <v>1146</v>
      </c>
      <c r="AZ3292" t="s">
        <v>1147</v>
      </c>
      <c r="BA3292" t="s">
        <v>1148</v>
      </c>
      <c r="BB3292" t="s">
        <v>1149</v>
      </c>
      <c r="BC3292" t="s">
        <v>1150</v>
      </c>
      <c r="BD3292" t="s">
        <v>1151</v>
      </c>
      <c r="BE3292" t="s">
        <v>1152</v>
      </c>
      <c r="BF3292" t="s">
        <v>1153</v>
      </c>
      <c r="BG3292" t="s">
        <v>1154</v>
      </c>
      <c r="BH3292" t="s">
        <v>1155</v>
      </c>
      <c r="BI3292" t="s">
        <v>1156</v>
      </c>
      <c r="BJ3292" t="s">
        <v>1157</v>
      </c>
      <c r="BK3292" t="s">
        <v>1158</v>
      </c>
      <c r="BL3292" t="s">
        <v>1159</v>
      </c>
      <c r="BM3292" t="s">
        <v>1160</v>
      </c>
      <c r="BN3292" t="s">
        <v>1161</v>
      </c>
      <c r="BO3292" t="s">
        <v>1162</v>
      </c>
      <c r="BP3292" t="s">
        <v>1163</v>
      </c>
      <c r="BQ3292" t="s">
        <v>1164</v>
      </c>
      <c r="BR3292" t="s">
        <v>1165</v>
      </c>
      <c r="BS3292" t="s">
        <v>1166</v>
      </c>
      <c r="BT3292" t="s">
        <v>1167</v>
      </c>
      <c r="BU3292" t="s">
        <v>957</v>
      </c>
    </row>
    <row r="3293" spans="1:73" x14ac:dyDescent="0.35">
      <c r="A3293" t="s">
        <v>227</v>
      </c>
      <c r="B3293" t="s">
        <v>251</v>
      </c>
      <c r="C3293">
        <v>14726.18</v>
      </c>
      <c r="D3293">
        <v>11000</v>
      </c>
      <c r="E3293">
        <v>666.7</v>
      </c>
      <c r="F3293">
        <v>100000</v>
      </c>
      <c r="G3293" s="6">
        <v>800</v>
      </c>
      <c r="H3293">
        <v>7556.28</v>
      </c>
      <c r="I3293">
        <v>5000</v>
      </c>
      <c r="J3293">
        <v>200</v>
      </c>
      <c r="K3293">
        <v>40000</v>
      </c>
      <c r="L3293" s="6">
        <v>142</v>
      </c>
      <c r="M3293">
        <v>18635.099999999999</v>
      </c>
      <c r="N3293">
        <v>10000</v>
      </c>
      <c r="O3293">
        <v>250</v>
      </c>
      <c r="P3293">
        <v>150000</v>
      </c>
      <c r="Q3293" s="6">
        <v>68</v>
      </c>
      <c r="R3293">
        <v>2544.46</v>
      </c>
      <c r="S3293">
        <v>1500</v>
      </c>
      <c r="T3293">
        <v>100</v>
      </c>
      <c r="U3293">
        <v>35000</v>
      </c>
      <c r="V3293" s="6">
        <v>64</v>
      </c>
      <c r="W3293">
        <v>1899.72</v>
      </c>
      <c r="X3293">
        <v>2000</v>
      </c>
      <c r="Y3293">
        <v>400</v>
      </c>
      <c r="Z3293">
        <v>5000</v>
      </c>
      <c r="AA3293" s="6">
        <v>185</v>
      </c>
      <c r="AB3293">
        <v>4692.57</v>
      </c>
      <c r="AC3293">
        <v>4200</v>
      </c>
      <c r="AD3293">
        <v>500</v>
      </c>
      <c r="AE3293">
        <v>30000</v>
      </c>
      <c r="AF3293" s="6">
        <v>1039</v>
      </c>
      <c r="AG3293">
        <v>2760.75</v>
      </c>
      <c r="AH3293">
        <v>1671.5</v>
      </c>
      <c r="AI3293">
        <v>150</v>
      </c>
      <c r="AJ3293">
        <v>18000</v>
      </c>
      <c r="AK3293" s="6">
        <v>211</v>
      </c>
      <c r="AL3293">
        <v>5941.51</v>
      </c>
      <c r="AM3293">
        <v>2100</v>
      </c>
      <c r="AN3293">
        <v>100</v>
      </c>
      <c r="AO3293">
        <v>25000</v>
      </c>
      <c r="AP3293" s="6">
        <v>28</v>
      </c>
      <c r="AQ3293">
        <v>6643.38</v>
      </c>
      <c r="AR3293">
        <v>4000</v>
      </c>
      <c r="AS3293">
        <v>1000</v>
      </c>
      <c r="AT3293">
        <v>30000</v>
      </c>
      <c r="AU3293" s="6">
        <v>68</v>
      </c>
      <c r="AV3293">
        <v>1250.21</v>
      </c>
      <c r="AW3293">
        <v>1200</v>
      </c>
      <c r="AX3293">
        <v>241.7</v>
      </c>
      <c r="AY3293">
        <v>3300</v>
      </c>
      <c r="AZ3293" s="6">
        <v>45</v>
      </c>
      <c r="BA3293">
        <v>4931.49</v>
      </c>
      <c r="BB3293">
        <v>3000</v>
      </c>
      <c r="BC3293">
        <v>100</v>
      </c>
      <c r="BD3293">
        <v>26000</v>
      </c>
      <c r="BE3293" s="6">
        <v>131</v>
      </c>
      <c r="BF3293">
        <v>1000</v>
      </c>
      <c r="BG3293">
        <v>1000</v>
      </c>
      <c r="BH3293">
        <v>1000</v>
      </c>
      <c r="BI3293">
        <v>1000</v>
      </c>
      <c r="BJ3293" s="6">
        <v>1</v>
      </c>
      <c r="BK3293">
        <v>10885.45</v>
      </c>
      <c r="BL3293">
        <v>500</v>
      </c>
      <c r="BM3293">
        <v>500</v>
      </c>
      <c r="BN3293">
        <v>75000</v>
      </c>
      <c r="BO3293" s="6">
        <v>11</v>
      </c>
      <c r="BP3293">
        <v>5390.89</v>
      </c>
      <c r="BQ3293">
        <v>3500</v>
      </c>
      <c r="BR3293">
        <v>100</v>
      </c>
      <c r="BS3293">
        <v>40000</v>
      </c>
      <c r="BT3293" s="6">
        <v>59</v>
      </c>
      <c r="BU3293">
        <v>1039</v>
      </c>
    </row>
    <row r="3294" spans="1:73" x14ac:dyDescent="0.35">
      <c r="A3294" t="s">
        <v>227</v>
      </c>
      <c r="B3294" t="s">
        <v>252</v>
      </c>
      <c r="C3294">
        <v>9880.67</v>
      </c>
      <c r="D3294">
        <v>7600</v>
      </c>
      <c r="E3294">
        <v>333.3</v>
      </c>
      <c r="F3294">
        <v>150000</v>
      </c>
      <c r="G3294" s="6">
        <v>381</v>
      </c>
      <c r="H3294">
        <v>5092.75</v>
      </c>
      <c r="I3294">
        <v>3333.3</v>
      </c>
      <c r="J3294">
        <v>16.7</v>
      </c>
      <c r="K3294">
        <v>66666.7</v>
      </c>
      <c r="L3294" s="6">
        <v>77</v>
      </c>
      <c r="M3294">
        <v>13945.06</v>
      </c>
      <c r="N3294">
        <v>10000</v>
      </c>
      <c r="O3294">
        <v>750</v>
      </c>
      <c r="P3294">
        <v>125000</v>
      </c>
      <c r="Q3294" s="6">
        <v>39</v>
      </c>
      <c r="R3294">
        <v>3385.88</v>
      </c>
      <c r="S3294">
        <v>2833.3</v>
      </c>
      <c r="T3294">
        <v>200</v>
      </c>
      <c r="U3294">
        <v>16666.7</v>
      </c>
      <c r="V3294" s="6">
        <v>24</v>
      </c>
      <c r="W3294">
        <v>1931.29</v>
      </c>
      <c r="X3294">
        <v>2000</v>
      </c>
      <c r="Y3294">
        <v>400</v>
      </c>
      <c r="Z3294">
        <v>4666.7</v>
      </c>
      <c r="AA3294" s="6">
        <v>61</v>
      </c>
      <c r="AB3294">
        <v>1890.14</v>
      </c>
      <c r="AC3294">
        <v>1333.3</v>
      </c>
      <c r="AD3294">
        <v>428.6</v>
      </c>
      <c r="AE3294">
        <v>7870</v>
      </c>
      <c r="AF3294" s="6">
        <v>148</v>
      </c>
      <c r="AG3294">
        <v>1306.22</v>
      </c>
      <c r="AH3294">
        <v>825</v>
      </c>
      <c r="AI3294">
        <v>106.7</v>
      </c>
      <c r="AJ3294">
        <v>20000</v>
      </c>
      <c r="AK3294" s="6">
        <v>150</v>
      </c>
      <c r="AL3294">
        <v>5608.53</v>
      </c>
      <c r="AM3294">
        <v>10000</v>
      </c>
      <c r="AN3294">
        <v>500</v>
      </c>
      <c r="AO3294">
        <v>10000</v>
      </c>
      <c r="AP3294" s="6">
        <v>4</v>
      </c>
      <c r="AQ3294">
        <v>2727.24</v>
      </c>
      <c r="AR3294">
        <v>2333.3000000000002</v>
      </c>
      <c r="AS3294">
        <v>233.3</v>
      </c>
      <c r="AT3294">
        <v>13000</v>
      </c>
      <c r="AU3294" s="6">
        <v>19</v>
      </c>
      <c r="AV3294">
        <v>921.91</v>
      </c>
      <c r="AW3294">
        <v>1200</v>
      </c>
      <c r="AX3294">
        <v>300</v>
      </c>
      <c r="AY3294">
        <v>1600</v>
      </c>
      <c r="AZ3294" s="6">
        <v>6</v>
      </c>
      <c r="BA3294">
        <v>2416.9499999999998</v>
      </c>
      <c r="BB3294">
        <v>2500</v>
      </c>
      <c r="BC3294">
        <v>200</v>
      </c>
      <c r="BD3294">
        <v>15000</v>
      </c>
      <c r="BE3294" s="6">
        <v>47</v>
      </c>
      <c r="BF3294">
        <v>4000</v>
      </c>
      <c r="BG3294">
        <v>4000</v>
      </c>
      <c r="BH3294">
        <v>4000</v>
      </c>
      <c r="BI3294">
        <v>4000</v>
      </c>
      <c r="BJ3294" s="6">
        <v>1</v>
      </c>
      <c r="BK3294">
        <v>2100.33</v>
      </c>
      <c r="BL3294">
        <v>666.7</v>
      </c>
      <c r="BM3294">
        <v>666.7</v>
      </c>
      <c r="BN3294">
        <v>21750</v>
      </c>
      <c r="BO3294" s="6">
        <v>2</v>
      </c>
      <c r="BP3294">
        <v>3051.72</v>
      </c>
      <c r="BQ3294">
        <v>1800</v>
      </c>
      <c r="BR3294">
        <v>125</v>
      </c>
      <c r="BS3294">
        <v>20000</v>
      </c>
      <c r="BT3294" s="6">
        <v>19</v>
      </c>
      <c r="BU3294">
        <v>381</v>
      </c>
    </row>
    <row r="3295" spans="1:73" x14ac:dyDescent="0.35">
      <c r="A3295" t="s">
        <v>227</v>
      </c>
      <c r="B3295" t="s">
        <v>253</v>
      </c>
      <c r="C3295">
        <v>9322.4699999999993</v>
      </c>
      <c r="D3295">
        <v>7500</v>
      </c>
      <c r="E3295">
        <v>1500</v>
      </c>
      <c r="F3295">
        <v>43333.3</v>
      </c>
      <c r="G3295" s="6">
        <v>85</v>
      </c>
      <c r="H3295">
        <v>3326.22</v>
      </c>
      <c r="I3295">
        <v>2500</v>
      </c>
      <c r="J3295">
        <v>300</v>
      </c>
      <c r="K3295">
        <v>20000</v>
      </c>
      <c r="L3295" s="6">
        <v>21</v>
      </c>
      <c r="M3295">
        <v>19064.849999999999</v>
      </c>
      <c r="N3295">
        <v>20000</v>
      </c>
      <c r="O3295">
        <v>666.7</v>
      </c>
      <c r="P3295">
        <v>20000</v>
      </c>
      <c r="Q3295" s="6">
        <v>2</v>
      </c>
      <c r="R3295">
        <v>3044.46</v>
      </c>
      <c r="S3295">
        <v>4500</v>
      </c>
      <c r="T3295">
        <v>100</v>
      </c>
      <c r="U3295">
        <v>4500</v>
      </c>
      <c r="V3295" s="6">
        <v>4</v>
      </c>
      <c r="W3295">
        <v>2037.69</v>
      </c>
      <c r="X3295">
        <v>2500</v>
      </c>
      <c r="Y3295">
        <v>666.7</v>
      </c>
      <c r="Z3295">
        <v>3000</v>
      </c>
      <c r="AA3295" s="6">
        <v>17</v>
      </c>
      <c r="AB3295">
        <v>2085.6799999999998</v>
      </c>
      <c r="AC3295">
        <v>1750</v>
      </c>
      <c r="AD3295">
        <v>1000</v>
      </c>
      <c r="AE3295">
        <v>13333.3</v>
      </c>
      <c r="AF3295" s="6">
        <v>6</v>
      </c>
      <c r="AG3295">
        <v>1496.99</v>
      </c>
      <c r="AH3295">
        <v>1500</v>
      </c>
      <c r="AI3295">
        <v>253.3</v>
      </c>
      <c r="AJ3295">
        <v>5500</v>
      </c>
      <c r="AK3295" s="6">
        <v>39</v>
      </c>
      <c r="AQ3295">
        <v>2595.61</v>
      </c>
      <c r="AR3295">
        <v>3333.3</v>
      </c>
      <c r="AS3295">
        <v>750</v>
      </c>
      <c r="AT3295">
        <v>5000</v>
      </c>
      <c r="AU3295" s="6">
        <v>5</v>
      </c>
      <c r="AV3295">
        <v>1066.67</v>
      </c>
      <c r="AW3295">
        <v>1066.7</v>
      </c>
      <c r="AX3295">
        <v>1066.7</v>
      </c>
      <c r="AY3295">
        <v>1066.7</v>
      </c>
      <c r="AZ3295" s="6">
        <v>1</v>
      </c>
      <c r="BA3295">
        <v>3587.46</v>
      </c>
      <c r="BB3295">
        <v>4000</v>
      </c>
      <c r="BC3295">
        <v>75</v>
      </c>
      <c r="BD3295">
        <v>10000</v>
      </c>
      <c r="BE3295" s="6">
        <v>26</v>
      </c>
      <c r="BF3295">
        <v>666.67</v>
      </c>
      <c r="BG3295">
        <v>666.7</v>
      </c>
      <c r="BH3295">
        <v>666.7</v>
      </c>
      <c r="BI3295">
        <v>666.7</v>
      </c>
      <c r="BJ3295" s="6">
        <v>1</v>
      </c>
      <c r="BK3295">
        <v>5166.67</v>
      </c>
      <c r="BL3295">
        <v>5166.7</v>
      </c>
      <c r="BM3295">
        <v>5166.7</v>
      </c>
      <c r="BN3295">
        <v>5166.7</v>
      </c>
      <c r="BO3295" s="6">
        <v>1</v>
      </c>
      <c r="BP3295">
        <v>7068.37</v>
      </c>
      <c r="BQ3295">
        <v>6666.7</v>
      </c>
      <c r="BR3295">
        <v>133.30000000000001</v>
      </c>
      <c r="BS3295">
        <v>17500</v>
      </c>
      <c r="BT3295" s="6">
        <v>8</v>
      </c>
      <c r="BU3295">
        <v>85</v>
      </c>
    </row>
    <row r="3296" spans="1:73" x14ac:dyDescent="0.35">
      <c r="A3296" s="3" t="s">
        <v>227</v>
      </c>
      <c r="B3296" s="3" t="s">
        <v>254</v>
      </c>
      <c r="C3296" s="5">
        <v>7584</v>
      </c>
      <c r="D3296" s="5">
        <v>10000</v>
      </c>
      <c r="E3296" s="5">
        <v>4750</v>
      </c>
      <c r="F3296" s="5">
        <v>10000</v>
      </c>
      <c r="G3296" s="5">
        <v>5</v>
      </c>
      <c r="H3296" s="5">
        <v>1250</v>
      </c>
      <c r="I3296" s="5">
        <v>1250</v>
      </c>
      <c r="J3296" s="5">
        <v>1250</v>
      </c>
      <c r="K3296" s="5">
        <v>1250</v>
      </c>
      <c r="L3296" s="5">
        <v>1</v>
      </c>
      <c r="M3296" s="5"/>
      <c r="N3296" s="5"/>
      <c r="O3296" s="5"/>
      <c r="P3296" s="5"/>
      <c r="Q3296" s="5"/>
      <c r="R3296" s="5"/>
      <c r="S3296" s="5"/>
      <c r="T3296" s="5"/>
      <c r="U3296" s="5"/>
      <c r="V3296" s="5"/>
      <c r="W3296" s="5">
        <v>1400</v>
      </c>
      <c r="X3296" s="5">
        <v>1400</v>
      </c>
      <c r="Y3296" s="5">
        <v>1400</v>
      </c>
      <c r="Z3296" s="5">
        <v>1400</v>
      </c>
      <c r="AA3296" s="5">
        <v>1</v>
      </c>
      <c r="AB3296" s="5">
        <v>3750</v>
      </c>
      <c r="AC3296" s="5">
        <v>3750</v>
      </c>
      <c r="AD3296" s="5">
        <v>3750</v>
      </c>
      <c r="AE3296" s="5">
        <v>3750</v>
      </c>
      <c r="AF3296" s="5">
        <v>1</v>
      </c>
      <c r="AG3296" s="5">
        <v>1331.92</v>
      </c>
      <c r="AH3296" s="5">
        <v>1500</v>
      </c>
      <c r="AI3296" s="5">
        <v>215</v>
      </c>
      <c r="AJ3296" s="5">
        <v>1625</v>
      </c>
      <c r="AK3296" s="5">
        <v>4</v>
      </c>
      <c r="AL3296" s="5"/>
      <c r="AM3296" s="5"/>
      <c r="AN3296" s="5"/>
      <c r="AO3296" s="5"/>
      <c r="AP3296" s="5"/>
      <c r="AQ3296" s="5"/>
      <c r="AR3296" s="5"/>
      <c r="AS3296" s="5"/>
      <c r="AT3296" s="5"/>
      <c r="AU3296" s="5"/>
      <c r="AV3296" s="5"/>
      <c r="AW3296" s="5"/>
      <c r="AX3296" s="5"/>
      <c r="AY3296" s="5"/>
      <c r="AZ3296" s="5"/>
      <c r="BA3296" s="5">
        <v>1856.34</v>
      </c>
      <c r="BB3296" s="5">
        <v>2500</v>
      </c>
      <c r="BC3296" s="5">
        <v>300</v>
      </c>
      <c r="BD3296" s="5">
        <v>2500</v>
      </c>
      <c r="BE3296" s="5">
        <v>2</v>
      </c>
      <c r="BF3296" s="5"/>
      <c r="BG3296" s="5"/>
      <c r="BH3296" s="5"/>
      <c r="BI3296" s="5"/>
      <c r="BJ3296" s="5"/>
      <c r="BK3296" s="5"/>
      <c r="BL3296" s="5"/>
      <c r="BM3296" s="5"/>
      <c r="BN3296" s="5"/>
      <c r="BO3296" s="5"/>
      <c r="BP3296" s="5">
        <v>600</v>
      </c>
      <c r="BQ3296" s="5">
        <v>600</v>
      </c>
      <c r="BR3296" s="5">
        <v>600</v>
      </c>
      <c r="BS3296" s="5">
        <v>600</v>
      </c>
      <c r="BT3296" s="5">
        <v>1</v>
      </c>
      <c r="BU3296" s="5">
        <v>5</v>
      </c>
    </row>
    <row r="3297" spans="1:73" x14ac:dyDescent="0.35">
      <c r="A3297" t="s">
        <v>228</v>
      </c>
      <c r="B3297" t="s">
        <v>228</v>
      </c>
      <c r="C3297">
        <v>12841.11</v>
      </c>
      <c r="D3297">
        <v>10000</v>
      </c>
      <c r="E3297">
        <v>333.3</v>
      </c>
      <c r="F3297">
        <v>150000</v>
      </c>
      <c r="G3297" s="6">
        <v>1271</v>
      </c>
      <c r="H3297">
        <v>6272.64</v>
      </c>
      <c r="I3297">
        <v>3333.3</v>
      </c>
      <c r="J3297">
        <v>16.7</v>
      </c>
      <c r="K3297">
        <v>66666.7</v>
      </c>
      <c r="L3297" s="6">
        <v>241</v>
      </c>
      <c r="M3297">
        <v>17578.79</v>
      </c>
      <c r="N3297">
        <v>10000</v>
      </c>
      <c r="O3297">
        <v>250</v>
      </c>
      <c r="P3297">
        <v>150000</v>
      </c>
      <c r="Q3297" s="6">
        <v>109</v>
      </c>
      <c r="R3297">
        <v>2698.25</v>
      </c>
      <c r="S3297">
        <v>1750</v>
      </c>
      <c r="T3297">
        <v>100</v>
      </c>
      <c r="U3297">
        <v>35000</v>
      </c>
      <c r="V3297" s="6">
        <v>92</v>
      </c>
      <c r="W3297">
        <v>1917.18</v>
      </c>
      <c r="X3297">
        <v>2000</v>
      </c>
      <c r="Y3297">
        <v>400</v>
      </c>
      <c r="Z3297">
        <v>5000</v>
      </c>
      <c r="AA3297" s="6">
        <v>264</v>
      </c>
      <c r="AB3297">
        <v>4296.82</v>
      </c>
      <c r="AC3297">
        <v>4000</v>
      </c>
      <c r="AD3297">
        <v>428.6</v>
      </c>
      <c r="AE3297">
        <v>30000</v>
      </c>
      <c r="AF3297" s="6">
        <v>1194</v>
      </c>
      <c r="AG3297">
        <v>2115.1799999999998</v>
      </c>
      <c r="AH3297">
        <v>1400</v>
      </c>
      <c r="AI3297">
        <v>106.7</v>
      </c>
      <c r="AJ3297">
        <v>20000</v>
      </c>
      <c r="AK3297" s="6">
        <v>404</v>
      </c>
      <c r="AL3297">
        <v>5888.89</v>
      </c>
      <c r="AM3297">
        <v>4000</v>
      </c>
      <c r="AN3297">
        <v>100</v>
      </c>
      <c r="AO3297">
        <v>25000</v>
      </c>
      <c r="AP3297" s="6">
        <v>32</v>
      </c>
      <c r="AQ3297">
        <v>5244.2</v>
      </c>
      <c r="AR3297">
        <v>3333.3</v>
      </c>
      <c r="AS3297">
        <v>233.3</v>
      </c>
      <c r="AT3297">
        <v>30000</v>
      </c>
      <c r="AU3297" s="6">
        <v>92</v>
      </c>
      <c r="AV3297">
        <v>1217.7</v>
      </c>
      <c r="AW3297">
        <v>1200</v>
      </c>
      <c r="AX3297">
        <v>241.7</v>
      </c>
      <c r="AY3297">
        <v>3300</v>
      </c>
      <c r="AZ3297" s="6">
        <v>52</v>
      </c>
      <c r="BA3297">
        <v>4143.3599999999997</v>
      </c>
      <c r="BB3297">
        <v>2500</v>
      </c>
      <c r="BC3297">
        <v>75</v>
      </c>
      <c r="BD3297">
        <v>26000</v>
      </c>
      <c r="BE3297" s="6">
        <v>206</v>
      </c>
      <c r="BF3297">
        <v>2109.21</v>
      </c>
      <c r="BG3297">
        <v>1000</v>
      </c>
      <c r="BH3297">
        <v>666.7</v>
      </c>
      <c r="BI3297">
        <v>4000</v>
      </c>
      <c r="BJ3297" s="6">
        <v>3</v>
      </c>
      <c r="BK3297">
        <v>9971.93</v>
      </c>
      <c r="BL3297">
        <v>666.7</v>
      </c>
      <c r="BM3297">
        <v>500</v>
      </c>
      <c r="BN3297">
        <v>75000</v>
      </c>
      <c r="BO3297" s="6">
        <v>14</v>
      </c>
      <c r="BP3297">
        <v>5190.95</v>
      </c>
      <c r="BQ3297">
        <v>3000</v>
      </c>
      <c r="BR3297">
        <v>100</v>
      </c>
      <c r="BS3297">
        <v>40000</v>
      </c>
      <c r="BT3297" s="6">
        <v>87</v>
      </c>
      <c r="BU3297">
        <v>1271</v>
      </c>
    </row>
    <row r="3299" spans="1:73" x14ac:dyDescent="0.35">
      <c r="A3299" s="1" t="s">
        <v>1178</v>
      </c>
    </row>
    <row r="3300" spans="1:73" x14ac:dyDescent="0.35">
      <c r="A3300" t="s">
        <v>219</v>
      </c>
      <c r="B3300" t="s">
        <v>524</v>
      </c>
      <c r="C3300" t="s">
        <v>525</v>
      </c>
      <c r="D3300" t="s">
        <v>526</v>
      </c>
      <c r="E3300" t="s">
        <v>527</v>
      </c>
      <c r="F3300" t="s">
        <v>226</v>
      </c>
    </row>
    <row r="3301" spans="1:73" x14ac:dyDescent="0.35">
      <c r="A3301" t="s">
        <v>227</v>
      </c>
      <c r="B3301">
        <v>12264.58</v>
      </c>
      <c r="C3301">
        <v>8500</v>
      </c>
      <c r="D3301">
        <v>0</v>
      </c>
      <c r="E3301">
        <v>175000</v>
      </c>
      <c r="F3301">
        <v>2476</v>
      </c>
    </row>
    <row r="3302" spans="1:73" x14ac:dyDescent="0.35">
      <c r="A3302" t="s">
        <v>228</v>
      </c>
      <c r="B3302">
        <v>12264.58</v>
      </c>
      <c r="C3302">
        <v>8500</v>
      </c>
      <c r="D3302">
        <v>0</v>
      </c>
      <c r="E3302">
        <v>175000</v>
      </c>
      <c r="F3302">
        <v>2476</v>
      </c>
    </row>
    <row r="3304" spans="1:73" x14ac:dyDescent="0.35">
      <c r="A3304" s="1" t="s">
        <v>1179</v>
      </c>
    </row>
    <row r="3305" spans="1:73" x14ac:dyDescent="0.35">
      <c r="A3305" t="s">
        <v>219</v>
      </c>
      <c r="B3305" t="s">
        <v>301</v>
      </c>
      <c r="C3305" t="s">
        <v>524</v>
      </c>
      <c r="D3305" t="s">
        <v>525</v>
      </c>
      <c r="E3305" t="s">
        <v>526</v>
      </c>
      <c r="F3305" t="s">
        <v>527</v>
      </c>
      <c r="G3305" t="s">
        <v>226</v>
      </c>
    </row>
    <row r="3306" spans="1:73" x14ac:dyDescent="0.35">
      <c r="A3306" t="s">
        <v>227</v>
      </c>
      <c r="B3306" t="s">
        <v>238</v>
      </c>
      <c r="C3306">
        <v>9983.86</v>
      </c>
      <c r="D3306">
        <v>7400</v>
      </c>
      <c r="E3306">
        <v>0</v>
      </c>
      <c r="F3306">
        <v>125000</v>
      </c>
      <c r="G3306">
        <v>931</v>
      </c>
    </row>
    <row r="3307" spans="1:73" x14ac:dyDescent="0.35">
      <c r="A3307" t="s">
        <v>227</v>
      </c>
      <c r="B3307" t="s">
        <v>237</v>
      </c>
      <c r="C3307">
        <v>13686.29</v>
      </c>
      <c r="D3307">
        <v>10000</v>
      </c>
      <c r="E3307">
        <v>0</v>
      </c>
      <c r="F3307">
        <v>175000</v>
      </c>
      <c r="G3307">
        <v>1545</v>
      </c>
    </row>
    <row r="3308" spans="1:73" x14ac:dyDescent="0.35">
      <c r="A3308" t="s">
        <v>228</v>
      </c>
      <c r="B3308" t="s">
        <v>228</v>
      </c>
      <c r="C3308">
        <v>12264.58</v>
      </c>
      <c r="D3308">
        <v>8500</v>
      </c>
      <c r="E3308">
        <v>0</v>
      </c>
      <c r="F3308">
        <v>175000</v>
      </c>
      <c r="G3308">
        <v>2476</v>
      </c>
    </row>
    <row r="3310" spans="1:73" x14ac:dyDescent="0.35">
      <c r="A3310" s="1" t="s">
        <v>1180</v>
      </c>
    </row>
    <row r="3311" spans="1:73" x14ac:dyDescent="0.35">
      <c r="A3311" t="s">
        <v>219</v>
      </c>
      <c r="B3311" t="s">
        <v>301</v>
      </c>
      <c r="C3311" t="s">
        <v>524</v>
      </c>
      <c r="D3311" t="s">
        <v>525</v>
      </c>
      <c r="E3311" t="s">
        <v>526</v>
      </c>
      <c r="F3311" t="s">
        <v>527</v>
      </c>
      <c r="G3311" t="s">
        <v>226</v>
      </c>
    </row>
    <row r="3312" spans="1:73" x14ac:dyDescent="0.35">
      <c r="A3312" t="s">
        <v>227</v>
      </c>
      <c r="B3312" t="s">
        <v>235</v>
      </c>
      <c r="C3312">
        <v>9226.06</v>
      </c>
      <c r="D3312">
        <v>6600</v>
      </c>
      <c r="E3312">
        <v>0</v>
      </c>
      <c r="F3312">
        <v>150000</v>
      </c>
      <c r="G3312">
        <v>870</v>
      </c>
    </row>
    <row r="3313" spans="1:7" x14ac:dyDescent="0.35">
      <c r="A3313" t="s">
        <v>227</v>
      </c>
      <c r="B3313" t="s">
        <v>234</v>
      </c>
      <c r="C3313">
        <v>13598.23</v>
      </c>
      <c r="D3313">
        <v>9900</v>
      </c>
      <c r="E3313">
        <v>0</v>
      </c>
      <c r="F3313">
        <v>175000</v>
      </c>
      <c r="G3313">
        <v>1606</v>
      </c>
    </row>
    <row r="3314" spans="1:7" x14ac:dyDescent="0.35">
      <c r="A3314" t="s">
        <v>228</v>
      </c>
      <c r="B3314" t="s">
        <v>228</v>
      </c>
      <c r="C3314">
        <v>12264.58</v>
      </c>
      <c r="D3314">
        <v>8500</v>
      </c>
      <c r="E3314">
        <v>0</v>
      </c>
      <c r="F3314">
        <v>175000</v>
      </c>
      <c r="G3314">
        <v>2476</v>
      </c>
    </row>
    <row r="3316" spans="1:7" x14ac:dyDescent="0.35">
      <c r="A3316" s="1" t="s">
        <v>1181</v>
      </c>
    </row>
    <row r="3317" spans="1:7" x14ac:dyDescent="0.35">
      <c r="A3317" t="s">
        <v>219</v>
      </c>
      <c r="B3317" t="s">
        <v>301</v>
      </c>
      <c r="C3317" t="s">
        <v>524</v>
      </c>
      <c r="D3317" t="s">
        <v>525</v>
      </c>
      <c r="E3317" t="s">
        <v>526</v>
      </c>
      <c r="F3317" t="s">
        <v>527</v>
      </c>
      <c r="G3317" t="s">
        <v>226</v>
      </c>
    </row>
    <row r="3318" spans="1:7" x14ac:dyDescent="0.35">
      <c r="A3318" t="s">
        <v>227</v>
      </c>
      <c r="B3318" t="s">
        <v>240</v>
      </c>
      <c r="C3318">
        <v>12157.63</v>
      </c>
      <c r="D3318">
        <v>9000</v>
      </c>
      <c r="E3318">
        <v>0</v>
      </c>
      <c r="F3318">
        <v>175000</v>
      </c>
      <c r="G3318">
        <v>1537</v>
      </c>
    </row>
    <row r="3319" spans="1:7" x14ac:dyDescent="0.35">
      <c r="A3319" t="s">
        <v>227</v>
      </c>
      <c r="B3319" t="s">
        <v>241</v>
      </c>
      <c r="C3319">
        <v>13876.39</v>
      </c>
      <c r="D3319">
        <v>8500</v>
      </c>
      <c r="E3319">
        <v>0</v>
      </c>
      <c r="F3319">
        <v>100500</v>
      </c>
      <c r="G3319">
        <v>796</v>
      </c>
    </row>
    <row r="3320" spans="1:7" x14ac:dyDescent="0.35">
      <c r="A3320" t="s">
        <v>227</v>
      </c>
      <c r="B3320" t="s">
        <v>242</v>
      </c>
      <c r="C3320">
        <v>6287.97</v>
      </c>
      <c r="D3320">
        <v>4400</v>
      </c>
      <c r="E3320">
        <v>600</v>
      </c>
      <c r="F3320">
        <v>38400</v>
      </c>
      <c r="G3320">
        <v>143</v>
      </c>
    </row>
    <row r="3321" spans="1:7" x14ac:dyDescent="0.35">
      <c r="A3321" t="s">
        <v>228</v>
      </c>
      <c r="B3321" t="s">
        <v>228</v>
      </c>
      <c r="C3321">
        <v>12264.58</v>
      </c>
      <c r="D3321">
        <v>8500</v>
      </c>
      <c r="E3321">
        <v>0</v>
      </c>
      <c r="F3321">
        <v>175000</v>
      </c>
      <c r="G3321">
        <v>2476</v>
      </c>
    </row>
    <row r="3323" spans="1:7" x14ac:dyDescent="0.35">
      <c r="A3323" s="1" t="s">
        <v>1182</v>
      </c>
    </row>
    <row r="3324" spans="1:7" x14ac:dyDescent="0.35">
      <c r="A3324" t="s">
        <v>219</v>
      </c>
      <c r="B3324" t="s">
        <v>301</v>
      </c>
      <c r="C3324" t="s">
        <v>524</v>
      </c>
      <c r="D3324" t="s">
        <v>525</v>
      </c>
      <c r="E3324" t="s">
        <v>526</v>
      </c>
      <c r="F3324" t="s">
        <v>527</v>
      </c>
      <c r="G3324" t="s">
        <v>226</v>
      </c>
    </row>
    <row r="3325" spans="1:7" x14ac:dyDescent="0.35">
      <c r="A3325" t="s">
        <v>227</v>
      </c>
      <c r="B3325" t="s">
        <v>263</v>
      </c>
      <c r="C3325">
        <v>14632.23</v>
      </c>
      <c r="D3325">
        <v>10666.7</v>
      </c>
      <c r="E3325">
        <v>0</v>
      </c>
      <c r="F3325">
        <v>175000</v>
      </c>
      <c r="G3325">
        <v>507</v>
      </c>
    </row>
    <row r="3326" spans="1:7" x14ac:dyDescent="0.35">
      <c r="A3326" t="s">
        <v>227</v>
      </c>
      <c r="B3326" t="s">
        <v>262</v>
      </c>
      <c r="C3326">
        <v>11286.41</v>
      </c>
      <c r="D3326">
        <v>7500</v>
      </c>
      <c r="E3326">
        <v>0</v>
      </c>
      <c r="F3326">
        <v>100500</v>
      </c>
      <c r="G3326">
        <v>1032</v>
      </c>
    </row>
    <row r="3327" spans="1:7" x14ac:dyDescent="0.35">
      <c r="A3327" t="s">
        <v>227</v>
      </c>
      <c r="B3327" t="s">
        <v>261</v>
      </c>
      <c r="C3327">
        <v>11914.06</v>
      </c>
      <c r="D3327">
        <v>9000</v>
      </c>
      <c r="E3327">
        <v>0</v>
      </c>
      <c r="F3327">
        <v>125000</v>
      </c>
      <c r="G3327">
        <v>935</v>
      </c>
    </row>
    <row r="3328" spans="1:7" x14ac:dyDescent="0.35">
      <c r="A3328" s="3" t="s">
        <v>227</v>
      </c>
      <c r="B3328" s="3" t="s">
        <v>232</v>
      </c>
      <c r="C3328" s="5">
        <v>22375</v>
      </c>
      <c r="D3328" s="5">
        <v>6750</v>
      </c>
      <c r="E3328" s="5">
        <v>6750</v>
      </c>
      <c r="F3328" s="5">
        <v>38000</v>
      </c>
      <c r="G3328" s="5">
        <v>2</v>
      </c>
    </row>
    <row r="3329" spans="1:7" x14ac:dyDescent="0.35">
      <c r="A3329" t="s">
        <v>228</v>
      </c>
      <c r="B3329" t="s">
        <v>228</v>
      </c>
      <c r="C3329">
        <v>12264.58</v>
      </c>
      <c r="D3329">
        <v>8500</v>
      </c>
      <c r="E3329">
        <v>0</v>
      </c>
      <c r="F3329">
        <v>175000</v>
      </c>
      <c r="G3329">
        <v>2476</v>
      </c>
    </row>
    <row r="3331" spans="1:7" x14ac:dyDescent="0.35">
      <c r="A3331" s="1" t="s">
        <v>1183</v>
      </c>
    </row>
    <row r="3332" spans="1:7" x14ac:dyDescent="0.35">
      <c r="A3332" t="s">
        <v>219</v>
      </c>
      <c r="B3332" t="s">
        <v>301</v>
      </c>
      <c r="C3332" t="s">
        <v>524</v>
      </c>
      <c r="D3332" t="s">
        <v>525</v>
      </c>
      <c r="E3332" t="s">
        <v>526</v>
      </c>
      <c r="F3332" t="s">
        <v>527</v>
      </c>
      <c r="G3332" t="s">
        <v>226</v>
      </c>
    </row>
    <row r="3333" spans="1:7" x14ac:dyDescent="0.35">
      <c r="A3333" t="s">
        <v>227</v>
      </c>
      <c r="B3333" t="s">
        <v>248</v>
      </c>
      <c r="C3333">
        <v>8161.38</v>
      </c>
      <c r="D3333">
        <v>6250</v>
      </c>
      <c r="E3333">
        <v>0</v>
      </c>
      <c r="F3333">
        <v>89000</v>
      </c>
      <c r="G3333">
        <v>750</v>
      </c>
    </row>
    <row r="3334" spans="1:7" x14ac:dyDescent="0.35">
      <c r="A3334" t="s">
        <v>227</v>
      </c>
      <c r="B3334" t="s">
        <v>249</v>
      </c>
      <c r="C3334">
        <v>8989.5300000000007</v>
      </c>
      <c r="D3334">
        <v>7166.7</v>
      </c>
      <c r="E3334">
        <v>0</v>
      </c>
      <c r="F3334">
        <v>77000</v>
      </c>
      <c r="G3334">
        <v>485</v>
      </c>
    </row>
    <row r="3335" spans="1:7" x14ac:dyDescent="0.35">
      <c r="A3335" t="s">
        <v>227</v>
      </c>
      <c r="B3335" t="s">
        <v>247</v>
      </c>
      <c r="C3335">
        <v>15780.45</v>
      </c>
      <c r="D3335">
        <v>12033.3</v>
      </c>
      <c r="E3335">
        <v>0</v>
      </c>
      <c r="F3335">
        <v>175000</v>
      </c>
      <c r="G3335">
        <v>1241</v>
      </c>
    </row>
    <row r="3336" spans="1:7" x14ac:dyDescent="0.35">
      <c r="A3336" t="s">
        <v>228</v>
      </c>
      <c r="B3336" t="s">
        <v>228</v>
      </c>
      <c r="C3336">
        <v>12264.58</v>
      </c>
      <c r="D3336">
        <v>8500</v>
      </c>
      <c r="E3336">
        <v>0</v>
      </c>
      <c r="F3336">
        <v>175000</v>
      </c>
      <c r="G3336">
        <v>2476</v>
      </c>
    </row>
    <row r="3338" spans="1:7" x14ac:dyDescent="0.35">
      <c r="A3338" s="1" t="s">
        <v>1184</v>
      </c>
    </row>
    <row r="3339" spans="1:7" x14ac:dyDescent="0.35">
      <c r="A3339" t="s">
        <v>219</v>
      </c>
      <c r="B3339" t="s">
        <v>301</v>
      </c>
      <c r="C3339" t="s">
        <v>524</v>
      </c>
      <c r="D3339" t="s">
        <v>525</v>
      </c>
      <c r="E3339" t="s">
        <v>526</v>
      </c>
      <c r="F3339" t="s">
        <v>527</v>
      </c>
      <c r="G3339" t="s">
        <v>226</v>
      </c>
    </row>
    <row r="3340" spans="1:7" x14ac:dyDescent="0.35">
      <c r="A3340" t="s">
        <v>227</v>
      </c>
      <c r="B3340" t="s">
        <v>245</v>
      </c>
      <c r="C3340">
        <v>10456.620000000001</v>
      </c>
      <c r="D3340">
        <v>7596</v>
      </c>
      <c r="E3340">
        <v>0</v>
      </c>
      <c r="F3340">
        <v>150000</v>
      </c>
      <c r="G3340">
        <v>681</v>
      </c>
    </row>
    <row r="3341" spans="1:7" x14ac:dyDescent="0.35">
      <c r="A3341" t="s">
        <v>227</v>
      </c>
      <c r="B3341" t="s">
        <v>244</v>
      </c>
      <c r="C3341">
        <v>12988.02</v>
      </c>
      <c r="D3341">
        <v>9000</v>
      </c>
      <c r="E3341">
        <v>0</v>
      </c>
      <c r="F3341">
        <v>175000</v>
      </c>
      <c r="G3341">
        <v>1795</v>
      </c>
    </row>
    <row r="3342" spans="1:7" x14ac:dyDescent="0.35">
      <c r="A3342" t="s">
        <v>228</v>
      </c>
      <c r="B3342" t="s">
        <v>228</v>
      </c>
      <c r="C3342">
        <v>12264.58</v>
      </c>
      <c r="D3342">
        <v>8500</v>
      </c>
      <c r="E3342">
        <v>0</v>
      </c>
      <c r="F3342">
        <v>175000</v>
      </c>
      <c r="G3342">
        <v>2476</v>
      </c>
    </row>
    <row r="3344" spans="1:7" x14ac:dyDescent="0.35">
      <c r="A3344" s="1" t="s">
        <v>1185</v>
      </c>
    </row>
    <row r="3345" spans="1:7" x14ac:dyDescent="0.35">
      <c r="A3345" t="s">
        <v>219</v>
      </c>
      <c r="B3345" t="s">
        <v>301</v>
      </c>
      <c r="C3345" t="s">
        <v>524</v>
      </c>
      <c r="D3345" t="s">
        <v>525</v>
      </c>
      <c r="E3345" t="s">
        <v>526</v>
      </c>
      <c r="F3345" t="s">
        <v>527</v>
      </c>
      <c r="G3345" t="s">
        <v>226</v>
      </c>
    </row>
    <row r="3346" spans="1:7" x14ac:dyDescent="0.35">
      <c r="A3346" t="s">
        <v>227</v>
      </c>
      <c r="B3346" t="s">
        <v>259</v>
      </c>
      <c r="C3346">
        <v>10733.32</v>
      </c>
      <c r="D3346">
        <v>7750</v>
      </c>
      <c r="E3346">
        <v>1000</v>
      </c>
      <c r="F3346">
        <v>34833.300000000003</v>
      </c>
      <c r="G3346">
        <v>63</v>
      </c>
    </row>
    <row r="3347" spans="1:7" x14ac:dyDescent="0.35">
      <c r="A3347" t="s">
        <v>227</v>
      </c>
      <c r="B3347" t="s">
        <v>257</v>
      </c>
      <c r="C3347">
        <v>11480.83</v>
      </c>
      <c r="D3347">
        <v>8000</v>
      </c>
      <c r="E3347">
        <v>0</v>
      </c>
      <c r="F3347">
        <v>75000</v>
      </c>
      <c r="G3347">
        <v>362</v>
      </c>
    </row>
    <row r="3348" spans="1:7" x14ac:dyDescent="0.35">
      <c r="A3348" t="s">
        <v>227</v>
      </c>
      <c r="B3348" t="s">
        <v>256</v>
      </c>
      <c r="C3348">
        <v>11590.85</v>
      </c>
      <c r="D3348">
        <v>8000</v>
      </c>
      <c r="E3348">
        <v>0</v>
      </c>
      <c r="F3348">
        <v>175000</v>
      </c>
      <c r="G3348">
        <v>1592</v>
      </c>
    </row>
    <row r="3349" spans="1:7" x14ac:dyDescent="0.35">
      <c r="A3349" s="3" t="s">
        <v>227</v>
      </c>
      <c r="B3349" s="3" t="s">
        <v>232</v>
      </c>
      <c r="C3349" s="5">
        <v>6490.65</v>
      </c>
      <c r="D3349" s="5">
        <v>8500</v>
      </c>
      <c r="E3349" s="5">
        <v>1500</v>
      </c>
      <c r="F3349" s="5">
        <v>17000</v>
      </c>
      <c r="G3349" s="5">
        <v>8</v>
      </c>
    </row>
    <row r="3350" spans="1:7" x14ac:dyDescent="0.35">
      <c r="A3350" t="s">
        <v>227</v>
      </c>
      <c r="B3350" t="s">
        <v>258</v>
      </c>
      <c r="C3350">
        <v>16516.54</v>
      </c>
      <c r="D3350">
        <v>12500</v>
      </c>
      <c r="E3350">
        <v>0</v>
      </c>
      <c r="F3350">
        <v>125000</v>
      </c>
      <c r="G3350">
        <v>451</v>
      </c>
    </row>
    <row r="3351" spans="1:7" x14ac:dyDescent="0.35">
      <c r="A3351" t="s">
        <v>228</v>
      </c>
      <c r="B3351" t="s">
        <v>228</v>
      </c>
      <c r="C3351">
        <v>12264.58</v>
      </c>
      <c r="D3351">
        <v>8500</v>
      </c>
      <c r="E3351">
        <v>0</v>
      </c>
      <c r="F3351">
        <v>175000</v>
      </c>
      <c r="G3351">
        <v>2476</v>
      </c>
    </row>
    <row r="3353" spans="1:7" x14ac:dyDescent="0.35">
      <c r="A3353" s="1" t="s">
        <v>1186</v>
      </c>
    </row>
    <row r="3354" spans="1:7" x14ac:dyDescent="0.35">
      <c r="A3354" t="s">
        <v>219</v>
      </c>
      <c r="B3354" t="s">
        <v>301</v>
      </c>
      <c r="C3354" t="s">
        <v>524</v>
      </c>
      <c r="D3354" t="s">
        <v>525</v>
      </c>
      <c r="E3354" t="s">
        <v>526</v>
      </c>
      <c r="F3354" t="s">
        <v>527</v>
      </c>
      <c r="G3354" t="s">
        <v>226</v>
      </c>
    </row>
    <row r="3355" spans="1:7" x14ac:dyDescent="0.35">
      <c r="A3355" t="s">
        <v>227</v>
      </c>
      <c r="B3355" t="s">
        <v>343</v>
      </c>
      <c r="C3355">
        <v>11480.83</v>
      </c>
      <c r="D3355">
        <v>8000</v>
      </c>
      <c r="E3355">
        <v>0</v>
      </c>
      <c r="F3355">
        <v>75000</v>
      </c>
      <c r="G3355">
        <v>362</v>
      </c>
    </row>
    <row r="3356" spans="1:7" x14ac:dyDescent="0.35">
      <c r="A3356" t="s">
        <v>227</v>
      </c>
      <c r="B3356" t="s">
        <v>344</v>
      </c>
      <c r="C3356">
        <v>12417.01</v>
      </c>
      <c r="D3356">
        <v>8500</v>
      </c>
      <c r="E3356">
        <v>0</v>
      </c>
      <c r="F3356">
        <v>175000</v>
      </c>
      <c r="G3356">
        <v>2114</v>
      </c>
    </row>
    <row r="3357" spans="1:7" x14ac:dyDescent="0.35">
      <c r="A3357" t="s">
        <v>228</v>
      </c>
      <c r="B3357" t="s">
        <v>228</v>
      </c>
      <c r="C3357">
        <v>12264.58</v>
      </c>
      <c r="D3357">
        <v>8500</v>
      </c>
      <c r="E3357">
        <v>0</v>
      </c>
      <c r="F3357">
        <v>175000</v>
      </c>
      <c r="G3357">
        <v>2476</v>
      </c>
    </row>
    <row r="3359" spans="1:7" x14ac:dyDescent="0.35">
      <c r="A3359" s="1" t="s">
        <v>1187</v>
      </c>
    </row>
    <row r="3360" spans="1:7" x14ac:dyDescent="0.35">
      <c r="A3360" t="s">
        <v>219</v>
      </c>
      <c r="B3360" t="s">
        <v>301</v>
      </c>
      <c r="C3360" t="s">
        <v>524</v>
      </c>
      <c r="D3360" t="s">
        <v>525</v>
      </c>
      <c r="E3360" t="s">
        <v>526</v>
      </c>
      <c r="F3360" t="s">
        <v>527</v>
      </c>
      <c r="G3360" t="s">
        <v>226</v>
      </c>
    </row>
    <row r="3361" spans="1:7" x14ac:dyDescent="0.35">
      <c r="A3361" t="s">
        <v>227</v>
      </c>
      <c r="B3361" t="s">
        <v>346</v>
      </c>
      <c r="C3361">
        <v>12381.17</v>
      </c>
      <c r="D3361">
        <v>8500</v>
      </c>
      <c r="E3361">
        <v>0</v>
      </c>
      <c r="F3361">
        <v>175000</v>
      </c>
      <c r="G3361">
        <v>1292</v>
      </c>
    </row>
    <row r="3362" spans="1:7" x14ac:dyDescent="0.35">
      <c r="A3362" t="s">
        <v>227</v>
      </c>
      <c r="B3362" t="s">
        <v>347</v>
      </c>
      <c r="C3362">
        <v>9592.7900000000009</v>
      </c>
      <c r="D3362">
        <v>6800</v>
      </c>
      <c r="E3362">
        <v>0</v>
      </c>
      <c r="F3362">
        <v>150000</v>
      </c>
      <c r="G3362">
        <v>508</v>
      </c>
    </row>
    <row r="3363" spans="1:7" x14ac:dyDescent="0.35">
      <c r="A3363" t="s">
        <v>227</v>
      </c>
      <c r="B3363" t="s">
        <v>348</v>
      </c>
      <c r="C3363">
        <v>12147.22</v>
      </c>
      <c r="D3363">
        <v>8500</v>
      </c>
      <c r="E3363">
        <v>0</v>
      </c>
      <c r="F3363">
        <v>125000</v>
      </c>
      <c r="G3363">
        <v>676</v>
      </c>
    </row>
    <row r="3364" spans="1:7" x14ac:dyDescent="0.35">
      <c r="A3364" t="s">
        <v>228</v>
      </c>
      <c r="B3364" t="s">
        <v>228</v>
      </c>
      <c r="C3364">
        <v>12264.58</v>
      </c>
      <c r="D3364">
        <v>8500</v>
      </c>
      <c r="E3364">
        <v>0</v>
      </c>
      <c r="F3364">
        <v>175000</v>
      </c>
      <c r="G3364">
        <v>2476</v>
      </c>
    </row>
    <row r="3366" spans="1:7" x14ac:dyDescent="0.35">
      <c r="A3366" s="1" t="s">
        <v>1188</v>
      </c>
    </row>
    <row r="3367" spans="1:7" x14ac:dyDescent="0.35">
      <c r="A3367" t="s">
        <v>219</v>
      </c>
      <c r="B3367" t="s">
        <v>301</v>
      </c>
      <c r="C3367" t="s">
        <v>524</v>
      </c>
      <c r="D3367" t="s">
        <v>525</v>
      </c>
      <c r="E3367" t="s">
        <v>526</v>
      </c>
      <c r="F3367" t="s">
        <v>527</v>
      </c>
      <c r="G3367" t="s">
        <v>226</v>
      </c>
    </row>
    <row r="3368" spans="1:7" x14ac:dyDescent="0.35">
      <c r="A3368" t="s">
        <v>227</v>
      </c>
      <c r="B3368" t="s">
        <v>251</v>
      </c>
      <c r="C3368">
        <v>12988.02</v>
      </c>
      <c r="D3368">
        <v>9000</v>
      </c>
      <c r="E3368">
        <v>0</v>
      </c>
      <c r="F3368">
        <v>175000</v>
      </c>
      <c r="G3368">
        <v>1795</v>
      </c>
    </row>
    <row r="3369" spans="1:7" x14ac:dyDescent="0.35">
      <c r="A3369" t="s">
        <v>227</v>
      </c>
      <c r="B3369" t="s">
        <v>252</v>
      </c>
      <c r="C3369">
        <v>10789.23</v>
      </c>
      <c r="D3369">
        <v>8000</v>
      </c>
      <c r="E3369">
        <v>0</v>
      </c>
      <c r="F3369">
        <v>150000</v>
      </c>
      <c r="G3369">
        <v>536</v>
      </c>
    </row>
    <row r="3370" spans="1:7" x14ac:dyDescent="0.35">
      <c r="A3370" t="s">
        <v>227</v>
      </c>
      <c r="B3370" t="s">
        <v>253</v>
      </c>
      <c r="C3370">
        <v>9066.57</v>
      </c>
      <c r="D3370">
        <v>6500</v>
      </c>
      <c r="E3370">
        <v>0</v>
      </c>
      <c r="F3370">
        <v>50000</v>
      </c>
      <c r="G3370">
        <v>138</v>
      </c>
    </row>
    <row r="3371" spans="1:7" x14ac:dyDescent="0.35">
      <c r="A3371" s="3" t="s">
        <v>227</v>
      </c>
      <c r="B3371" s="3" t="s">
        <v>254</v>
      </c>
      <c r="C3371" s="5">
        <v>10098.64</v>
      </c>
      <c r="D3371" s="5">
        <v>15150</v>
      </c>
      <c r="E3371" s="5">
        <v>2100</v>
      </c>
      <c r="F3371" s="5">
        <v>15150</v>
      </c>
      <c r="G3371" s="5">
        <v>7</v>
      </c>
    </row>
    <row r="3372" spans="1:7" x14ac:dyDescent="0.35">
      <c r="A3372" t="s">
        <v>228</v>
      </c>
      <c r="B3372" t="s">
        <v>228</v>
      </c>
      <c r="C3372">
        <v>12264.58</v>
      </c>
      <c r="D3372">
        <v>8500</v>
      </c>
      <c r="E3372">
        <v>0</v>
      </c>
      <c r="F3372">
        <v>175000</v>
      </c>
      <c r="G3372">
        <v>2476</v>
      </c>
    </row>
    <row r="3374" spans="1:7" x14ac:dyDescent="0.35">
      <c r="A3374" s="1" t="s">
        <v>1189</v>
      </c>
    </row>
    <row r="3375" spans="1:7" x14ac:dyDescent="0.35">
      <c r="A3375" t="s">
        <v>219</v>
      </c>
      <c r="B3375" t="s">
        <v>1190</v>
      </c>
      <c r="C3375" t="s">
        <v>1191</v>
      </c>
      <c r="D3375" t="s">
        <v>226</v>
      </c>
    </row>
    <row r="3376" spans="1:7" x14ac:dyDescent="0.35">
      <c r="A3376" t="s">
        <v>227</v>
      </c>
      <c r="B3376" s="2">
        <v>0.71330000000000005</v>
      </c>
      <c r="C3376" s="2">
        <v>0.28670000000000001</v>
      </c>
      <c r="D3376">
        <v>346</v>
      </c>
    </row>
    <row r="3377" spans="1:5" x14ac:dyDescent="0.35">
      <c r="A3377" t="s">
        <v>228</v>
      </c>
      <c r="B3377" s="2">
        <v>0.71330000000000005</v>
      </c>
      <c r="C3377" s="2">
        <v>0.28670000000000001</v>
      </c>
      <c r="D3377">
        <v>346</v>
      </c>
    </row>
    <row r="3379" spans="1:5" x14ac:dyDescent="0.35">
      <c r="A3379" s="1" t="s">
        <v>1192</v>
      </c>
    </row>
    <row r="3380" spans="1:5" x14ac:dyDescent="0.35">
      <c r="A3380" t="s">
        <v>219</v>
      </c>
      <c r="B3380" t="s">
        <v>301</v>
      </c>
      <c r="C3380" t="s">
        <v>1190</v>
      </c>
      <c r="D3380" t="s">
        <v>1191</v>
      </c>
      <c r="E3380" t="s">
        <v>226</v>
      </c>
    </row>
    <row r="3381" spans="1:5" x14ac:dyDescent="0.35">
      <c r="A3381" t="s">
        <v>227</v>
      </c>
      <c r="B3381" t="s">
        <v>238</v>
      </c>
      <c r="C3381" s="2">
        <v>0.73540000000000005</v>
      </c>
      <c r="D3381" s="2">
        <v>0.2646</v>
      </c>
      <c r="E3381">
        <v>120</v>
      </c>
    </row>
    <row r="3382" spans="1:5" x14ac:dyDescent="0.35">
      <c r="A3382" t="s">
        <v>227</v>
      </c>
      <c r="B3382" t="s">
        <v>237</v>
      </c>
      <c r="C3382" s="2">
        <v>0.70109999999999995</v>
      </c>
      <c r="D3382" s="2">
        <v>0.2989</v>
      </c>
      <c r="E3382">
        <v>226</v>
      </c>
    </row>
    <row r="3383" spans="1:5" x14ac:dyDescent="0.35">
      <c r="A3383" t="s">
        <v>228</v>
      </c>
      <c r="B3383" t="s">
        <v>228</v>
      </c>
      <c r="C3383" s="2">
        <v>0.71330000000000005</v>
      </c>
      <c r="D3383" s="2">
        <v>0.28670000000000001</v>
      </c>
      <c r="E3383">
        <v>346</v>
      </c>
    </row>
    <row r="3385" spans="1:5" x14ac:dyDescent="0.35">
      <c r="A3385" s="1" t="s">
        <v>1193</v>
      </c>
    </row>
    <row r="3386" spans="1:5" x14ac:dyDescent="0.35">
      <c r="A3386" t="s">
        <v>219</v>
      </c>
      <c r="B3386" t="s">
        <v>301</v>
      </c>
      <c r="C3386" t="s">
        <v>1190</v>
      </c>
      <c r="D3386" t="s">
        <v>1191</v>
      </c>
      <c r="E3386" t="s">
        <v>226</v>
      </c>
    </row>
    <row r="3387" spans="1:5" x14ac:dyDescent="0.35">
      <c r="A3387" t="s">
        <v>227</v>
      </c>
      <c r="B3387" t="s">
        <v>235</v>
      </c>
      <c r="C3387" s="2">
        <v>0.70369999999999999</v>
      </c>
      <c r="D3387" s="2">
        <v>0.29630000000000001</v>
      </c>
      <c r="E3387">
        <v>114</v>
      </c>
    </row>
    <row r="3388" spans="1:5" x14ac:dyDescent="0.35">
      <c r="A3388" t="s">
        <v>227</v>
      </c>
      <c r="B3388" t="s">
        <v>234</v>
      </c>
      <c r="C3388" s="2">
        <v>0.71640000000000004</v>
      </c>
      <c r="D3388" s="2">
        <v>0.28360000000000002</v>
      </c>
      <c r="E3388">
        <v>232</v>
      </c>
    </row>
    <row r="3389" spans="1:5" x14ac:dyDescent="0.35">
      <c r="A3389" t="s">
        <v>228</v>
      </c>
      <c r="B3389" t="s">
        <v>228</v>
      </c>
      <c r="C3389" s="2">
        <v>0.71330000000000005</v>
      </c>
      <c r="D3389" s="2">
        <v>0.28670000000000001</v>
      </c>
      <c r="E3389">
        <v>346</v>
      </c>
    </row>
    <row r="3391" spans="1:5" x14ac:dyDescent="0.35">
      <c r="A3391" s="1" t="s">
        <v>1194</v>
      </c>
    </row>
    <row r="3392" spans="1:5" x14ac:dyDescent="0.35">
      <c r="A3392" t="s">
        <v>219</v>
      </c>
      <c r="B3392" t="s">
        <v>301</v>
      </c>
      <c r="C3392" t="s">
        <v>1190</v>
      </c>
      <c r="D3392" t="s">
        <v>1191</v>
      </c>
      <c r="E3392" t="s">
        <v>226</v>
      </c>
    </row>
    <row r="3393" spans="1:5" x14ac:dyDescent="0.35">
      <c r="A3393" t="s">
        <v>227</v>
      </c>
      <c r="B3393" t="s">
        <v>240</v>
      </c>
      <c r="C3393" s="2">
        <v>0.7722</v>
      </c>
      <c r="D3393" s="2">
        <v>0.2278</v>
      </c>
      <c r="E3393">
        <v>192</v>
      </c>
    </row>
    <row r="3394" spans="1:5" x14ac:dyDescent="0.35">
      <c r="A3394" t="s">
        <v>227</v>
      </c>
      <c r="B3394" t="s">
        <v>241</v>
      </c>
      <c r="C3394" s="2">
        <v>0.57609999999999995</v>
      </c>
      <c r="D3394" s="2">
        <v>0.4239</v>
      </c>
      <c r="E3394">
        <v>132</v>
      </c>
    </row>
    <row r="3395" spans="1:5" x14ac:dyDescent="0.35">
      <c r="A3395" s="3" t="s">
        <v>227</v>
      </c>
      <c r="B3395" s="3" t="s">
        <v>242</v>
      </c>
      <c r="C3395" s="4">
        <v>0.85599999999999998</v>
      </c>
      <c r="D3395" s="4">
        <v>0.14399999999999999</v>
      </c>
      <c r="E3395" s="5" t="s">
        <v>477</v>
      </c>
    </row>
    <row r="3396" spans="1:5" x14ac:dyDescent="0.35">
      <c r="A3396" t="s">
        <v>228</v>
      </c>
      <c r="B3396" t="s">
        <v>228</v>
      </c>
      <c r="C3396" s="2">
        <v>0.71330000000000005</v>
      </c>
      <c r="D3396" s="2">
        <v>0.28670000000000001</v>
      </c>
      <c r="E3396">
        <v>346</v>
      </c>
    </row>
    <row r="3398" spans="1:5" x14ac:dyDescent="0.35">
      <c r="A3398" s="1" t="s">
        <v>1195</v>
      </c>
    </row>
    <row r="3399" spans="1:5" x14ac:dyDescent="0.35">
      <c r="A3399" t="s">
        <v>219</v>
      </c>
      <c r="B3399" t="s">
        <v>301</v>
      </c>
      <c r="C3399" t="s">
        <v>1190</v>
      </c>
      <c r="D3399" t="s">
        <v>1191</v>
      </c>
      <c r="E3399" t="s">
        <v>226</v>
      </c>
    </row>
    <row r="3400" spans="1:5" x14ac:dyDescent="0.35">
      <c r="A3400" t="s">
        <v>227</v>
      </c>
      <c r="B3400" t="s">
        <v>263</v>
      </c>
      <c r="C3400" s="2">
        <v>0.68759999999999999</v>
      </c>
      <c r="D3400" s="2">
        <v>0.31240000000000001</v>
      </c>
      <c r="E3400">
        <v>53</v>
      </c>
    </row>
    <row r="3401" spans="1:5" x14ac:dyDescent="0.35">
      <c r="A3401" t="s">
        <v>227</v>
      </c>
      <c r="B3401" t="s">
        <v>262</v>
      </c>
      <c r="C3401" s="2">
        <v>0.64749999999999996</v>
      </c>
      <c r="D3401" s="2">
        <v>0.35249999999999998</v>
      </c>
      <c r="E3401">
        <v>183</v>
      </c>
    </row>
    <row r="3402" spans="1:5" x14ac:dyDescent="0.35">
      <c r="A3402" t="s">
        <v>227</v>
      </c>
      <c r="B3402" t="s">
        <v>261</v>
      </c>
      <c r="C3402" s="2">
        <v>0.79979999999999996</v>
      </c>
      <c r="D3402" s="2">
        <v>0.20019999999999999</v>
      </c>
      <c r="E3402">
        <v>110</v>
      </c>
    </row>
    <row r="3403" spans="1:5" x14ac:dyDescent="0.35">
      <c r="A3403" t="s">
        <v>228</v>
      </c>
      <c r="B3403" t="s">
        <v>228</v>
      </c>
      <c r="C3403" s="2">
        <v>0.71330000000000005</v>
      </c>
      <c r="D3403" s="2">
        <v>0.28670000000000001</v>
      </c>
      <c r="E3403">
        <v>346</v>
      </c>
    </row>
    <row r="3405" spans="1:5" x14ac:dyDescent="0.35">
      <c r="A3405" s="1" t="s">
        <v>1196</v>
      </c>
    </row>
    <row r="3406" spans="1:5" x14ac:dyDescent="0.35">
      <c r="A3406" t="s">
        <v>219</v>
      </c>
      <c r="B3406" t="s">
        <v>301</v>
      </c>
      <c r="C3406" t="s">
        <v>1190</v>
      </c>
      <c r="D3406" t="s">
        <v>1191</v>
      </c>
      <c r="E3406" t="s">
        <v>226</v>
      </c>
    </row>
    <row r="3407" spans="1:5" x14ac:dyDescent="0.35">
      <c r="A3407" t="s">
        <v>227</v>
      </c>
      <c r="B3407" t="s">
        <v>248</v>
      </c>
      <c r="C3407" s="2">
        <v>0.66579999999999995</v>
      </c>
      <c r="D3407" s="2">
        <v>0.3342</v>
      </c>
      <c r="E3407">
        <v>102</v>
      </c>
    </row>
    <row r="3408" spans="1:5" x14ac:dyDescent="0.35">
      <c r="A3408" t="s">
        <v>227</v>
      </c>
      <c r="B3408" t="s">
        <v>249</v>
      </c>
      <c r="C3408" s="2">
        <v>0.69320000000000004</v>
      </c>
      <c r="D3408" s="2">
        <v>0.30680000000000002</v>
      </c>
      <c r="E3408">
        <v>58</v>
      </c>
    </row>
    <row r="3409" spans="1:5" x14ac:dyDescent="0.35">
      <c r="A3409" t="s">
        <v>227</v>
      </c>
      <c r="B3409" t="s">
        <v>247</v>
      </c>
      <c r="C3409" s="2">
        <v>0.74099999999999999</v>
      </c>
      <c r="D3409" s="2">
        <v>0.25900000000000001</v>
      </c>
      <c r="E3409">
        <v>186</v>
      </c>
    </row>
    <row r="3410" spans="1:5" x14ac:dyDescent="0.35">
      <c r="A3410" t="s">
        <v>228</v>
      </c>
      <c r="B3410" t="s">
        <v>228</v>
      </c>
      <c r="C3410" s="2">
        <v>0.71330000000000005</v>
      </c>
      <c r="D3410" s="2">
        <v>0.28670000000000001</v>
      </c>
      <c r="E3410">
        <v>346</v>
      </c>
    </row>
    <row r="3412" spans="1:5" x14ac:dyDescent="0.35">
      <c r="A3412" s="1" t="s">
        <v>1197</v>
      </c>
    </row>
    <row r="3413" spans="1:5" x14ac:dyDescent="0.35">
      <c r="A3413" t="s">
        <v>219</v>
      </c>
      <c r="B3413" t="s">
        <v>301</v>
      </c>
      <c r="C3413" t="s">
        <v>1190</v>
      </c>
      <c r="D3413" t="s">
        <v>1191</v>
      </c>
      <c r="E3413" t="s">
        <v>226</v>
      </c>
    </row>
    <row r="3414" spans="1:5" x14ac:dyDescent="0.35">
      <c r="A3414" t="s">
        <v>227</v>
      </c>
      <c r="B3414" t="s">
        <v>245</v>
      </c>
      <c r="C3414" s="2">
        <v>0.80959999999999999</v>
      </c>
      <c r="D3414" s="2">
        <v>0.19040000000000001</v>
      </c>
      <c r="E3414">
        <v>108</v>
      </c>
    </row>
    <row r="3415" spans="1:5" x14ac:dyDescent="0.35">
      <c r="A3415" t="s">
        <v>227</v>
      </c>
      <c r="B3415" t="s">
        <v>244</v>
      </c>
      <c r="C3415" s="2">
        <v>0.66390000000000005</v>
      </c>
      <c r="D3415" s="2">
        <v>0.33610000000000001</v>
      </c>
      <c r="E3415">
        <v>238</v>
      </c>
    </row>
    <row r="3416" spans="1:5" x14ac:dyDescent="0.35">
      <c r="A3416" t="s">
        <v>228</v>
      </c>
      <c r="B3416" t="s">
        <v>228</v>
      </c>
      <c r="C3416" s="2">
        <v>0.71330000000000005</v>
      </c>
      <c r="D3416" s="2">
        <v>0.28670000000000001</v>
      </c>
      <c r="E3416">
        <v>346</v>
      </c>
    </row>
    <row r="3418" spans="1:5" x14ac:dyDescent="0.35">
      <c r="A3418" s="1" t="s">
        <v>1198</v>
      </c>
    </row>
    <row r="3419" spans="1:5" x14ac:dyDescent="0.35">
      <c r="A3419" t="s">
        <v>219</v>
      </c>
      <c r="B3419" t="s">
        <v>301</v>
      </c>
      <c r="C3419" t="s">
        <v>1190</v>
      </c>
      <c r="D3419" t="s">
        <v>1191</v>
      </c>
      <c r="E3419" t="s">
        <v>226</v>
      </c>
    </row>
    <row r="3420" spans="1:5" x14ac:dyDescent="0.35">
      <c r="A3420" s="3" t="s">
        <v>227</v>
      </c>
      <c r="B3420" s="3" t="s">
        <v>259</v>
      </c>
      <c r="C3420" s="4">
        <v>0.91769999999999996</v>
      </c>
      <c r="D3420" s="4">
        <v>8.2299999999999998E-2</v>
      </c>
      <c r="E3420" s="5" t="s">
        <v>515</v>
      </c>
    </row>
    <row r="3421" spans="1:5" x14ac:dyDescent="0.35">
      <c r="A3421" t="s">
        <v>227</v>
      </c>
      <c r="B3421" t="s">
        <v>257</v>
      </c>
      <c r="C3421" s="2">
        <v>0.67230000000000001</v>
      </c>
      <c r="D3421" s="2">
        <v>0.32769999999999999</v>
      </c>
      <c r="E3421">
        <v>53</v>
      </c>
    </row>
    <row r="3422" spans="1:5" x14ac:dyDescent="0.35">
      <c r="A3422" t="s">
        <v>227</v>
      </c>
      <c r="B3422" t="s">
        <v>256</v>
      </c>
      <c r="C3422" s="2">
        <v>0.67989999999999995</v>
      </c>
      <c r="D3422" s="2">
        <v>0.3201</v>
      </c>
      <c r="E3422">
        <v>212</v>
      </c>
    </row>
    <row r="3423" spans="1:5" x14ac:dyDescent="0.35">
      <c r="A3423" s="3" t="s">
        <v>227</v>
      </c>
      <c r="B3423" s="3" t="s">
        <v>232</v>
      </c>
      <c r="C3423" s="4">
        <v>1</v>
      </c>
      <c r="D3423" s="5"/>
      <c r="E3423" s="5" t="s">
        <v>434</v>
      </c>
    </row>
    <row r="3424" spans="1:5" x14ac:dyDescent="0.35">
      <c r="A3424" t="s">
        <v>227</v>
      </c>
      <c r="B3424" t="s">
        <v>258</v>
      </c>
      <c r="C3424" s="2">
        <v>0.86909999999999998</v>
      </c>
      <c r="D3424" s="2">
        <v>0.13089999999999999</v>
      </c>
      <c r="E3424">
        <v>70</v>
      </c>
    </row>
    <row r="3425" spans="1:5" x14ac:dyDescent="0.35">
      <c r="A3425" t="s">
        <v>228</v>
      </c>
      <c r="B3425" t="s">
        <v>228</v>
      </c>
      <c r="C3425" s="2">
        <v>0.71330000000000005</v>
      </c>
      <c r="D3425" s="2">
        <v>0.28670000000000001</v>
      </c>
      <c r="E3425">
        <v>346</v>
      </c>
    </row>
    <row r="3427" spans="1:5" x14ac:dyDescent="0.35">
      <c r="A3427" s="1" t="s">
        <v>1199</v>
      </c>
    </row>
    <row r="3428" spans="1:5" x14ac:dyDescent="0.35">
      <c r="A3428" t="s">
        <v>219</v>
      </c>
      <c r="B3428" t="s">
        <v>301</v>
      </c>
      <c r="C3428" t="s">
        <v>1190</v>
      </c>
      <c r="D3428" t="s">
        <v>1191</v>
      </c>
      <c r="E3428" t="s">
        <v>226</v>
      </c>
    </row>
    <row r="3429" spans="1:5" x14ac:dyDescent="0.35">
      <c r="A3429" t="s">
        <v>227</v>
      </c>
      <c r="B3429" t="s">
        <v>343</v>
      </c>
      <c r="C3429" s="2">
        <v>0.67230000000000001</v>
      </c>
      <c r="D3429" s="2">
        <v>0.32769999999999999</v>
      </c>
      <c r="E3429">
        <v>53</v>
      </c>
    </row>
    <row r="3430" spans="1:5" x14ac:dyDescent="0.35">
      <c r="A3430" t="s">
        <v>227</v>
      </c>
      <c r="B3430" t="s">
        <v>344</v>
      </c>
      <c r="C3430" s="2">
        <v>0.72060000000000002</v>
      </c>
      <c r="D3430" s="2">
        <v>0.27939999999999998</v>
      </c>
      <c r="E3430">
        <v>293</v>
      </c>
    </row>
    <row r="3431" spans="1:5" x14ac:dyDescent="0.35">
      <c r="A3431" t="s">
        <v>228</v>
      </c>
      <c r="B3431" t="s">
        <v>228</v>
      </c>
      <c r="C3431" s="2">
        <v>0.71330000000000005</v>
      </c>
      <c r="D3431" s="2">
        <v>0.28670000000000001</v>
      </c>
      <c r="E3431">
        <v>346</v>
      </c>
    </row>
    <row r="3433" spans="1:5" x14ac:dyDescent="0.35">
      <c r="A3433" s="1" t="s">
        <v>1200</v>
      </c>
    </row>
    <row r="3434" spans="1:5" x14ac:dyDescent="0.35">
      <c r="A3434" t="s">
        <v>219</v>
      </c>
      <c r="B3434" t="s">
        <v>301</v>
      </c>
      <c r="C3434" t="s">
        <v>1190</v>
      </c>
      <c r="D3434" t="s">
        <v>1191</v>
      </c>
      <c r="E3434" t="s">
        <v>226</v>
      </c>
    </row>
    <row r="3435" spans="1:5" x14ac:dyDescent="0.35">
      <c r="A3435" t="s">
        <v>227</v>
      </c>
      <c r="B3435" t="s">
        <v>346</v>
      </c>
      <c r="C3435" s="2">
        <v>0.71889999999999998</v>
      </c>
      <c r="D3435" s="2">
        <v>0.28110000000000002</v>
      </c>
      <c r="E3435">
        <v>191</v>
      </c>
    </row>
    <row r="3436" spans="1:5" x14ac:dyDescent="0.35">
      <c r="A3436" t="s">
        <v>227</v>
      </c>
      <c r="B3436" t="s">
        <v>347</v>
      </c>
      <c r="C3436" s="2">
        <v>0.69730000000000003</v>
      </c>
      <c r="D3436" s="2">
        <v>0.30270000000000002</v>
      </c>
      <c r="E3436">
        <v>68</v>
      </c>
    </row>
    <row r="3437" spans="1:5" x14ac:dyDescent="0.35">
      <c r="A3437" t="s">
        <v>227</v>
      </c>
      <c r="B3437" t="s">
        <v>348</v>
      </c>
      <c r="C3437" s="2">
        <v>0.66120000000000001</v>
      </c>
      <c r="D3437" s="2">
        <v>0.33879999999999999</v>
      </c>
      <c r="E3437">
        <v>87</v>
      </c>
    </row>
    <row r="3438" spans="1:5" x14ac:dyDescent="0.35">
      <c r="A3438" t="s">
        <v>228</v>
      </c>
      <c r="B3438" t="s">
        <v>228</v>
      </c>
      <c r="C3438" s="2">
        <v>0.71330000000000005</v>
      </c>
      <c r="D3438" s="2">
        <v>0.28670000000000001</v>
      </c>
      <c r="E3438">
        <v>346</v>
      </c>
    </row>
    <row r="3440" spans="1:5" x14ac:dyDescent="0.35">
      <c r="A3440" s="1" t="s">
        <v>1201</v>
      </c>
    </row>
    <row r="3441" spans="1:7" x14ac:dyDescent="0.35">
      <c r="A3441" t="s">
        <v>219</v>
      </c>
      <c r="B3441" t="s">
        <v>301</v>
      </c>
      <c r="C3441" t="s">
        <v>1190</v>
      </c>
      <c r="D3441" t="s">
        <v>1191</v>
      </c>
      <c r="E3441" t="s">
        <v>226</v>
      </c>
    </row>
    <row r="3442" spans="1:7" x14ac:dyDescent="0.35">
      <c r="A3442" t="s">
        <v>227</v>
      </c>
      <c r="B3442" t="s">
        <v>251</v>
      </c>
      <c r="C3442" s="2">
        <v>0.66390000000000005</v>
      </c>
      <c r="D3442" s="2">
        <v>0.33610000000000001</v>
      </c>
      <c r="E3442">
        <v>238</v>
      </c>
    </row>
    <row r="3443" spans="1:7" x14ac:dyDescent="0.35">
      <c r="A3443" t="s">
        <v>227</v>
      </c>
      <c r="B3443" t="s">
        <v>252</v>
      </c>
      <c r="C3443" s="2">
        <v>0.83260000000000001</v>
      </c>
      <c r="D3443" s="2">
        <v>0.16739999999999999</v>
      </c>
      <c r="E3443">
        <v>71</v>
      </c>
    </row>
    <row r="3444" spans="1:7" x14ac:dyDescent="0.35">
      <c r="A3444" t="s">
        <v>227</v>
      </c>
      <c r="B3444" t="s">
        <v>253</v>
      </c>
      <c r="C3444" s="2">
        <v>0.75460000000000005</v>
      </c>
      <c r="D3444" s="2">
        <v>0.24540000000000001</v>
      </c>
      <c r="E3444">
        <v>35</v>
      </c>
    </row>
    <row r="3445" spans="1:7" x14ac:dyDescent="0.35">
      <c r="A3445" s="3" t="s">
        <v>227</v>
      </c>
      <c r="B3445" s="3" t="s">
        <v>254</v>
      </c>
      <c r="C3445" s="5"/>
      <c r="D3445" s="4">
        <v>1</v>
      </c>
      <c r="E3445" s="5" t="s">
        <v>434</v>
      </c>
    </row>
    <row r="3446" spans="1:7" x14ac:dyDescent="0.35">
      <c r="A3446" t="s">
        <v>228</v>
      </c>
      <c r="B3446" t="s">
        <v>228</v>
      </c>
      <c r="C3446" s="2">
        <v>0.71330000000000005</v>
      </c>
      <c r="D3446" s="2">
        <v>0.28670000000000001</v>
      </c>
      <c r="E3446">
        <v>346</v>
      </c>
    </row>
    <row r="3448" spans="1:7" x14ac:dyDescent="0.35">
      <c r="A3448" s="1" t="s">
        <v>1202</v>
      </c>
    </row>
    <row r="3449" spans="1:7" x14ac:dyDescent="0.35">
      <c r="A3449" t="s">
        <v>219</v>
      </c>
      <c r="B3449" t="s">
        <v>298</v>
      </c>
      <c r="C3449" t="s">
        <v>299</v>
      </c>
      <c r="D3449" t="s">
        <v>277</v>
      </c>
      <c r="E3449" t="s">
        <v>282</v>
      </c>
      <c r="F3449" t="s">
        <v>226</v>
      </c>
    </row>
    <row r="3450" spans="1:7" x14ac:dyDescent="0.35">
      <c r="A3450" t="s">
        <v>227</v>
      </c>
      <c r="B3450" s="2">
        <v>0.80669999999999997</v>
      </c>
      <c r="C3450" s="2">
        <v>0.18940000000000001</v>
      </c>
      <c r="D3450" s="2">
        <v>2.5000000000000001E-3</v>
      </c>
      <c r="E3450" s="2">
        <v>1.2999999999999999E-3</v>
      </c>
      <c r="F3450">
        <v>2813</v>
      </c>
    </row>
    <row r="3451" spans="1:7" x14ac:dyDescent="0.35">
      <c r="A3451" t="s">
        <v>228</v>
      </c>
      <c r="B3451" s="2">
        <v>0.80669999999999997</v>
      </c>
      <c r="C3451" s="2">
        <v>0.18940000000000001</v>
      </c>
      <c r="D3451" s="2">
        <v>2.5000000000000001E-3</v>
      </c>
      <c r="E3451" s="2">
        <v>1.2999999999999999E-3</v>
      </c>
      <c r="F3451">
        <v>2813</v>
      </c>
    </row>
    <row r="3453" spans="1:7" x14ac:dyDescent="0.35">
      <c r="A3453" s="1" t="s">
        <v>1203</v>
      </c>
    </row>
    <row r="3454" spans="1:7" x14ac:dyDescent="0.35">
      <c r="A3454" t="s">
        <v>219</v>
      </c>
      <c r="B3454" t="s">
        <v>301</v>
      </c>
      <c r="C3454" t="s">
        <v>298</v>
      </c>
      <c r="D3454" t="s">
        <v>299</v>
      </c>
      <c r="E3454" t="s">
        <v>277</v>
      </c>
      <c r="F3454" t="s">
        <v>282</v>
      </c>
      <c r="G3454" t="s">
        <v>226</v>
      </c>
    </row>
    <row r="3455" spans="1:7" x14ac:dyDescent="0.35">
      <c r="A3455" t="s">
        <v>227</v>
      </c>
      <c r="B3455" t="s">
        <v>238</v>
      </c>
      <c r="C3455" s="2">
        <v>0.81399999999999995</v>
      </c>
      <c r="D3455" s="2">
        <v>0.1852</v>
      </c>
      <c r="E3455" s="2">
        <v>2.9999999999999997E-4</v>
      </c>
      <c r="F3455" s="2">
        <v>4.0000000000000002E-4</v>
      </c>
      <c r="G3455">
        <v>1005</v>
      </c>
    </row>
    <row r="3456" spans="1:7" x14ac:dyDescent="0.35">
      <c r="A3456" t="s">
        <v>227</v>
      </c>
      <c r="B3456" t="s">
        <v>237</v>
      </c>
      <c r="C3456" s="2">
        <v>0.80249999999999999</v>
      </c>
      <c r="D3456" s="2">
        <v>0.1918</v>
      </c>
      <c r="E3456" s="2">
        <v>3.8E-3</v>
      </c>
      <c r="F3456" s="2">
        <v>1.9E-3</v>
      </c>
      <c r="G3456">
        <v>1808</v>
      </c>
    </row>
    <row r="3457" spans="1:7" x14ac:dyDescent="0.35">
      <c r="A3457" t="s">
        <v>228</v>
      </c>
      <c r="B3457" t="s">
        <v>228</v>
      </c>
      <c r="C3457" s="2">
        <v>0.80669999999999997</v>
      </c>
      <c r="D3457" s="2">
        <v>0.18940000000000001</v>
      </c>
      <c r="E3457" s="2">
        <v>2.5000000000000001E-3</v>
      </c>
      <c r="F3457" s="2">
        <v>1.2999999999999999E-3</v>
      </c>
      <c r="G3457">
        <v>2813</v>
      </c>
    </row>
    <row r="3459" spans="1:7" x14ac:dyDescent="0.35">
      <c r="A3459" s="1" t="s">
        <v>1204</v>
      </c>
    </row>
    <row r="3460" spans="1:7" x14ac:dyDescent="0.35">
      <c r="A3460" t="s">
        <v>219</v>
      </c>
      <c r="B3460" t="s">
        <v>301</v>
      </c>
      <c r="C3460" t="s">
        <v>298</v>
      </c>
      <c r="D3460" t="s">
        <v>299</v>
      </c>
      <c r="E3460" t="s">
        <v>277</v>
      </c>
      <c r="F3460" t="s">
        <v>282</v>
      </c>
      <c r="G3460" t="s">
        <v>226</v>
      </c>
    </row>
    <row r="3461" spans="1:7" x14ac:dyDescent="0.35">
      <c r="A3461" t="s">
        <v>227</v>
      </c>
      <c r="B3461" t="s">
        <v>235</v>
      </c>
      <c r="C3461" s="2">
        <v>0.77200000000000002</v>
      </c>
      <c r="D3461" s="2">
        <v>0.22750000000000001</v>
      </c>
      <c r="E3461" s="2">
        <v>2.0000000000000001E-4</v>
      </c>
      <c r="F3461" s="2">
        <v>2.9999999999999997E-4</v>
      </c>
      <c r="G3461">
        <v>992</v>
      </c>
    </row>
    <row r="3462" spans="1:7" x14ac:dyDescent="0.35">
      <c r="A3462" t="s">
        <v>227</v>
      </c>
      <c r="B3462" t="s">
        <v>234</v>
      </c>
      <c r="C3462" s="2">
        <v>0.82130000000000003</v>
      </c>
      <c r="D3462" s="2">
        <v>0.1734</v>
      </c>
      <c r="E3462" s="2">
        <v>3.5000000000000001E-3</v>
      </c>
      <c r="F3462" s="2">
        <v>1.8E-3</v>
      </c>
      <c r="G3462">
        <v>1821</v>
      </c>
    </row>
    <row r="3463" spans="1:7" x14ac:dyDescent="0.35">
      <c r="A3463" t="s">
        <v>228</v>
      </c>
      <c r="B3463" t="s">
        <v>228</v>
      </c>
      <c r="C3463" s="2">
        <v>0.80669999999999997</v>
      </c>
      <c r="D3463" s="2">
        <v>0.18940000000000001</v>
      </c>
      <c r="E3463" s="2">
        <v>2.5000000000000001E-3</v>
      </c>
      <c r="F3463" s="2">
        <v>1.2999999999999999E-3</v>
      </c>
      <c r="G3463">
        <v>2813</v>
      </c>
    </row>
    <row r="3465" spans="1:7" x14ac:dyDescent="0.35">
      <c r="A3465" s="1" t="s">
        <v>1205</v>
      </c>
    </row>
    <row r="3466" spans="1:7" x14ac:dyDescent="0.35">
      <c r="A3466" t="s">
        <v>219</v>
      </c>
      <c r="B3466" t="s">
        <v>301</v>
      </c>
      <c r="C3466" t="s">
        <v>298</v>
      </c>
      <c r="D3466" t="s">
        <v>299</v>
      </c>
      <c r="E3466" t="s">
        <v>277</v>
      </c>
      <c r="F3466" t="s">
        <v>282</v>
      </c>
      <c r="G3466" t="s">
        <v>226</v>
      </c>
    </row>
    <row r="3467" spans="1:7" x14ac:dyDescent="0.35">
      <c r="A3467" t="s">
        <v>227</v>
      </c>
      <c r="B3467" t="s">
        <v>240</v>
      </c>
      <c r="C3467" s="2">
        <v>0.80900000000000005</v>
      </c>
      <c r="D3467" s="2">
        <v>0.18640000000000001</v>
      </c>
      <c r="E3467" s="2">
        <v>4.0000000000000001E-3</v>
      </c>
      <c r="F3467" s="2">
        <v>5.9999999999999995E-4</v>
      </c>
      <c r="G3467">
        <v>1756</v>
      </c>
    </row>
    <row r="3468" spans="1:7" x14ac:dyDescent="0.35">
      <c r="A3468" t="s">
        <v>227</v>
      </c>
      <c r="B3468" t="s">
        <v>241</v>
      </c>
      <c r="C3468" s="2">
        <v>0.84060000000000001</v>
      </c>
      <c r="D3468" s="2">
        <v>0.15620000000000001</v>
      </c>
      <c r="F3468" s="2">
        <v>3.2000000000000002E-3</v>
      </c>
      <c r="G3468">
        <v>891</v>
      </c>
    </row>
    <row r="3469" spans="1:7" x14ac:dyDescent="0.35">
      <c r="A3469" t="s">
        <v>227</v>
      </c>
      <c r="B3469" t="s">
        <v>242</v>
      </c>
      <c r="C3469" s="2">
        <v>0.63439999999999996</v>
      </c>
      <c r="D3469" s="2">
        <v>0.36559999999999998</v>
      </c>
      <c r="G3469">
        <v>166</v>
      </c>
    </row>
    <row r="3470" spans="1:7" x14ac:dyDescent="0.35">
      <c r="A3470" t="s">
        <v>228</v>
      </c>
      <c r="B3470" t="s">
        <v>228</v>
      </c>
      <c r="C3470" s="2">
        <v>0.80669999999999997</v>
      </c>
      <c r="D3470" s="2">
        <v>0.18940000000000001</v>
      </c>
      <c r="E3470" s="2">
        <v>2.5000000000000001E-3</v>
      </c>
      <c r="F3470" s="2">
        <v>1.2999999999999999E-3</v>
      </c>
      <c r="G3470">
        <v>2813</v>
      </c>
    </row>
    <row r="3472" spans="1:7" x14ac:dyDescent="0.35">
      <c r="A3472" s="1" t="s">
        <v>1206</v>
      </c>
    </row>
    <row r="3473" spans="1:7" x14ac:dyDescent="0.35">
      <c r="A3473" t="s">
        <v>219</v>
      </c>
      <c r="B3473" t="s">
        <v>301</v>
      </c>
      <c r="C3473" t="s">
        <v>298</v>
      </c>
      <c r="D3473" t="s">
        <v>299</v>
      </c>
      <c r="E3473" t="s">
        <v>277</v>
      </c>
      <c r="F3473" t="s">
        <v>282</v>
      </c>
      <c r="G3473" t="s">
        <v>226</v>
      </c>
    </row>
    <row r="3474" spans="1:7" x14ac:dyDescent="0.35">
      <c r="A3474" t="s">
        <v>227</v>
      </c>
      <c r="B3474" t="s">
        <v>334</v>
      </c>
      <c r="C3474" s="2">
        <v>0.78559999999999997</v>
      </c>
      <c r="D3474" s="2">
        <v>0.20569999999999999</v>
      </c>
      <c r="E3474" s="2">
        <v>7.9000000000000008E-3</v>
      </c>
      <c r="F3474" s="2">
        <v>8.0000000000000004E-4</v>
      </c>
      <c r="G3474">
        <v>625</v>
      </c>
    </row>
    <row r="3475" spans="1:7" x14ac:dyDescent="0.35">
      <c r="A3475" t="s">
        <v>227</v>
      </c>
      <c r="B3475" t="s">
        <v>335</v>
      </c>
      <c r="C3475" s="2">
        <v>0.77629999999999999</v>
      </c>
      <c r="D3475" s="2">
        <v>0.21829999999999999</v>
      </c>
      <c r="E3475" s="2">
        <v>2.2000000000000001E-3</v>
      </c>
      <c r="F3475" s="2">
        <v>3.2000000000000002E-3</v>
      </c>
      <c r="G3475">
        <v>628</v>
      </c>
    </row>
    <row r="3476" spans="1:7" x14ac:dyDescent="0.35">
      <c r="A3476" t="s">
        <v>227</v>
      </c>
      <c r="B3476" t="s">
        <v>336</v>
      </c>
      <c r="C3476" s="2">
        <v>0.86870000000000003</v>
      </c>
      <c r="D3476" s="2">
        <v>0.13020000000000001</v>
      </c>
      <c r="E3476" s="2">
        <v>5.9999999999999995E-4</v>
      </c>
      <c r="F3476" s="2">
        <v>5.0000000000000001E-4</v>
      </c>
      <c r="G3476">
        <v>621</v>
      </c>
    </row>
    <row r="3477" spans="1:7" x14ac:dyDescent="0.35">
      <c r="A3477" t="s">
        <v>227</v>
      </c>
      <c r="B3477" t="s">
        <v>337</v>
      </c>
      <c r="C3477" s="2">
        <v>0.78690000000000004</v>
      </c>
      <c r="D3477" s="2">
        <v>0.21279999999999999</v>
      </c>
      <c r="F3477" s="2">
        <v>2.0000000000000001E-4</v>
      </c>
      <c r="G3477">
        <v>602</v>
      </c>
    </row>
    <row r="3478" spans="1:7" x14ac:dyDescent="0.35">
      <c r="A3478" t="s">
        <v>228</v>
      </c>
      <c r="B3478" t="s">
        <v>228</v>
      </c>
      <c r="C3478" s="2">
        <v>0.80669999999999997</v>
      </c>
      <c r="D3478" s="2">
        <v>0.18940000000000001</v>
      </c>
      <c r="E3478" s="2">
        <v>2.5000000000000001E-3</v>
      </c>
      <c r="F3478" s="2">
        <v>1.2999999999999999E-3</v>
      </c>
      <c r="G3478">
        <v>2476</v>
      </c>
    </row>
    <row r="3480" spans="1:7" x14ac:dyDescent="0.35">
      <c r="A3480" s="1" t="s">
        <v>1207</v>
      </c>
    </row>
    <row r="3481" spans="1:7" x14ac:dyDescent="0.35">
      <c r="A3481" t="s">
        <v>219</v>
      </c>
      <c r="B3481" t="s">
        <v>301</v>
      </c>
      <c r="C3481" t="s">
        <v>298</v>
      </c>
      <c r="D3481" t="s">
        <v>299</v>
      </c>
      <c r="E3481" t="s">
        <v>277</v>
      </c>
      <c r="F3481" t="s">
        <v>282</v>
      </c>
      <c r="G3481" t="s">
        <v>226</v>
      </c>
    </row>
    <row r="3482" spans="1:7" x14ac:dyDescent="0.35">
      <c r="A3482" t="s">
        <v>227</v>
      </c>
      <c r="B3482" t="s">
        <v>263</v>
      </c>
      <c r="C3482" s="2">
        <v>0.80600000000000005</v>
      </c>
      <c r="D3482" s="2">
        <v>0.19339999999999999</v>
      </c>
      <c r="E3482" s="2">
        <v>2.0000000000000001E-4</v>
      </c>
      <c r="F3482" s="2">
        <v>5.0000000000000001E-4</v>
      </c>
      <c r="G3482">
        <v>589</v>
      </c>
    </row>
    <row r="3483" spans="1:7" x14ac:dyDescent="0.35">
      <c r="A3483" t="s">
        <v>227</v>
      </c>
      <c r="B3483" t="s">
        <v>262</v>
      </c>
      <c r="C3483" s="2">
        <v>0.82340000000000002</v>
      </c>
      <c r="D3483" s="2">
        <v>0.17319999999999999</v>
      </c>
      <c r="E3483" s="2">
        <v>5.0000000000000001E-4</v>
      </c>
      <c r="F3483" s="2">
        <v>3.0000000000000001E-3</v>
      </c>
      <c r="G3483">
        <v>1160</v>
      </c>
    </row>
    <row r="3484" spans="1:7" x14ac:dyDescent="0.35">
      <c r="A3484" t="s">
        <v>227</v>
      </c>
      <c r="B3484" t="s">
        <v>261</v>
      </c>
      <c r="C3484" s="2">
        <v>0.79369999999999996</v>
      </c>
      <c r="D3484" s="2">
        <v>0.20050000000000001</v>
      </c>
      <c r="E3484" s="2">
        <v>5.4999999999999997E-3</v>
      </c>
      <c r="F3484" s="2">
        <v>2.9999999999999997E-4</v>
      </c>
      <c r="G3484">
        <v>1062</v>
      </c>
    </row>
    <row r="3485" spans="1:7" x14ac:dyDescent="0.35">
      <c r="A3485" s="3" t="s">
        <v>227</v>
      </c>
      <c r="B3485" s="3" t="s">
        <v>232</v>
      </c>
      <c r="C3485" s="4">
        <v>0.5</v>
      </c>
      <c r="D3485" s="4">
        <v>0.5</v>
      </c>
      <c r="E3485" s="5"/>
      <c r="F3485" s="5"/>
      <c r="G3485" s="5" t="s">
        <v>434</v>
      </c>
    </row>
    <row r="3486" spans="1:7" x14ac:dyDescent="0.35">
      <c r="A3486" t="s">
        <v>228</v>
      </c>
      <c r="B3486" t="s">
        <v>228</v>
      </c>
      <c r="C3486" s="2">
        <v>0.80669999999999997</v>
      </c>
      <c r="D3486" s="2">
        <v>0.18940000000000001</v>
      </c>
      <c r="E3486" s="2">
        <v>2.5000000000000001E-3</v>
      </c>
      <c r="F3486" s="2">
        <v>1.2999999999999999E-3</v>
      </c>
      <c r="G3486">
        <v>2813</v>
      </c>
    </row>
    <row r="3488" spans="1:7" x14ac:dyDescent="0.35">
      <c r="A3488" s="1" t="s">
        <v>1208</v>
      </c>
    </row>
    <row r="3489" spans="1:7" x14ac:dyDescent="0.35">
      <c r="A3489" t="s">
        <v>219</v>
      </c>
      <c r="B3489" t="s">
        <v>301</v>
      </c>
      <c r="C3489" t="s">
        <v>298</v>
      </c>
      <c r="D3489" t="s">
        <v>299</v>
      </c>
      <c r="E3489" t="s">
        <v>277</v>
      </c>
      <c r="F3489" t="s">
        <v>282</v>
      </c>
      <c r="G3489" t="s">
        <v>226</v>
      </c>
    </row>
    <row r="3490" spans="1:7" x14ac:dyDescent="0.35">
      <c r="A3490" t="s">
        <v>227</v>
      </c>
      <c r="B3490" t="s">
        <v>248</v>
      </c>
      <c r="C3490" s="2">
        <v>0.90980000000000005</v>
      </c>
      <c r="D3490" s="2">
        <v>9.0200000000000002E-2</v>
      </c>
      <c r="G3490">
        <v>796</v>
      </c>
    </row>
    <row r="3491" spans="1:7" x14ac:dyDescent="0.35">
      <c r="A3491" t="s">
        <v>227</v>
      </c>
      <c r="B3491" t="s">
        <v>249</v>
      </c>
      <c r="C3491" s="2">
        <v>0.82240000000000002</v>
      </c>
      <c r="D3491" s="2">
        <v>0.1767</v>
      </c>
      <c r="E3491" s="2">
        <v>4.0000000000000002E-4</v>
      </c>
      <c r="F3491" s="2">
        <v>5.0000000000000001E-4</v>
      </c>
      <c r="G3491">
        <v>541</v>
      </c>
    </row>
    <row r="3492" spans="1:7" x14ac:dyDescent="0.35">
      <c r="A3492" t="s">
        <v>227</v>
      </c>
      <c r="B3492" t="s">
        <v>247</v>
      </c>
      <c r="C3492" s="2">
        <v>0.74780000000000002</v>
      </c>
      <c r="D3492" s="2">
        <v>0.24529999999999999</v>
      </c>
      <c r="E3492" s="2">
        <v>4.5999999999999999E-3</v>
      </c>
      <c r="F3492" s="2">
        <v>2.3E-3</v>
      </c>
      <c r="G3492">
        <v>1476</v>
      </c>
    </row>
    <row r="3493" spans="1:7" x14ac:dyDescent="0.35">
      <c r="A3493" t="s">
        <v>228</v>
      </c>
      <c r="B3493" t="s">
        <v>228</v>
      </c>
      <c r="C3493" s="2">
        <v>0.80669999999999997</v>
      </c>
      <c r="D3493" s="2">
        <v>0.18940000000000001</v>
      </c>
      <c r="E3493" s="2">
        <v>2.5000000000000001E-3</v>
      </c>
      <c r="F3493" s="2">
        <v>1.2999999999999999E-3</v>
      </c>
      <c r="G3493">
        <v>2813</v>
      </c>
    </row>
    <row r="3495" spans="1:7" x14ac:dyDescent="0.35">
      <c r="A3495" s="1" t="s">
        <v>1209</v>
      </c>
    </row>
    <row r="3496" spans="1:7" x14ac:dyDescent="0.35">
      <c r="A3496" t="s">
        <v>219</v>
      </c>
      <c r="B3496" t="s">
        <v>301</v>
      </c>
      <c r="C3496" t="s">
        <v>298</v>
      </c>
      <c r="D3496" t="s">
        <v>299</v>
      </c>
      <c r="E3496" t="s">
        <v>277</v>
      </c>
      <c r="F3496" t="s">
        <v>282</v>
      </c>
      <c r="G3496" t="s">
        <v>226</v>
      </c>
    </row>
    <row r="3497" spans="1:7" x14ac:dyDescent="0.35">
      <c r="A3497" t="s">
        <v>227</v>
      </c>
      <c r="B3497" t="s">
        <v>245</v>
      </c>
      <c r="C3497" s="2">
        <v>0.70240000000000002</v>
      </c>
      <c r="D3497" s="2">
        <v>0.29670000000000002</v>
      </c>
      <c r="E3497" s="2">
        <v>2.0000000000000001E-4</v>
      </c>
      <c r="F3497" s="2">
        <v>6.9999999999999999E-4</v>
      </c>
      <c r="G3497">
        <v>783</v>
      </c>
    </row>
    <row r="3498" spans="1:7" x14ac:dyDescent="0.35">
      <c r="A3498" t="s">
        <v>227</v>
      </c>
      <c r="B3498" t="s">
        <v>244</v>
      </c>
      <c r="C3498" s="2">
        <v>0.84809999999999997</v>
      </c>
      <c r="D3498" s="2">
        <v>0.1469</v>
      </c>
      <c r="E3498" s="2">
        <v>3.5000000000000001E-3</v>
      </c>
      <c r="F3498" s="2">
        <v>1.6000000000000001E-3</v>
      </c>
      <c r="G3498">
        <v>2030</v>
      </c>
    </row>
    <row r="3499" spans="1:7" x14ac:dyDescent="0.35">
      <c r="A3499" t="s">
        <v>228</v>
      </c>
      <c r="B3499" t="s">
        <v>228</v>
      </c>
      <c r="C3499" s="2">
        <v>0.80669999999999997</v>
      </c>
      <c r="D3499" s="2">
        <v>0.18940000000000001</v>
      </c>
      <c r="E3499" s="2">
        <v>2.5000000000000001E-3</v>
      </c>
      <c r="F3499" s="2">
        <v>1.2999999999999999E-3</v>
      </c>
      <c r="G3499">
        <v>2813</v>
      </c>
    </row>
    <row r="3501" spans="1:7" x14ac:dyDescent="0.35">
      <c r="A3501" s="1" t="s">
        <v>1210</v>
      </c>
    </row>
    <row r="3502" spans="1:7" x14ac:dyDescent="0.35">
      <c r="A3502" t="s">
        <v>219</v>
      </c>
      <c r="B3502" t="s">
        <v>301</v>
      </c>
      <c r="C3502" t="s">
        <v>298</v>
      </c>
      <c r="D3502" t="s">
        <v>299</v>
      </c>
      <c r="E3502" t="s">
        <v>277</v>
      </c>
      <c r="F3502" t="s">
        <v>282</v>
      </c>
      <c r="G3502" t="s">
        <v>226</v>
      </c>
    </row>
    <row r="3503" spans="1:7" x14ac:dyDescent="0.35">
      <c r="A3503" t="s">
        <v>227</v>
      </c>
      <c r="B3503" t="s">
        <v>259</v>
      </c>
      <c r="C3503" s="2">
        <v>0.66710000000000003</v>
      </c>
      <c r="D3503" s="2">
        <v>0.33289999999999997</v>
      </c>
      <c r="G3503">
        <v>69</v>
      </c>
    </row>
    <row r="3504" spans="1:7" x14ac:dyDescent="0.35">
      <c r="A3504" t="s">
        <v>227</v>
      </c>
      <c r="B3504" t="s">
        <v>257</v>
      </c>
      <c r="C3504" s="2">
        <v>0.81259999999999999</v>
      </c>
      <c r="D3504" s="2">
        <v>0.18740000000000001</v>
      </c>
      <c r="G3504">
        <v>405</v>
      </c>
    </row>
    <row r="3505" spans="1:7" x14ac:dyDescent="0.35">
      <c r="A3505" t="s">
        <v>227</v>
      </c>
      <c r="B3505" t="s">
        <v>256</v>
      </c>
      <c r="C3505" s="2">
        <v>0.82169999999999999</v>
      </c>
      <c r="D3505" s="2">
        <v>0.17299999999999999</v>
      </c>
      <c r="E3505" s="2">
        <v>3.5999999999999999E-3</v>
      </c>
      <c r="F3505" s="2">
        <v>1.6000000000000001E-3</v>
      </c>
      <c r="G3505">
        <v>1803</v>
      </c>
    </row>
    <row r="3506" spans="1:7" x14ac:dyDescent="0.35">
      <c r="A3506" s="3" t="s">
        <v>227</v>
      </c>
      <c r="B3506" s="3" t="s">
        <v>232</v>
      </c>
      <c r="C3506" s="4">
        <v>0.89419999999999999</v>
      </c>
      <c r="D3506" s="5"/>
      <c r="E3506" s="4">
        <v>2.3900000000000001E-2</v>
      </c>
      <c r="F3506" s="4">
        <v>8.1900000000000001E-2</v>
      </c>
      <c r="G3506" s="5" t="s">
        <v>307</v>
      </c>
    </row>
    <row r="3507" spans="1:7" x14ac:dyDescent="0.35">
      <c r="A3507" t="s">
        <v>227</v>
      </c>
      <c r="B3507" t="s">
        <v>258</v>
      </c>
      <c r="C3507" s="2">
        <v>0.74729999999999996</v>
      </c>
      <c r="D3507" s="2">
        <v>0.2515</v>
      </c>
      <c r="E3507" s="2">
        <v>5.0000000000000001E-4</v>
      </c>
      <c r="F3507" s="2">
        <v>5.9999999999999995E-4</v>
      </c>
      <c r="G3507">
        <v>525</v>
      </c>
    </row>
    <row r="3508" spans="1:7" x14ac:dyDescent="0.35">
      <c r="A3508" t="s">
        <v>228</v>
      </c>
      <c r="B3508" t="s">
        <v>228</v>
      </c>
      <c r="C3508" s="2">
        <v>0.80669999999999997</v>
      </c>
      <c r="D3508" s="2">
        <v>0.18940000000000001</v>
      </c>
      <c r="E3508" s="2">
        <v>2.5000000000000001E-3</v>
      </c>
      <c r="F3508" s="2">
        <v>1.2999999999999999E-3</v>
      </c>
      <c r="G3508">
        <v>2813</v>
      </c>
    </row>
    <row r="3510" spans="1:7" x14ac:dyDescent="0.35">
      <c r="A3510" s="1" t="s">
        <v>1211</v>
      </c>
    </row>
    <row r="3511" spans="1:7" x14ac:dyDescent="0.35">
      <c r="A3511" t="s">
        <v>219</v>
      </c>
      <c r="B3511" t="s">
        <v>301</v>
      </c>
      <c r="C3511" t="s">
        <v>298</v>
      </c>
      <c r="D3511" t="s">
        <v>299</v>
      </c>
      <c r="E3511" t="s">
        <v>277</v>
      </c>
      <c r="F3511" t="s">
        <v>282</v>
      </c>
      <c r="G3511" t="s">
        <v>226</v>
      </c>
    </row>
    <row r="3512" spans="1:7" x14ac:dyDescent="0.35">
      <c r="A3512" t="s">
        <v>227</v>
      </c>
      <c r="B3512" t="s">
        <v>343</v>
      </c>
      <c r="C3512" s="2">
        <v>0.81259999999999999</v>
      </c>
      <c r="D3512" s="2">
        <v>0.18740000000000001</v>
      </c>
      <c r="G3512">
        <v>405</v>
      </c>
    </row>
    <row r="3513" spans="1:7" x14ac:dyDescent="0.35">
      <c r="A3513" t="s">
        <v>227</v>
      </c>
      <c r="B3513" t="s">
        <v>344</v>
      </c>
      <c r="C3513" s="2">
        <v>0.80559999999999998</v>
      </c>
      <c r="D3513" s="2">
        <v>0.1898</v>
      </c>
      <c r="E3513" s="2">
        <v>3.0999999999999999E-3</v>
      </c>
      <c r="F3513" s="2">
        <v>1.6000000000000001E-3</v>
      </c>
      <c r="G3513">
        <v>2408</v>
      </c>
    </row>
    <row r="3514" spans="1:7" x14ac:dyDescent="0.35">
      <c r="A3514" t="s">
        <v>228</v>
      </c>
      <c r="B3514" t="s">
        <v>228</v>
      </c>
      <c r="C3514" s="2">
        <v>0.80669999999999997</v>
      </c>
      <c r="D3514" s="2">
        <v>0.18940000000000001</v>
      </c>
      <c r="E3514" s="2">
        <v>2.5000000000000001E-3</v>
      </c>
      <c r="F3514" s="2">
        <v>1.2999999999999999E-3</v>
      </c>
      <c r="G3514">
        <v>2813</v>
      </c>
    </row>
    <row r="3516" spans="1:7" x14ac:dyDescent="0.35">
      <c r="A3516" s="1" t="s">
        <v>1212</v>
      </c>
    </row>
    <row r="3517" spans="1:7" x14ac:dyDescent="0.35">
      <c r="A3517" t="s">
        <v>219</v>
      </c>
      <c r="B3517" t="s">
        <v>301</v>
      </c>
      <c r="C3517" t="s">
        <v>298</v>
      </c>
      <c r="D3517" t="s">
        <v>299</v>
      </c>
      <c r="E3517" t="s">
        <v>277</v>
      </c>
      <c r="F3517" t="s">
        <v>282</v>
      </c>
      <c r="G3517" t="s">
        <v>226</v>
      </c>
    </row>
    <row r="3518" spans="1:7" x14ac:dyDescent="0.35">
      <c r="A3518" t="s">
        <v>227</v>
      </c>
      <c r="B3518" t="s">
        <v>346</v>
      </c>
      <c r="C3518" s="2">
        <v>0.79910000000000003</v>
      </c>
      <c r="D3518" s="2">
        <v>0.19700000000000001</v>
      </c>
      <c r="E3518" s="2">
        <v>2.8E-3</v>
      </c>
      <c r="F3518" s="2">
        <v>1.1000000000000001E-3</v>
      </c>
      <c r="G3518">
        <v>1463</v>
      </c>
    </row>
    <row r="3519" spans="1:7" x14ac:dyDescent="0.35">
      <c r="A3519" t="s">
        <v>227</v>
      </c>
      <c r="B3519" t="s">
        <v>347</v>
      </c>
      <c r="C3519" s="2">
        <v>0.83889999999999998</v>
      </c>
      <c r="D3519" s="2">
        <v>0.155</v>
      </c>
      <c r="E3519" s="2">
        <v>3.5000000000000001E-3</v>
      </c>
      <c r="F3519" s="2">
        <v>2.5999999999999999E-3</v>
      </c>
      <c r="G3519">
        <v>585</v>
      </c>
    </row>
    <row r="3520" spans="1:7" x14ac:dyDescent="0.35">
      <c r="A3520" t="s">
        <v>227</v>
      </c>
      <c r="B3520" t="s">
        <v>348</v>
      </c>
      <c r="C3520" s="2">
        <v>0.86419999999999997</v>
      </c>
      <c r="D3520" s="2">
        <v>0.13320000000000001</v>
      </c>
      <c r="F3520" s="2">
        <v>2.7000000000000001E-3</v>
      </c>
      <c r="G3520">
        <v>765</v>
      </c>
    </row>
    <row r="3521" spans="1:18" x14ac:dyDescent="0.35">
      <c r="A3521" t="s">
        <v>228</v>
      </c>
      <c r="B3521" t="s">
        <v>228</v>
      </c>
      <c r="C3521" s="2">
        <v>0.80669999999999997</v>
      </c>
      <c r="D3521" s="2">
        <v>0.18940000000000001</v>
      </c>
      <c r="E3521" s="2">
        <v>2.5000000000000001E-3</v>
      </c>
      <c r="F3521" s="2">
        <v>1.2999999999999999E-3</v>
      </c>
      <c r="G3521">
        <v>2813</v>
      </c>
    </row>
    <row r="3523" spans="1:18" x14ac:dyDescent="0.35">
      <c r="A3523" s="1" t="s">
        <v>1213</v>
      </c>
    </row>
    <row r="3524" spans="1:18" x14ac:dyDescent="0.35">
      <c r="A3524" t="s">
        <v>219</v>
      </c>
      <c r="B3524" t="s">
        <v>301</v>
      </c>
      <c r="C3524" t="s">
        <v>298</v>
      </c>
      <c r="D3524" t="s">
        <v>299</v>
      </c>
      <c r="E3524" t="s">
        <v>277</v>
      </c>
      <c r="F3524" t="s">
        <v>282</v>
      </c>
      <c r="G3524" t="s">
        <v>226</v>
      </c>
    </row>
    <row r="3525" spans="1:18" x14ac:dyDescent="0.35">
      <c r="A3525" t="s">
        <v>227</v>
      </c>
      <c r="B3525" t="s">
        <v>251</v>
      </c>
      <c r="C3525" s="2">
        <v>0.84809999999999997</v>
      </c>
      <c r="D3525" s="2">
        <v>0.1469</v>
      </c>
      <c r="E3525" s="2">
        <v>3.5000000000000001E-3</v>
      </c>
      <c r="F3525" s="2">
        <v>1.6000000000000001E-3</v>
      </c>
      <c r="G3525">
        <v>2030</v>
      </c>
    </row>
    <row r="3526" spans="1:18" x14ac:dyDescent="0.35">
      <c r="A3526" t="s">
        <v>227</v>
      </c>
      <c r="B3526" t="s">
        <v>252</v>
      </c>
      <c r="C3526" s="2">
        <v>0.69979999999999998</v>
      </c>
      <c r="D3526" s="2">
        <v>0.2999</v>
      </c>
      <c r="F3526" s="2">
        <v>2.0000000000000001E-4</v>
      </c>
      <c r="G3526">
        <v>621</v>
      </c>
    </row>
    <row r="3527" spans="1:18" x14ac:dyDescent="0.35">
      <c r="A3527" t="s">
        <v>227</v>
      </c>
      <c r="B3527" t="s">
        <v>253</v>
      </c>
      <c r="C3527" s="2">
        <v>0.72729999999999995</v>
      </c>
      <c r="D3527" s="2">
        <v>0.26869999999999999</v>
      </c>
      <c r="E3527" s="2">
        <v>8.9999999999999998E-4</v>
      </c>
      <c r="F3527" s="2">
        <v>3.0999999999999999E-3</v>
      </c>
      <c r="G3527">
        <v>153</v>
      </c>
    </row>
    <row r="3528" spans="1:18" x14ac:dyDescent="0.35">
      <c r="A3528" s="3" t="s">
        <v>227</v>
      </c>
      <c r="B3528" s="3" t="s">
        <v>254</v>
      </c>
      <c r="C3528" s="4">
        <v>0.30840000000000001</v>
      </c>
      <c r="D3528" s="4">
        <v>0.69159999999999999</v>
      </c>
      <c r="E3528" s="5"/>
      <c r="F3528" s="5"/>
      <c r="G3528" s="5" t="s">
        <v>515</v>
      </c>
    </row>
    <row r="3529" spans="1:18" x14ac:dyDescent="0.35">
      <c r="A3529" t="s">
        <v>228</v>
      </c>
      <c r="B3529" t="s">
        <v>228</v>
      </c>
      <c r="C3529" s="2">
        <v>0.80669999999999997</v>
      </c>
      <c r="D3529" s="2">
        <v>0.18940000000000001</v>
      </c>
      <c r="E3529" s="2">
        <v>2.5000000000000001E-3</v>
      </c>
      <c r="F3529" s="2">
        <v>1.2999999999999999E-3</v>
      </c>
      <c r="G3529">
        <v>2813</v>
      </c>
    </row>
    <row r="3531" spans="1:18" x14ac:dyDescent="0.35">
      <c r="A3531" s="1" t="s">
        <v>1214</v>
      </c>
    </row>
    <row r="3532" spans="1:18" x14ac:dyDescent="0.35">
      <c r="A3532" t="s">
        <v>219</v>
      </c>
      <c r="B3532" t="s">
        <v>1215</v>
      </c>
      <c r="C3532" t="s">
        <v>1216</v>
      </c>
      <c r="D3532" t="s">
        <v>1217</v>
      </c>
      <c r="E3532" t="s">
        <v>1218</v>
      </c>
      <c r="F3532" t="s">
        <v>1219</v>
      </c>
      <c r="G3532" t="s">
        <v>1220</v>
      </c>
      <c r="H3532" t="s">
        <v>1221</v>
      </c>
      <c r="I3532" t="s">
        <v>1222</v>
      </c>
      <c r="J3532" t="s">
        <v>1223</v>
      </c>
      <c r="K3532" t="s">
        <v>318</v>
      </c>
      <c r="L3532" t="s">
        <v>1224</v>
      </c>
      <c r="M3532" t="s">
        <v>1225</v>
      </c>
      <c r="N3532" t="s">
        <v>1226</v>
      </c>
      <c r="O3532" t="s">
        <v>282</v>
      </c>
      <c r="P3532" t="s">
        <v>1227</v>
      </c>
      <c r="Q3532" t="s">
        <v>277</v>
      </c>
      <c r="R3532" t="s">
        <v>226</v>
      </c>
    </row>
    <row r="3533" spans="1:18" x14ac:dyDescent="0.35">
      <c r="A3533" t="s">
        <v>227</v>
      </c>
      <c r="B3533" s="2">
        <v>0.30740000000000001</v>
      </c>
      <c r="C3533" s="2">
        <v>0.30609999999999998</v>
      </c>
      <c r="D3533" s="2">
        <v>0.28370000000000001</v>
      </c>
      <c r="E3533" s="2">
        <v>0.10630000000000001</v>
      </c>
      <c r="F3533" s="2">
        <v>7.3300000000000004E-2</v>
      </c>
      <c r="G3533" s="2">
        <v>5.7000000000000002E-2</v>
      </c>
      <c r="H3533" s="2">
        <v>4.9799999999999997E-2</v>
      </c>
      <c r="I3533" s="2">
        <v>3.2599999999999997E-2</v>
      </c>
      <c r="J3533" s="2">
        <v>2.8400000000000002E-2</v>
      </c>
      <c r="K3533" s="2">
        <v>2.81E-2</v>
      </c>
      <c r="L3533" s="2">
        <v>2.6599999999999999E-2</v>
      </c>
      <c r="M3533" s="2">
        <v>2.3900000000000001E-2</v>
      </c>
      <c r="N3533" s="2">
        <v>9.4999999999999998E-3</v>
      </c>
      <c r="O3533" s="2">
        <v>4.8999999999999998E-3</v>
      </c>
      <c r="P3533" s="2">
        <v>2.2000000000000001E-3</v>
      </c>
      <c r="Q3533" s="2">
        <v>8.0000000000000004E-4</v>
      </c>
      <c r="R3533">
        <v>454</v>
      </c>
    </row>
    <row r="3534" spans="1:18" x14ac:dyDescent="0.35">
      <c r="A3534" t="s">
        <v>228</v>
      </c>
      <c r="B3534" s="2">
        <v>0.30740000000000001</v>
      </c>
      <c r="C3534" s="2">
        <v>0.30609999999999998</v>
      </c>
      <c r="D3534" s="2">
        <v>0.28370000000000001</v>
      </c>
      <c r="E3534" s="2">
        <v>0.10630000000000001</v>
      </c>
      <c r="F3534" s="2">
        <v>7.3300000000000004E-2</v>
      </c>
      <c r="G3534" s="2">
        <v>5.7000000000000002E-2</v>
      </c>
      <c r="H3534" s="2">
        <v>4.9799999999999997E-2</v>
      </c>
      <c r="I3534" s="2">
        <v>3.2599999999999997E-2</v>
      </c>
      <c r="J3534" s="2">
        <v>2.8400000000000002E-2</v>
      </c>
      <c r="K3534" s="2">
        <v>2.81E-2</v>
      </c>
      <c r="L3534" s="2">
        <v>2.6599999999999999E-2</v>
      </c>
      <c r="M3534" s="2">
        <v>2.3900000000000001E-2</v>
      </c>
      <c r="N3534" s="2">
        <v>9.4999999999999998E-3</v>
      </c>
      <c r="O3534" s="2">
        <v>4.8999999999999998E-3</v>
      </c>
      <c r="P3534" s="2">
        <v>2.2000000000000001E-3</v>
      </c>
      <c r="Q3534" s="2">
        <v>8.0000000000000004E-4</v>
      </c>
      <c r="R3534">
        <v>454</v>
      </c>
    </row>
    <row r="3536" spans="1:18" x14ac:dyDescent="0.35">
      <c r="A3536" s="1" t="s">
        <v>1228</v>
      </c>
    </row>
    <row r="3537" spans="1:19" x14ac:dyDescent="0.35">
      <c r="A3537" t="s">
        <v>219</v>
      </c>
      <c r="B3537" t="s">
        <v>301</v>
      </c>
      <c r="C3537" t="s">
        <v>1215</v>
      </c>
      <c r="D3537" t="s">
        <v>1216</v>
      </c>
      <c r="E3537" t="s">
        <v>1217</v>
      </c>
      <c r="F3537" t="s">
        <v>1218</v>
      </c>
      <c r="G3537" t="s">
        <v>1219</v>
      </c>
      <c r="H3537" t="s">
        <v>1220</v>
      </c>
      <c r="I3537" t="s">
        <v>1221</v>
      </c>
      <c r="J3537" t="s">
        <v>1222</v>
      </c>
      <c r="K3537" t="s">
        <v>1223</v>
      </c>
      <c r="L3537" t="s">
        <v>318</v>
      </c>
      <c r="M3537" t="s">
        <v>1224</v>
      </c>
      <c r="N3537" t="s">
        <v>1225</v>
      </c>
      <c r="O3537" t="s">
        <v>1226</v>
      </c>
      <c r="P3537" t="s">
        <v>282</v>
      </c>
      <c r="Q3537" t="s">
        <v>1227</v>
      </c>
      <c r="R3537" t="s">
        <v>277</v>
      </c>
      <c r="S3537" t="s">
        <v>226</v>
      </c>
    </row>
    <row r="3538" spans="1:19" x14ac:dyDescent="0.35">
      <c r="A3538" t="s">
        <v>227</v>
      </c>
      <c r="B3538" t="s">
        <v>238</v>
      </c>
      <c r="C3538" s="2">
        <v>0.18770000000000001</v>
      </c>
      <c r="D3538" s="2">
        <v>0.438</v>
      </c>
      <c r="E3538" s="2">
        <v>0.2641</v>
      </c>
      <c r="F3538" s="2">
        <v>0.11509999999999999</v>
      </c>
      <c r="G3538" s="2">
        <v>7.4999999999999997E-2</v>
      </c>
      <c r="H3538" s="2">
        <v>5.6399999999999999E-2</v>
      </c>
      <c r="I3538" s="2">
        <v>2.1100000000000001E-2</v>
      </c>
      <c r="J3538" s="2">
        <v>3.0099999999999998E-2</v>
      </c>
      <c r="K3538" s="2">
        <v>1.7600000000000001E-2</v>
      </c>
      <c r="L3538" s="2">
        <v>1.35E-2</v>
      </c>
      <c r="M3538" s="2">
        <v>1.38E-2</v>
      </c>
      <c r="N3538" s="2">
        <v>2.1000000000000001E-2</v>
      </c>
      <c r="O3538" s="2">
        <v>1.2699999999999999E-2</v>
      </c>
      <c r="P3538" s="2">
        <v>1.0699999999999999E-2</v>
      </c>
      <c r="S3538">
        <v>179</v>
      </c>
    </row>
    <row r="3539" spans="1:19" x14ac:dyDescent="0.35">
      <c r="A3539" t="s">
        <v>227</v>
      </c>
      <c r="B3539" t="s">
        <v>237</v>
      </c>
      <c r="C3539" s="2">
        <v>0.37519999999999998</v>
      </c>
      <c r="D3539" s="2">
        <v>0.23139999999999999</v>
      </c>
      <c r="E3539" s="2">
        <v>0.29480000000000001</v>
      </c>
      <c r="F3539" s="2">
        <v>0.1014</v>
      </c>
      <c r="G3539" s="2">
        <v>7.2300000000000003E-2</v>
      </c>
      <c r="H3539" s="2">
        <v>5.7299999999999997E-2</v>
      </c>
      <c r="I3539" s="2">
        <v>6.6100000000000006E-2</v>
      </c>
      <c r="J3539" s="2">
        <v>3.4099999999999998E-2</v>
      </c>
      <c r="K3539" s="2">
        <v>3.4500000000000003E-2</v>
      </c>
      <c r="L3539" s="2">
        <v>3.6400000000000002E-2</v>
      </c>
      <c r="M3539" s="2">
        <v>3.3799999999999997E-2</v>
      </c>
      <c r="N3539" s="2">
        <v>2.5499999999999998E-2</v>
      </c>
      <c r="O3539" s="2">
        <v>7.7000000000000002E-3</v>
      </c>
      <c r="P3539" s="2">
        <v>1.6000000000000001E-3</v>
      </c>
      <c r="Q3539" s="2">
        <v>3.3999999999999998E-3</v>
      </c>
      <c r="R3539" s="2">
        <v>1.1999999999999999E-3</v>
      </c>
      <c r="S3539">
        <v>275</v>
      </c>
    </row>
    <row r="3540" spans="1:19" x14ac:dyDescent="0.35">
      <c r="A3540" t="s">
        <v>228</v>
      </c>
      <c r="B3540" t="s">
        <v>228</v>
      </c>
      <c r="C3540" s="2">
        <v>0.30740000000000001</v>
      </c>
      <c r="D3540" s="2">
        <v>0.30609999999999998</v>
      </c>
      <c r="E3540" s="2">
        <v>0.28370000000000001</v>
      </c>
      <c r="F3540" s="2">
        <v>0.10630000000000001</v>
      </c>
      <c r="G3540" s="2">
        <v>7.3300000000000004E-2</v>
      </c>
      <c r="H3540" s="2">
        <v>5.7000000000000002E-2</v>
      </c>
      <c r="I3540" s="2">
        <v>4.9799999999999997E-2</v>
      </c>
      <c r="J3540" s="2">
        <v>3.2599999999999997E-2</v>
      </c>
      <c r="K3540" s="2">
        <v>2.8400000000000002E-2</v>
      </c>
      <c r="L3540" s="2">
        <v>2.81E-2</v>
      </c>
      <c r="M3540" s="2">
        <v>2.6599999999999999E-2</v>
      </c>
      <c r="N3540" s="2">
        <v>2.3900000000000001E-2</v>
      </c>
      <c r="O3540" s="2">
        <v>9.4999999999999998E-3</v>
      </c>
      <c r="P3540" s="2">
        <v>4.8999999999999998E-3</v>
      </c>
      <c r="Q3540" s="2">
        <v>2.2000000000000001E-3</v>
      </c>
      <c r="R3540" s="2">
        <v>8.0000000000000004E-4</v>
      </c>
      <c r="S3540">
        <v>454</v>
      </c>
    </row>
    <row r="3542" spans="1:19" x14ac:dyDescent="0.35">
      <c r="A3542" s="1" t="s">
        <v>1229</v>
      </c>
    </row>
    <row r="3543" spans="1:19" x14ac:dyDescent="0.35">
      <c r="A3543" t="s">
        <v>219</v>
      </c>
      <c r="B3543" t="s">
        <v>301</v>
      </c>
      <c r="C3543" t="s">
        <v>1215</v>
      </c>
      <c r="D3543" t="s">
        <v>1216</v>
      </c>
      <c r="E3543" t="s">
        <v>1217</v>
      </c>
      <c r="F3543" t="s">
        <v>1218</v>
      </c>
      <c r="G3543" t="s">
        <v>1219</v>
      </c>
      <c r="H3543" t="s">
        <v>1220</v>
      </c>
      <c r="I3543" t="s">
        <v>1221</v>
      </c>
      <c r="J3543" t="s">
        <v>1222</v>
      </c>
      <c r="K3543" t="s">
        <v>1223</v>
      </c>
      <c r="L3543" t="s">
        <v>318</v>
      </c>
      <c r="M3543" t="s">
        <v>1224</v>
      </c>
      <c r="N3543" t="s">
        <v>1225</v>
      </c>
      <c r="O3543" t="s">
        <v>1226</v>
      </c>
      <c r="P3543" t="s">
        <v>282</v>
      </c>
      <c r="Q3543" t="s">
        <v>1227</v>
      </c>
      <c r="R3543" t="s">
        <v>277</v>
      </c>
      <c r="S3543" t="s">
        <v>226</v>
      </c>
    </row>
    <row r="3544" spans="1:19" x14ac:dyDescent="0.35">
      <c r="A3544" t="s">
        <v>227</v>
      </c>
      <c r="B3544" t="s">
        <v>235</v>
      </c>
      <c r="C3544" s="2">
        <v>0.32829999999999998</v>
      </c>
      <c r="D3544" s="2">
        <v>0.37230000000000002</v>
      </c>
      <c r="E3544" s="2">
        <v>0.22189999999999999</v>
      </c>
      <c r="F3544" s="2">
        <v>0.1186</v>
      </c>
      <c r="G3544" s="2">
        <v>1.5100000000000001E-2</v>
      </c>
      <c r="H3544" s="2">
        <v>7.2700000000000001E-2</v>
      </c>
      <c r="I3544" s="2">
        <v>0.03</v>
      </c>
      <c r="J3544" s="2">
        <v>3.7199999999999997E-2</v>
      </c>
      <c r="K3544" s="2">
        <v>3.9100000000000003E-2</v>
      </c>
      <c r="L3544" s="2">
        <v>4.5600000000000002E-2</v>
      </c>
      <c r="M3544" s="2">
        <v>6.6E-3</v>
      </c>
      <c r="N3544" s="2">
        <v>1.1599999999999999E-2</v>
      </c>
      <c r="O3544" s="2">
        <v>1.2999999999999999E-3</v>
      </c>
      <c r="P3544" s="2">
        <v>1.21E-2</v>
      </c>
      <c r="Q3544" s="2">
        <v>1.6000000000000001E-3</v>
      </c>
      <c r="S3544">
        <v>157</v>
      </c>
    </row>
    <row r="3545" spans="1:19" x14ac:dyDescent="0.35">
      <c r="A3545" t="s">
        <v>227</v>
      </c>
      <c r="B3545" t="s">
        <v>234</v>
      </c>
      <c r="C3545" s="2">
        <v>0.29609999999999997</v>
      </c>
      <c r="D3545" s="2">
        <v>0.26989999999999997</v>
      </c>
      <c r="E3545" s="2">
        <v>0.3175</v>
      </c>
      <c r="F3545" s="2">
        <v>9.9699999999999997E-2</v>
      </c>
      <c r="G3545" s="2">
        <v>0.1051</v>
      </c>
      <c r="H3545" s="2">
        <v>4.8399999999999999E-2</v>
      </c>
      <c r="I3545" s="2">
        <v>6.0699999999999997E-2</v>
      </c>
      <c r="J3545" s="2">
        <v>3.0099999999999998E-2</v>
      </c>
      <c r="K3545" s="2">
        <v>2.2499999999999999E-2</v>
      </c>
      <c r="L3545" s="2">
        <v>1.8499999999999999E-2</v>
      </c>
      <c r="M3545" s="2">
        <v>3.7499999999999999E-2</v>
      </c>
      <c r="N3545" s="2">
        <v>3.0599999999999999E-2</v>
      </c>
      <c r="O3545" s="2">
        <v>1.4E-2</v>
      </c>
      <c r="P3545" s="2">
        <v>8.9999999999999998E-4</v>
      </c>
      <c r="Q3545" s="2">
        <v>2.5000000000000001E-3</v>
      </c>
      <c r="R3545" s="2">
        <v>1.1999999999999999E-3</v>
      </c>
      <c r="S3545">
        <v>297</v>
      </c>
    </row>
    <row r="3546" spans="1:19" x14ac:dyDescent="0.35">
      <c r="A3546" t="s">
        <v>228</v>
      </c>
      <c r="B3546" t="s">
        <v>228</v>
      </c>
      <c r="C3546" s="2">
        <v>0.30740000000000001</v>
      </c>
      <c r="D3546" s="2">
        <v>0.30609999999999998</v>
      </c>
      <c r="E3546" s="2">
        <v>0.28370000000000001</v>
      </c>
      <c r="F3546" s="2">
        <v>0.10630000000000001</v>
      </c>
      <c r="G3546" s="2">
        <v>7.3300000000000004E-2</v>
      </c>
      <c r="H3546" s="2">
        <v>5.7000000000000002E-2</v>
      </c>
      <c r="I3546" s="2">
        <v>4.9799999999999997E-2</v>
      </c>
      <c r="J3546" s="2">
        <v>3.2599999999999997E-2</v>
      </c>
      <c r="K3546" s="2">
        <v>2.8400000000000002E-2</v>
      </c>
      <c r="L3546" s="2">
        <v>2.81E-2</v>
      </c>
      <c r="M3546" s="2">
        <v>2.6599999999999999E-2</v>
      </c>
      <c r="N3546" s="2">
        <v>2.3900000000000001E-2</v>
      </c>
      <c r="O3546" s="2">
        <v>9.4999999999999998E-3</v>
      </c>
      <c r="P3546" s="2">
        <v>4.8999999999999998E-3</v>
      </c>
      <c r="Q3546" s="2">
        <v>2.2000000000000001E-3</v>
      </c>
      <c r="R3546" s="2">
        <v>8.0000000000000004E-4</v>
      </c>
      <c r="S3546">
        <v>454</v>
      </c>
    </row>
    <row r="3548" spans="1:19" x14ac:dyDescent="0.35">
      <c r="A3548" s="1" t="s">
        <v>1230</v>
      </c>
    </row>
    <row r="3549" spans="1:19" x14ac:dyDescent="0.35">
      <c r="A3549" t="s">
        <v>219</v>
      </c>
      <c r="B3549" t="s">
        <v>301</v>
      </c>
      <c r="C3549" t="s">
        <v>1215</v>
      </c>
      <c r="D3549" t="s">
        <v>1216</v>
      </c>
      <c r="E3549" t="s">
        <v>1217</v>
      </c>
      <c r="F3549" t="s">
        <v>1218</v>
      </c>
      <c r="G3549" t="s">
        <v>1219</v>
      </c>
      <c r="H3549" t="s">
        <v>1220</v>
      </c>
      <c r="I3549" t="s">
        <v>1221</v>
      </c>
      <c r="J3549" t="s">
        <v>1222</v>
      </c>
      <c r="K3549" t="s">
        <v>1223</v>
      </c>
      <c r="L3549" t="s">
        <v>318</v>
      </c>
      <c r="M3549" t="s">
        <v>1224</v>
      </c>
      <c r="N3549" t="s">
        <v>1225</v>
      </c>
      <c r="O3549" t="s">
        <v>1226</v>
      </c>
      <c r="P3549" t="s">
        <v>282</v>
      </c>
      <c r="Q3549" t="s">
        <v>1227</v>
      </c>
      <c r="R3549" t="s">
        <v>277</v>
      </c>
      <c r="S3549" t="s">
        <v>226</v>
      </c>
    </row>
    <row r="3550" spans="1:19" x14ac:dyDescent="0.35">
      <c r="A3550" t="s">
        <v>227</v>
      </c>
      <c r="B3550" t="s">
        <v>240</v>
      </c>
      <c r="C3550" s="2">
        <v>0.32040000000000002</v>
      </c>
      <c r="D3550" s="2">
        <v>0.2949</v>
      </c>
      <c r="E3550" s="2">
        <v>0.27179999999999999</v>
      </c>
      <c r="F3550" s="2">
        <v>0.1177</v>
      </c>
      <c r="G3550" s="2">
        <v>8.8599999999999998E-2</v>
      </c>
      <c r="H3550" s="2">
        <v>5.5199999999999999E-2</v>
      </c>
      <c r="I3550" s="2">
        <v>4.2500000000000003E-2</v>
      </c>
      <c r="J3550" s="2">
        <v>3.15E-2</v>
      </c>
      <c r="K3550" s="2">
        <v>4.1799999999999997E-2</v>
      </c>
      <c r="L3550" s="2">
        <v>1.43E-2</v>
      </c>
      <c r="M3550" s="2">
        <v>1.3899999999999999E-2</v>
      </c>
      <c r="N3550" s="2">
        <v>2.63E-2</v>
      </c>
      <c r="O3550" s="2">
        <v>8.0999999999999996E-3</v>
      </c>
      <c r="P3550" s="2">
        <v>2.0000000000000001E-4</v>
      </c>
      <c r="Q3550" s="2">
        <v>8.9999999999999998E-4</v>
      </c>
      <c r="R3550" s="2">
        <v>8.0000000000000004E-4</v>
      </c>
      <c r="S3550">
        <v>289</v>
      </c>
    </row>
    <row r="3551" spans="1:19" x14ac:dyDescent="0.35">
      <c r="A3551" t="s">
        <v>227</v>
      </c>
      <c r="B3551" t="s">
        <v>241</v>
      </c>
      <c r="C3551" s="2">
        <v>0.22889999999999999</v>
      </c>
      <c r="D3551" s="2">
        <v>0.25069999999999998</v>
      </c>
      <c r="E3551" s="2">
        <v>0.35470000000000002</v>
      </c>
      <c r="F3551" s="2">
        <v>7.2400000000000006E-2</v>
      </c>
      <c r="G3551" s="2">
        <v>6.5299999999999997E-2</v>
      </c>
      <c r="H3551" s="2">
        <v>9.06E-2</v>
      </c>
      <c r="I3551" s="2">
        <v>2.53E-2</v>
      </c>
      <c r="J3551" s="2">
        <v>3.8100000000000002E-2</v>
      </c>
      <c r="K3551" s="2">
        <v>3.5000000000000001E-3</v>
      </c>
      <c r="L3551" s="2">
        <v>6.3700000000000007E-2</v>
      </c>
      <c r="M3551" s="2">
        <v>7.46E-2</v>
      </c>
      <c r="N3551" s="2">
        <v>1.5699999999999999E-2</v>
      </c>
      <c r="O3551" s="2">
        <v>1.9E-3</v>
      </c>
      <c r="P3551" s="2">
        <v>3.7000000000000002E-3</v>
      </c>
      <c r="Q3551" s="2">
        <v>2.3999999999999998E-3</v>
      </c>
      <c r="R3551" s="2">
        <v>1.1000000000000001E-3</v>
      </c>
      <c r="S3551">
        <v>115</v>
      </c>
    </row>
    <row r="3552" spans="1:19" x14ac:dyDescent="0.35">
      <c r="A3552" t="s">
        <v>227</v>
      </c>
      <c r="B3552" t="s">
        <v>242</v>
      </c>
      <c r="C3552" s="2">
        <v>0.38990000000000002</v>
      </c>
      <c r="D3552" s="2">
        <v>0.46539999999999998</v>
      </c>
      <c r="E3552" s="2">
        <v>0.21010000000000001</v>
      </c>
      <c r="F3552" s="2">
        <v>0.11310000000000001</v>
      </c>
      <c r="G3552" s="2">
        <v>1.18E-2</v>
      </c>
      <c r="H3552" s="2">
        <v>3.0000000000000001E-3</v>
      </c>
      <c r="I3552" s="2">
        <v>0.1323</v>
      </c>
      <c r="J3552" s="2">
        <v>2.81E-2</v>
      </c>
      <c r="K3552" s="2">
        <v>7.7000000000000002E-3</v>
      </c>
      <c r="L3552" s="2">
        <v>3.0300000000000001E-2</v>
      </c>
      <c r="N3552" s="2">
        <v>2.7400000000000001E-2</v>
      </c>
      <c r="O3552" s="2">
        <v>3.0800000000000001E-2</v>
      </c>
      <c r="P3552" s="2">
        <v>3.0300000000000001E-2</v>
      </c>
      <c r="Q3552" s="2">
        <v>8.0999999999999996E-3</v>
      </c>
      <c r="S3552">
        <v>50</v>
      </c>
    </row>
    <row r="3553" spans="1:19" x14ac:dyDescent="0.35">
      <c r="A3553" t="s">
        <v>228</v>
      </c>
      <c r="B3553" t="s">
        <v>228</v>
      </c>
      <c r="C3553" s="2">
        <v>0.30740000000000001</v>
      </c>
      <c r="D3553" s="2">
        <v>0.30609999999999998</v>
      </c>
      <c r="E3553" s="2">
        <v>0.28370000000000001</v>
      </c>
      <c r="F3553" s="2">
        <v>0.10630000000000001</v>
      </c>
      <c r="G3553" s="2">
        <v>7.3300000000000004E-2</v>
      </c>
      <c r="H3553" s="2">
        <v>5.7000000000000002E-2</v>
      </c>
      <c r="I3553" s="2">
        <v>4.9799999999999997E-2</v>
      </c>
      <c r="J3553" s="2">
        <v>3.2599999999999997E-2</v>
      </c>
      <c r="K3553" s="2">
        <v>2.8400000000000002E-2</v>
      </c>
      <c r="L3553" s="2">
        <v>2.81E-2</v>
      </c>
      <c r="M3553" s="2">
        <v>2.6599999999999999E-2</v>
      </c>
      <c r="N3553" s="2">
        <v>2.3900000000000001E-2</v>
      </c>
      <c r="O3553" s="2">
        <v>9.4999999999999998E-3</v>
      </c>
      <c r="P3553" s="2">
        <v>4.8999999999999998E-3</v>
      </c>
      <c r="Q3553" s="2">
        <v>2.2000000000000001E-3</v>
      </c>
      <c r="R3553" s="2">
        <v>8.0000000000000004E-4</v>
      </c>
      <c r="S3553">
        <v>454</v>
      </c>
    </row>
    <row r="3555" spans="1:19" x14ac:dyDescent="0.35">
      <c r="A3555" s="1" t="s">
        <v>1231</v>
      </c>
    </row>
    <row r="3556" spans="1:19" x14ac:dyDescent="0.35">
      <c r="A3556" t="s">
        <v>219</v>
      </c>
      <c r="B3556" t="s">
        <v>301</v>
      </c>
      <c r="C3556" t="s">
        <v>1215</v>
      </c>
      <c r="D3556" t="s">
        <v>1216</v>
      </c>
      <c r="E3556" t="s">
        <v>1217</v>
      </c>
      <c r="F3556" t="s">
        <v>1218</v>
      </c>
      <c r="G3556" t="s">
        <v>1219</v>
      </c>
      <c r="H3556" t="s">
        <v>1220</v>
      </c>
      <c r="I3556" t="s">
        <v>1221</v>
      </c>
      <c r="J3556" t="s">
        <v>1222</v>
      </c>
      <c r="K3556" t="s">
        <v>1223</v>
      </c>
      <c r="L3556" t="s">
        <v>318</v>
      </c>
      <c r="M3556" t="s">
        <v>1224</v>
      </c>
      <c r="N3556" t="s">
        <v>1225</v>
      </c>
      <c r="O3556" t="s">
        <v>1226</v>
      </c>
      <c r="P3556" t="s">
        <v>282</v>
      </c>
      <c r="Q3556" t="s">
        <v>1227</v>
      </c>
      <c r="R3556" t="s">
        <v>277</v>
      </c>
      <c r="S3556" t="s">
        <v>226</v>
      </c>
    </row>
    <row r="3557" spans="1:19" x14ac:dyDescent="0.35">
      <c r="A3557" t="s">
        <v>227</v>
      </c>
      <c r="B3557" t="s">
        <v>334</v>
      </c>
      <c r="C3557" s="2">
        <v>0.22939999999999999</v>
      </c>
      <c r="D3557" s="2">
        <v>0.42570000000000002</v>
      </c>
      <c r="E3557" s="2">
        <v>0.4163</v>
      </c>
      <c r="F3557" s="2">
        <v>0.14729999999999999</v>
      </c>
      <c r="G3557" s="2">
        <v>8.5000000000000006E-2</v>
      </c>
      <c r="H3557" s="2">
        <v>1.49E-2</v>
      </c>
      <c r="I3557" s="2">
        <v>0.1014</v>
      </c>
      <c r="J3557" s="2">
        <v>6.3E-3</v>
      </c>
      <c r="K3557" s="2">
        <v>6.0000000000000001E-3</v>
      </c>
      <c r="L3557" s="2">
        <v>4.4000000000000003E-3</v>
      </c>
      <c r="M3557" s="2">
        <v>2.2800000000000001E-2</v>
      </c>
      <c r="N3557" s="2">
        <v>1.7600000000000001E-2</v>
      </c>
      <c r="O3557" s="2">
        <v>3.6900000000000002E-2</v>
      </c>
      <c r="P3557" s="2">
        <v>1.6500000000000001E-2</v>
      </c>
      <c r="Q3557" s="2">
        <v>2.5000000000000001E-3</v>
      </c>
      <c r="S3557">
        <v>116</v>
      </c>
    </row>
    <row r="3558" spans="1:19" x14ac:dyDescent="0.35">
      <c r="A3558" t="s">
        <v>227</v>
      </c>
      <c r="B3558" t="s">
        <v>335</v>
      </c>
      <c r="C3558" s="2">
        <v>0.36770000000000003</v>
      </c>
      <c r="D3558" s="2">
        <v>0.2266</v>
      </c>
      <c r="E3558" s="2">
        <v>0.19589999999999999</v>
      </c>
      <c r="F3558" s="2">
        <v>7.6600000000000001E-2</v>
      </c>
      <c r="G3558" s="2">
        <v>5.5E-2</v>
      </c>
      <c r="H3558" s="2">
        <v>0.1482</v>
      </c>
      <c r="I3558" s="2">
        <v>3.95E-2</v>
      </c>
      <c r="J3558" s="2">
        <v>5.45E-2</v>
      </c>
      <c r="K3558" s="2">
        <v>1.15E-2</v>
      </c>
      <c r="L3558" s="2">
        <v>4.0500000000000001E-2</v>
      </c>
      <c r="M3558" s="2">
        <v>2.8299999999999999E-2</v>
      </c>
      <c r="N3558" s="2">
        <v>4.6399999999999997E-2</v>
      </c>
      <c r="Q3558" s="2">
        <v>3.0999999999999999E-3</v>
      </c>
      <c r="S3558">
        <v>124</v>
      </c>
    </row>
    <row r="3559" spans="1:19" x14ac:dyDescent="0.35">
      <c r="A3559" t="s">
        <v>227</v>
      </c>
      <c r="B3559" t="s">
        <v>336</v>
      </c>
      <c r="C3559" s="2">
        <v>0.28160000000000002</v>
      </c>
      <c r="D3559" s="2">
        <v>0.30740000000000001</v>
      </c>
      <c r="E3559" s="2">
        <v>0.31259999999999999</v>
      </c>
      <c r="F3559" s="2">
        <v>3.8600000000000002E-2</v>
      </c>
      <c r="G3559" s="2">
        <v>0.1101</v>
      </c>
      <c r="I3559" s="2">
        <v>4.6800000000000001E-2</v>
      </c>
      <c r="J3559" s="2">
        <v>2.2800000000000001E-2</v>
      </c>
      <c r="K3559" s="2">
        <v>1.7100000000000001E-2</v>
      </c>
      <c r="L3559" s="2">
        <v>6.1100000000000002E-2</v>
      </c>
      <c r="M3559" s="2">
        <v>3.5000000000000001E-3</v>
      </c>
      <c r="N3559" s="2">
        <v>3.0599999999999999E-2</v>
      </c>
      <c r="O3559" s="2">
        <v>3.2000000000000002E-3</v>
      </c>
      <c r="R3559" s="2">
        <v>1.9E-3</v>
      </c>
      <c r="S3559">
        <v>83</v>
      </c>
    </row>
    <row r="3560" spans="1:19" x14ac:dyDescent="0.35">
      <c r="A3560" t="s">
        <v>227</v>
      </c>
      <c r="B3560" t="s">
        <v>337</v>
      </c>
      <c r="C3560" s="2">
        <v>0.3468</v>
      </c>
      <c r="D3560" s="2">
        <v>0.307</v>
      </c>
      <c r="E3560" s="2">
        <v>0.22850000000000001</v>
      </c>
      <c r="F3560" s="2">
        <v>0.17380000000000001</v>
      </c>
      <c r="G3560" s="2">
        <v>6.3600000000000004E-2</v>
      </c>
      <c r="H3560" s="2">
        <v>1.7999999999999999E-2</v>
      </c>
      <c r="I3560" s="2">
        <v>2.8299999999999999E-2</v>
      </c>
      <c r="J3560" s="2">
        <v>4.0099999999999997E-2</v>
      </c>
      <c r="K3560" s="2">
        <v>6.1499999999999999E-2</v>
      </c>
      <c r="L3560" s="2">
        <v>2.29E-2</v>
      </c>
      <c r="M3560" s="2">
        <v>2.86E-2</v>
      </c>
      <c r="N3560" s="2">
        <v>1.1000000000000001E-3</v>
      </c>
      <c r="Q3560" s="2">
        <v>2.3999999999999998E-3</v>
      </c>
      <c r="S3560">
        <v>92</v>
      </c>
    </row>
    <row r="3561" spans="1:19" x14ac:dyDescent="0.35">
      <c r="A3561" t="s">
        <v>228</v>
      </c>
      <c r="B3561" t="s">
        <v>228</v>
      </c>
      <c r="C3561" s="2">
        <v>0.30740000000000001</v>
      </c>
      <c r="D3561" s="2">
        <v>0.30609999999999998</v>
      </c>
      <c r="E3561" s="2">
        <v>0.28370000000000001</v>
      </c>
      <c r="F3561" s="2">
        <v>0.10630000000000001</v>
      </c>
      <c r="G3561" s="2">
        <v>7.3300000000000004E-2</v>
      </c>
      <c r="H3561" s="2">
        <v>5.7000000000000002E-2</v>
      </c>
      <c r="I3561" s="2">
        <v>4.9799999999999997E-2</v>
      </c>
      <c r="J3561" s="2">
        <v>3.2599999999999997E-2</v>
      </c>
      <c r="K3561" s="2">
        <v>2.8400000000000002E-2</v>
      </c>
      <c r="L3561" s="2">
        <v>2.81E-2</v>
      </c>
      <c r="M3561" s="2">
        <v>2.6599999999999999E-2</v>
      </c>
      <c r="N3561" s="2">
        <v>2.3900000000000001E-2</v>
      </c>
      <c r="O3561" s="2">
        <v>9.4999999999999998E-3</v>
      </c>
      <c r="P3561" s="2">
        <v>4.8999999999999998E-3</v>
      </c>
      <c r="Q3561" s="2">
        <v>2.2000000000000001E-3</v>
      </c>
      <c r="R3561" s="2">
        <v>8.0000000000000004E-4</v>
      </c>
      <c r="S3561">
        <v>415</v>
      </c>
    </row>
    <row r="3563" spans="1:19" x14ac:dyDescent="0.35">
      <c r="A3563" s="1" t="s">
        <v>1232</v>
      </c>
    </row>
    <row r="3564" spans="1:19" x14ac:dyDescent="0.35">
      <c r="A3564" t="s">
        <v>219</v>
      </c>
      <c r="B3564" t="s">
        <v>301</v>
      </c>
      <c r="C3564" t="s">
        <v>1215</v>
      </c>
      <c r="D3564" t="s">
        <v>1216</v>
      </c>
      <c r="E3564" t="s">
        <v>1217</v>
      </c>
      <c r="F3564" t="s">
        <v>1218</v>
      </c>
      <c r="G3564" t="s">
        <v>1219</v>
      </c>
      <c r="H3564" t="s">
        <v>1220</v>
      </c>
      <c r="I3564" t="s">
        <v>1221</v>
      </c>
      <c r="J3564" t="s">
        <v>1222</v>
      </c>
      <c r="K3564" t="s">
        <v>1223</v>
      </c>
      <c r="L3564" t="s">
        <v>318</v>
      </c>
      <c r="M3564" t="s">
        <v>1224</v>
      </c>
      <c r="N3564" t="s">
        <v>1225</v>
      </c>
      <c r="O3564" t="s">
        <v>1226</v>
      </c>
      <c r="P3564" t="s">
        <v>282</v>
      </c>
      <c r="Q3564" t="s">
        <v>1227</v>
      </c>
      <c r="R3564" t="s">
        <v>277</v>
      </c>
      <c r="S3564" t="s">
        <v>226</v>
      </c>
    </row>
    <row r="3565" spans="1:19" x14ac:dyDescent="0.35">
      <c r="A3565" t="s">
        <v>227</v>
      </c>
      <c r="B3565" t="s">
        <v>263</v>
      </c>
      <c r="C3565" s="2">
        <v>0.34610000000000002</v>
      </c>
      <c r="D3565" s="2">
        <v>0.24959999999999999</v>
      </c>
      <c r="E3565" s="2">
        <v>0.18229999999999999</v>
      </c>
      <c r="F3565" s="2">
        <v>0.11310000000000001</v>
      </c>
      <c r="G3565" s="2">
        <v>5.3900000000000003E-2</v>
      </c>
      <c r="I3565" s="2">
        <v>2.4199999999999999E-2</v>
      </c>
      <c r="J3565" s="2">
        <v>0.1043</v>
      </c>
      <c r="K3565" s="2">
        <v>2.3E-3</v>
      </c>
      <c r="L3565" s="2">
        <v>6.2899999999999998E-2</v>
      </c>
      <c r="M3565" s="2">
        <v>2.7400000000000001E-2</v>
      </c>
      <c r="N3565" s="2">
        <v>1.72E-2</v>
      </c>
      <c r="O3565" s="2">
        <v>1.1999999999999999E-3</v>
      </c>
      <c r="P3565" s="2">
        <v>2.0999999999999999E-3</v>
      </c>
      <c r="S3565">
        <v>94</v>
      </c>
    </row>
    <row r="3566" spans="1:19" x14ac:dyDescent="0.35">
      <c r="A3566" t="s">
        <v>227</v>
      </c>
      <c r="B3566" t="s">
        <v>262</v>
      </c>
      <c r="C3566" s="2">
        <v>0.2137</v>
      </c>
      <c r="D3566" s="2">
        <v>0.26829999999999998</v>
      </c>
      <c r="E3566" s="2">
        <v>0.38379999999999997</v>
      </c>
      <c r="F3566" s="2">
        <v>9.0800000000000006E-2</v>
      </c>
      <c r="G3566" s="2">
        <v>4.07E-2</v>
      </c>
      <c r="H3566" s="2">
        <v>0.1069</v>
      </c>
      <c r="I3566" s="2">
        <v>5.21E-2</v>
      </c>
      <c r="J3566" s="2">
        <v>1.01E-2</v>
      </c>
      <c r="K3566" s="2">
        <v>2.1499999999999998E-2</v>
      </c>
      <c r="L3566" s="2">
        <v>3.09E-2</v>
      </c>
      <c r="M3566" s="2">
        <v>4.9399999999999999E-2</v>
      </c>
      <c r="N3566" s="2">
        <v>3.7100000000000001E-2</v>
      </c>
      <c r="O3566" s="2">
        <v>2.5499999999999998E-2</v>
      </c>
      <c r="P3566" s="2">
        <v>1.2999999999999999E-3</v>
      </c>
      <c r="Q3566" s="2">
        <v>3.5000000000000001E-3</v>
      </c>
      <c r="R3566" s="2">
        <v>2.3E-3</v>
      </c>
      <c r="S3566">
        <v>169</v>
      </c>
    </row>
    <row r="3567" spans="1:19" x14ac:dyDescent="0.35">
      <c r="A3567" t="s">
        <v>227</v>
      </c>
      <c r="B3567" t="s">
        <v>261</v>
      </c>
      <c r="C3567" s="2">
        <v>0.35959999999999998</v>
      </c>
      <c r="D3567" s="2">
        <v>0.35539999999999999</v>
      </c>
      <c r="E3567" s="2">
        <v>0.26169999999999999</v>
      </c>
      <c r="F3567" s="2">
        <v>0.1152</v>
      </c>
      <c r="G3567" s="2">
        <v>0.1069</v>
      </c>
      <c r="H3567" s="2">
        <v>4.8500000000000001E-2</v>
      </c>
      <c r="I3567" s="2">
        <v>6.0900000000000003E-2</v>
      </c>
      <c r="J3567" s="2">
        <v>1.49E-2</v>
      </c>
      <c r="K3567" s="2">
        <v>4.6100000000000002E-2</v>
      </c>
      <c r="L3567" s="2">
        <v>9.4999999999999998E-3</v>
      </c>
      <c r="M3567" s="2">
        <v>9.7000000000000003E-3</v>
      </c>
      <c r="N3567" s="2">
        <v>1.77E-2</v>
      </c>
      <c r="O3567" s="2">
        <v>2E-3</v>
      </c>
      <c r="P3567" s="2">
        <v>8.8999999999999999E-3</v>
      </c>
      <c r="Q3567" s="2">
        <v>2.3E-3</v>
      </c>
      <c r="S3567">
        <v>190</v>
      </c>
    </row>
    <row r="3568" spans="1:19" x14ac:dyDescent="0.35">
      <c r="A3568" s="3" t="s">
        <v>227</v>
      </c>
      <c r="B3568" s="3" t="s">
        <v>232</v>
      </c>
      <c r="C3568" s="5"/>
      <c r="D3568" s="4">
        <v>1</v>
      </c>
      <c r="E3568" s="5"/>
      <c r="F3568" s="5"/>
      <c r="G3568" s="5"/>
      <c r="H3568" s="5"/>
      <c r="I3568" s="5"/>
      <c r="J3568" s="5"/>
      <c r="K3568" s="5"/>
      <c r="L3568" s="5"/>
      <c r="M3568" s="5"/>
      <c r="N3568" s="5"/>
      <c r="O3568" s="5"/>
      <c r="P3568" s="5"/>
      <c r="Q3568" s="5"/>
      <c r="R3568" s="5"/>
      <c r="S3568" s="5" t="s">
        <v>323</v>
      </c>
    </row>
    <row r="3569" spans="1:19" x14ac:dyDescent="0.35">
      <c r="A3569" t="s">
        <v>228</v>
      </c>
      <c r="B3569" t="s">
        <v>228</v>
      </c>
      <c r="C3569" s="2">
        <v>0.30740000000000001</v>
      </c>
      <c r="D3569" s="2">
        <v>0.30609999999999998</v>
      </c>
      <c r="E3569" s="2">
        <v>0.28370000000000001</v>
      </c>
      <c r="F3569" s="2">
        <v>0.10630000000000001</v>
      </c>
      <c r="G3569" s="2">
        <v>7.3300000000000004E-2</v>
      </c>
      <c r="H3569" s="2">
        <v>5.7000000000000002E-2</v>
      </c>
      <c r="I3569" s="2">
        <v>4.9799999999999997E-2</v>
      </c>
      <c r="J3569" s="2">
        <v>3.2599999999999997E-2</v>
      </c>
      <c r="K3569" s="2">
        <v>2.8400000000000002E-2</v>
      </c>
      <c r="L3569" s="2">
        <v>2.81E-2</v>
      </c>
      <c r="M3569" s="2">
        <v>2.6599999999999999E-2</v>
      </c>
      <c r="N3569" s="2">
        <v>2.3900000000000001E-2</v>
      </c>
      <c r="O3569" s="2">
        <v>9.4999999999999998E-3</v>
      </c>
      <c r="P3569" s="2">
        <v>4.8999999999999998E-3</v>
      </c>
      <c r="Q3569" s="2">
        <v>2.2000000000000001E-3</v>
      </c>
      <c r="R3569" s="2">
        <v>8.0000000000000004E-4</v>
      </c>
      <c r="S3569">
        <v>454</v>
      </c>
    </row>
    <row r="3571" spans="1:19" x14ac:dyDescent="0.35">
      <c r="A3571" s="1" t="s">
        <v>1233</v>
      </c>
    </row>
    <row r="3572" spans="1:19" x14ac:dyDescent="0.35">
      <c r="A3572" t="s">
        <v>219</v>
      </c>
      <c r="B3572" t="s">
        <v>301</v>
      </c>
      <c r="C3572" t="s">
        <v>1215</v>
      </c>
      <c r="D3572" t="s">
        <v>1216</v>
      </c>
      <c r="E3572" t="s">
        <v>1217</v>
      </c>
      <c r="F3572" t="s">
        <v>1218</v>
      </c>
      <c r="G3572" t="s">
        <v>1219</v>
      </c>
      <c r="H3572" t="s">
        <v>1220</v>
      </c>
      <c r="I3572" t="s">
        <v>1221</v>
      </c>
      <c r="J3572" t="s">
        <v>1222</v>
      </c>
      <c r="K3572" t="s">
        <v>1223</v>
      </c>
      <c r="L3572" t="s">
        <v>318</v>
      </c>
      <c r="M3572" t="s">
        <v>1224</v>
      </c>
      <c r="N3572" t="s">
        <v>1225</v>
      </c>
      <c r="O3572" t="s">
        <v>1226</v>
      </c>
      <c r="P3572" t="s">
        <v>282</v>
      </c>
      <c r="Q3572" t="s">
        <v>1227</v>
      </c>
      <c r="R3572" t="s">
        <v>277</v>
      </c>
      <c r="S3572" t="s">
        <v>226</v>
      </c>
    </row>
    <row r="3573" spans="1:19" x14ac:dyDescent="0.35">
      <c r="A3573" t="s">
        <v>227</v>
      </c>
      <c r="B3573" t="s">
        <v>248</v>
      </c>
      <c r="C3573" s="2">
        <v>0.1421</v>
      </c>
      <c r="D3573" s="2">
        <v>0.4037</v>
      </c>
      <c r="E3573" s="2">
        <v>0.36940000000000001</v>
      </c>
      <c r="F3573" s="2">
        <v>8.1500000000000003E-2</v>
      </c>
      <c r="G3573" s="2">
        <v>3.0800000000000001E-2</v>
      </c>
      <c r="H3573" s="2">
        <v>7.3200000000000001E-2</v>
      </c>
      <c r="I3573" s="2">
        <v>4.6100000000000002E-2</v>
      </c>
      <c r="J3573" s="2">
        <v>9.5999999999999992E-3</v>
      </c>
      <c r="K3573" s="2">
        <v>1.35E-2</v>
      </c>
      <c r="L3573" s="2">
        <v>5.7000000000000002E-3</v>
      </c>
      <c r="N3573" s="2">
        <v>3.0800000000000001E-2</v>
      </c>
      <c r="O3573" s="2">
        <v>3.3999999999999998E-3</v>
      </c>
      <c r="Q3573" s="2">
        <v>4.3E-3</v>
      </c>
      <c r="R3573" s="2">
        <v>1.9E-3</v>
      </c>
      <c r="S3573">
        <v>79</v>
      </c>
    </row>
    <row r="3574" spans="1:19" x14ac:dyDescent="0.35">
      <c r="A3574" t="s">
        <v>227</v>
      </c>
      <c r="B3574" t="s">
        <v>249</v>
      </c>
      <c r="C3574" s="2">
        <v>0.23680000000000001</v>
      </c>
      <c r="D3574" s="2">
        <v>0.47199999999999998</v>
      </c>
      <c r="E3574" s="2">
        <v>0.21929999999999999</v>
      </c>
      <c r="F3574" s="2">
        <v>9.3600000000000003E-2</v>
      </c>
      <c r="G3574" s="2">
        <v>2.4899999999999999E-2</v>
      </c>
      <c r="I3574" s="2">
        <v>5.74E-2</v>
      </c>
      <c r="J3574" s="2">
        <v>0.02</v>
      </c>
      <c r="K3574" s="2">
        <v>8.3999999999999995E-3</v>
      </c>
      <c r="L3574" s="2">
        <v>4.3099999999999999E-2</v>
      </c>
      <c r="M3574" s="2">
        <v>3.8199999999999998E-2</v>
      </c>
      <c r="N3574" s="2">
        <v>2.3599999999999999E-2</v>
      </c>
      <c r="O3574" s="2">
        <v>2.7400000000000001E-2</v>
      </c>
      <c r="P3574" s="2">
        <v>2.0899999999999998E-2</v>
      </c>
      <c r="S3574">
        <v>92</v>
      </c>
    </row>
    <row r="3575" spans="1:19" x14ac:dyDescent="0.35">
      <c r="A3575" t="s">
        <v>227</v>
      </c>
      <c r="B3575" t="s">
        <v>247</v>
      </c>
      <c r="C3575" s="2">
        <v>0.35899999999999999</v>
      </c>
      <c r="D3575" s="2">
        <v>0.2419</v>
      </c>
      <c r="E3575" s="2">
        <v>0.28439999999999999</v>
      </c>
      <c r="F3575" s="2">
        <v>0.1147</v>
      </c>
      <c r="G3575" s="2">
        <v>9.4700000000000006E-2</v>
      </c>
      <c r="H3575" s="2">
        <v>6.93E-2</v>
      </c>
      <c r="I3575" s="2">
        <v>4.8500000000000001E-2</v>
      </c>
      <c r="J3575" s="2">
        <v>4.0599999999999997E-2</v>
      </c>
      <c r="K3575" s="2">
        <v>3.6700000000000003E-2</v>
      </c>
      <c r="L3575" s="2">
        <v>2.8400000000000002E-2</v>
      </c>
      <c r="M3575" s="2">
        <v>2.86E-2</v>
      </c>
      <c r="N3575" s="2">
        <v>2.2599999999999999E-2</v>
      </c>
      <c r="O3575" s="2">
        <v>5.8999999999999999E-3</v>
      </c>
      <c r="P3575" s="2">
        <v>1.5E-3</v>
      </c>
      <c r="Q3575" s="2">
        <v>2.3E-3</v>
      </c>
      <c r="R3575" s="2">
        <v>6.9999999999999999E-4</v>
      </c>
      <c r="S3575">
        <v>283</v>
      </c>
    </row>
    <row r="3576" spans="1:19" x14ac:dyDescent="0.35">
      <c r="A3576" t="s">
        <v>228</v>
      </c>
      <c r="B3576" t="s">
        <v>228</v>
      </c>
      <c r="C3576" s="2">
        <v>0.30740000000000001</v>
      </c>
      <c r="D3576" s="2">
        <v>0.30609999999999998</v>
      </c>
      <c r="E3576" s="2">
        <v>0.28370000000000001</v>
      </c>
      <c r="F3576" s="2">
        <v>0.10630000000000001</v>
      </c>
      <c r="G3576" s="2">
        <v>7.3300000000000004E-2</v>
      </c>
      <c r="H3576" s="2">
        <v>5.7000000000000002E-2</v>
      </c>
      <c r="I3576" s="2">
        <v>4.9799999999999997E-2</v>
      </c>
      <c r="J3576" s="2">
        <v>3.2599999999999997E-2</v>
      </c>
      <c r="K3576" s="2">
        <v>2.8400000000000002E-2</v>
      </c>
      <c r="L3576" s="2">
        <v>2.81E-2</v>
      </c>
      <c r="M3576" s="2">
        <v>2.6599999999999999E-2</v>
      </c>
      <c r="N3576" s="2">
        <v>2.3900000000000001E-2</v>
      </c>
      <c r="O3576" s="2">
        <v>9.4999999999999998E-3</v>
      </c>
      <c r="P3576" s="2">
        <v>4.8999999999999998E-3</v>
      </c>
      <c r="Q3576" s="2">
        <v>2.2000000000000001E-3</v>
      </c>
      <c r="R3576" s="2">
        <v>8.0000000000000004E-4</v>
      </c>
      <c r="S3576">
        <v>454</v>
      </c>
    </row>
    <row r="3578" spans="1:19" x14ac:dyDescent="0.35">
      <c r="A3578" s="1" t="s">
        <v>1234</v>
      </c>
    </row>
    <row r="3579" spans="1:19" x14ac:dyDescent="0.35">
      <c r="A3579" t="s">
        <v>219</v>
      </c>
      <c r="B3579" t="s">
        <v>301</v>
      </c>
      <c r="C3579" t="s">
        <v>1215</v>
      </c>
      <c r="D3579" t="s">
        <v>1216</v>
      </c>
      <c r="E3579" t="s">
        <v>1217</v>
      </c>
      <c r="F3579" t="s">
        <v>1218</v>
      </c>
      <c r="G3579" t="s">
        <v>1219</v>
      </c>
      <c r="H3579" t="s">
        <v>1220</v>
      </c>
      <c r="I3579" t="s">
        <v>1221</v>
      </c>
      <c r="J3579" t="s">
        <v>1222</v>
      </c>
      <c r="K3579" t="s">
        <v>1223</v>
      </c>
      <c r="L3579" t="s">
        <v>318</v>
      </c>
      <c r="M3579" t="s">
        <v>1224</v>
      </c>
      <c r="N3579" t="s">
        <v>1225</v>
      </c>
      <c r="O3579" t="s">
        <v>1226</v>
      </c>
      <c r="P3579" t="s">
        <v>282</v>
      </c>
      <c r="Q3579" t="s">
        <v>1227</v>
      </c>
      <c r="R3579" t="s">
        <v>277</v>
      </c>
      <c r="S3579" t="s">
        <v>226</v>
      </c>
    </row>
    <row r="3580" spans="1:19" x14ac:dyDescent="0.35">
      <c r="A3580" t="s">
        <v>227</v>
      </c>
      <c r="B3580" t="s">
        <v>245</v>
      </c>
      <c r="C3580" s="2">
        <v>0.3735</v>
      </c>
      <c r="D3580" s="2">
        <v>0.34320000000000001</v>
      </c>
      <c r="E3580" s="2">
        <v>0.30399999999999999</v>
      </c>
      <c r="F3580" s="2">
        <v>0.1263</v>
      </c>
      <c r="G3580" s="2">
        <v>9.35E-2</v>
      </c>
      <c r="H3580" s="2">
        <v>3.9100000000000003E-2</v>
      </c>
      <c r="I3580" s="2">
        <v>6.6900000000000001E-2</v>
      </c>
      <c r="J3580" s="2">
        <v>1.0699999999999999E-2</v>
      </c>
      <c r="K3580" s="2">
        <v>4.9200000000000001E-2</v>
      </c>
      <c r="L3580" s="2">
        <v>1.9699999999999999E-2</v>
      </c>
      <c r="M3580" s="2">
        <v>1.0200000000000001E-2</v>
      </c>
      <c r="N3580" s="2">
        <v>1.9300000000000001E-2</v>
      </c>
      <c r="O3580" s="2">
        <v>1.8800000000000001E-2</v>
      </c>
      <c r="P3580" s="2">
        <v>8.9999999999999993E-3</v>
      </c>
      <c r="Q3580" s="2">
        <v>3.5999999999999999E-3</v>
      </c>
      <c r="R3580" s="2">
        <v>1.1000000000000001E-3</v>
      </c>
      <c r="S3580">
        <v>190</v>
      </c>
    </row>
    <row r="3581" spans="1:19" x14ac:dyDescent="0.35">
      <c r="A3581" t="s">
        <v>227</v>
      </c>
      <c r="B3581" t="s">
        <v>244</v>
      </c>
      <c r="C3581" s="2">
        <v>0.25430000000000003</v>
      </c>
      <c r="D3581" s="2">
        <v>0.2762</v>
      </c>
      <c r="E3581" s="2">
        <v>0.26740000000000003</v>
      </c>
      <c r="F3581" s="2">
        <v>9.0300000000000005E-2</v>
      </c>
      <c r="G3581" s="2">
        <v>5.7000000000000002E-2</v>
      </c>
      <c r="H3581" s="2">
        <v>7.1400000000000005E-2</v>
      </c>
      <c r="I3581" s="2">
        <v>3.61E-2</v>
      </c>
      <c r="J3581" s="2">
        <v>5.0299999999999997E-2</v>
      </c>
      <c r="K3581" s="2">
        <v>1.1599999999999999E-2</v>
      </c>
      <c r="L3581" s="2">
        <v>3.4799999999999998E-2</v>
      </c>
      <c r="M3581" s="2">
        <v>3.9800000000000002E-2</v>
      </c>
      <c r="N3581" s="2">
        <v>2.76E-2</v>
      </c>
      <c r="O3581" s="2">
        <v>2.0999999999999999E-3</v>
      </c>
      <c r="P3581" s="2">
        <v>1.6000000000000001E-3</v>
      </c>
      <c r="Q3581" s="2">
        <v>1E-3</v>
      </c>
      <c r="R3581" s="2">
        <v>5.0000000000000001E-4</v>
      </c>
      <c r="S3581">
        <v>264</v>
      </c>
    </row>
    <row r="3582" spans="1:19" x14ac:dyDescent="0.35">
      <c r="A3582" t="s">
        <v>228</v>
      </c>
      <c r="B3582" t="s">
        <v>228</v>
      </c>
      <c r="C3582" s="2">
        <v>0.30740000000000001</v>
      </c>
      <c r="D3582" s="2">
        <v>0.30609999999999998</v>
      </c>
      <c r="E3582" s="2">
        <v>0.28370000000000001</v>
      </c>
      <c r="F3582" s="2">
        <v>0.10630000000000001</v>
      </c>
      <c r="G3582" s="2">
        <v>7.3300000000000004E-2</v>
      </c>
      <c r="H3582" s="2">
        <v>5.7000000000000002E-2</v>
      </c>
      <c r="I3582" s="2">
        <v>4.9799999999999997E-2</v>
      </c>
      <c r="J3582" s="2">
        <v>3.2599999999999997E-2</v>
      </c>
      <c r="K3582" s="2">
        <v>2.8400000000000002E-2</v>
      </c>
      <c r="L3582" s="2">
        <v>2.81E-2</v>
      </c>
      <c r="M3582" s="2">
        <v>2.6599999999999999E-2</v>
      </c>
      <c r="N3582" s="2">
        <v>2.3900000000000001E-2</v>
      </c>
      <c r="O3582" s="2">
        <v>9.4999999999999998E-3</v>
      </c>
      <c r="P3582" s="2">
        <v>4.8999999999999998E-3</v>
      </c>
      <c r="Q3582" s="2">
        <v>2.2000000000000001E-3</v>
      </c>
      <c r="R3582" s="2">
        <v>8.0000000000000004E-4</v>
      </c>
      <c r="S3582">
        <v>454</v>
      </c>
    </row>
    <row r="3584" spans="1:19" x14ac:dyDescent="0.35">
      <c r="A3584" s="1" t="s">
        <v>1235</v>
      </c>
    </row>
    <row r="3585" spans="1:19" x14ac:dyDescent="0.35">
      <c r="A3585" t="s">
        <v>219</v>
      </c>
      <c r="B3585" t="s">
        <v>301</v>
      </c>
      <c r="C3585" t="s">
        <v>1215</v>
      </c>
      <c r="D3585" t="s">
        <v>1216</v>
      </c>
      <c r="E3585" t="s">
        <v>1217</v>
      </c>
      <c r="F3585" t="s">
        <v>1218</v>
      </c>
      <c r="G3585" t="s">
        <v>1219</v>
      </c>
      <c r="H3585" t="s">
        <v>1220</v>
      </c>
      <c r="I3585" t="s">
        <v>1221</v>
      </c>
      <c r="J3585" t="s">
        <v>1222</v>
      </c>
      <c r="K3585" t="s">
        <v>1223</v>
      </c>
      <c r="L3585" t="s">
        <v>318</v>
      </c>
      <c r="M3585" t="s">
        <v>1224</v>
      </c>
      <c r="N3585" t="s">
        <v>1225</v>
      </c>
      <c r="O3585" t="s">
        <v>1226</v>
      </c>
      <c r="P3585" t="s">
        <v>282</v>
      </c>
      <c r="Q3585" t="s">
        <v>1227</v>
      </c>
      <c r="R3585" t="s">
        <v>277</v>
      </c>
      <c r="S3585" t="s">
        <v>226</v>
      </c>
    </row>
    <row r="3586" spans="1:19" x14ac:dyDescent="0.35">
      <c r="A3586" s="3" t="s">
        <v>227</v>
      </c>
      <c r="B3586" s="3" t="s">
        <v>259</v>
      </c>
      <c r="C3586" s="4">
        <v>4.7000000000000002E-3</v>
      </c>
      <c r="D3586" s="4">
        <v>0.13</v>
      </c>
      <c r="E3586" s="4">
        <v>0.29099999999999998</v>
      </c>
      <c r="F3586" s="4">
        <v>1.3100000000000001E-2</v>
      </c>
      <c r="G3586" s="4">
        <v>0.46760000000000002</v>
      </c>
      <c r="H3586" s="5"/>
      <c r="I3586" s="4">
        <v>0.18290000000000001</v>
      </c>
      <c r="J3586" s="4">
        <v>2.8799999999999999E-2</v>
      </c>
      <c r="K3586" s="4">
        <v>3.39E-2</v>
      </c>
      <c r="L3586" s="5"/>
      <c r="M3586" s="5"/>
      <c r="N3586" s="4">
        <v>0.1149</v>
      </c>
      <c r="O3586" s="4">
        <v>1.43E-2</v>
      </c>
      <c r="P3586" s="5"/>
      <c r="Q3586" s="5"/>
      <c r="R3586" s="5"/>
      <c r="S3586" s="5" t="s">
        <v>522</v>
      </c>
    </row>
    <row r="3587" spans="1:19" x14ac:dyDescent="0.35">
      <c r="A3587" t="s">
        <v>227</v>
      </c>
      <c r="B3587" t="s">
        <v>257</v>
      </c>
      <c r="C3587" s="2">
        <v>0.23050000000000001</v>
      </c>
      <c r="D3587" s="2">
        <v>0.37209999999999999</v>
      </c>
      <c r="E3587" s="2">
        <v>0.2792</v>
      </c>
      <c r="F3587" s="2">
        <v>5.6399999999999999E-2</v>
      </c>
      <c r="G3587" s="2">
        <v>0.12039999999999999</v>
      </c>
      <c r="H3587" s="2">
        <v>5.4600000000000003E-2</v>
      </c>
      <c r="I3587" s="2">
        <v>3.9199999999999999E-2</v>
      </c>
      <c r="J3587" s="2">
        <v>5.2999999999999999E-2</v>
      </c>
      <c r="K3587" s="2">
        <v>1.0800000000000001E-2</v>
      </c>
      <c r="L3587" s="2">
        <v>5.4999999999999997E-3</v>
      </c>
      <c r="N3587" s="2">
        <v>9.2700000000000005E-2</v>
      </c>
      <c r="O3587" s="2">
        <v>3.6700000000000003E-2</v>
      </c>
      <c r="Q3587" s="2">
        <v>6.7000000000000002E-3</v>
      </c>
      <c r="S3587">
        <v>72</v>
      </c>
    </row>
    <row r="3588" spans="1:19" x14ac:dyDescent="0.35">
      <c r="A3588" t="s">
        <v>227</v>
      </c>
      <c r="B3588" t="s">
        <v>256</v>
      </c>
      <c r="C3588" s="2">
        <v>0.3478</v>
      </c>
      <c r="D3588" s="2">
        <v>0.307</v>
      </c>
      <c r="E3588" s="2">
        <v>0.26690000000000003</v>
      </c>
      <c r="F3588" s="2">
        <v>0.13220000000000001</v>
      </c>
      <c r="G3588" s="2">
        <v>4.9200000000000001E-2</v>
      </c>
      <c r="H3588" s="2">
        <v>5.7599999999999998E-2</v>
      </c>
      <c r="I3588" s="2">
        <v>3.6299999999999999E-2</v>
      </c>
      <c r="J3588" s="2">
        <v>2.7699999999999999E-2</v>
      </c>
      <c r="K3588" s="2">
        <v>3.2399999999999998E-2</v>
      </c>
      <c r="L3588" s="2">
        <v>3.8899999999999997E-2</v>
      </c>
      <c r="M3588" s="2">
        <v>3.6400000000000002E-2</v>
      </c>
      <c r="O3588" s="2">
        <v>1.1999999999999999E-3</v>
      </c>
      <c r="P3588" s="2">
        <v>8.2000000000000007E-3</v>
      </c>
      <c r="R3588" s="2">
        <v>1.2999999999999999E-3</v>
      </c>
      <c r="S3588">
        <v>251</v>
      </c>
    </row>
    <row r="3589" spans="1:19" x14ac:dyDescent="0.35">
      <c r="A3589" t="s">
        <v>227</v>
      </c>
      <c r="B3589" t="s">
        <v>258</v>
      </c>
      <c r="C3589" s="2">
        <v>0.2979</v>
      </c>
      <c r="D3589" s="2">
        <v>0.2737</v>
      </c>
      <c r="E3589" s="2">
        <v>0.3367</v>
      </c>
      <c r="F3589" s="2">
        <v>8.5699999999999998E-2</v>
      </c>
      <c r="G3589" s="2">
        <v>4.5499999999999999E-2</v>
      </c>
      <c r="H3589" s="2">
        <v>6.6000000000000003E-2</v>
      </c>
      <c r="I3589" s="2">
        <v>7.9299999999999995E-2</v>
      </c>
      <c r="J3589" s="2">
        <v>3.0700000000000002E-2</v>
      </c>
      <c r="K3589" s="2">
        <v>3.0499999999999999E-2</v>
      </c>
      <c r="L3589" s="2">
        <v>1.9300000000000001E-2</v>
      </c>
      <c r="M3589" s="2">
        <v>2.3800000000000002E-2</v>
      </c>
      <c r="N3589" s="2">
        <v>2.3099999999999999E-2</v>
      </c>
      <c r="O3589" s="2">
        <v>1.06E-2</v>
      </c>
      <c r="Q3589" s="2">
        <v>5.1000000000000004E-3</v>
      </c>
      <c r="S3589">
        <v>115</v>
      </c>
    </row>
    <row r="3590" spans="1:19" x14ac:dyDescent="0.35">
      <c r="A3590" t="s">
        <v>228</v>
      </c>
      <c r="B3590" t="s">
        <v>228</v>
      </c>
      <c r="C3590" s="2">
        <v>0.30740000000000001</v>
      </c>
      <c r="D3590" s="2">
        <v>0.30609999999999998</v>
      </c>
      <c r="E3590" s="2">
        <v>0.28370000000000001</v>
      </c>
      <c r="F3590" s="2">
        <v>0.10630000000000001</v>
      </c>
      <c r="G3590" s="2">
        <v>7.3300000000000004E-2</v>
      </c>
      <c r="H3590" s="2">
        <v>5.7000000000000002E-2</v>
      </c>
      <c r="I3590" s="2">
        <v>4.9799999999999997E-2</v>
      </c>
      <c r="J3590" s="2">
        <v>3.2599999999999997E-2</v>
      </c>
      <c r="K3590" s="2">
        <v>2.8400000000000002E-2</v>
      </c>
      <c r="L3590" s="2">
        <v>2.81E-2</v>
      </c>
      <c r="M3590" s="2">
        <v>2.6599999999999999E-2</v>
      </c>
      <c r="N3590" s="2">
        <v>2.3900000000000001E-2</v>
      </c>
      <c r="O3590" s="2">
        <v>9.4999999999999998E-3</v>
      </c>
      <c r="P3590" s="2">
        <v>4.8999999999999998E-3</v>
      </c>
      <c r="Q3590" s="2">
        <v>2.2000000000000001E-3</v>
      </c>
      <c r="R3590" s="2">
        <v>8.0000000000000004E-4</v>
      </c>
      <c r="S3590">
        <v>454</v>
      </c>
    </row>
    <row r="3592" spans="1:19" x14ac:dyDescent="0.35">
      <c r="A3592" s="1" t="s">
        <v>1236</v>
      </c>
    </row>
    <row r="3593" spans="1:19" x14ac:dyDescent="0.35">
      <c r="A3593" t="s">
        <v>219</v>
      </c>
      <c r="B3593" t="s">
        <v>301</v>
      </c>
      <c r="C3593" t="s">
        <v>1215</v>
      </c>
      <c r="D3593" t="s">
        <v>1216</v>
      </c>
      <c r="E3593" t="s">
        <v>1217</v>
      </c>
      <c r="F3593" t="s">
        <v>1218</v>
      </c>
      <c r="G3593" t="s">
        <v>1219</v>
      </c>
      <c r="H3593" t="s">
        <v>1220</v>
      </c>
      <c r="I3593" t="s">
        <v>1221</v>
      </c>
      <c r="J3593" t="s">
        <v>1222</v>
      </c>
      <c r="K3593" t="s">
        <v>1223</v>
      </c>
      <c r="L3593" t="s">
        <v>318</v>
      </c>
      <c r="M3593" t="s">
        <v>1224</v>
      </c>
      <c r="N3593" t="s">
        <v>1225</v>
      </c>
      <c r="O3593" t="s">
        <v>1226</v>
      </c>
      <c r="P3593" t="s">
        <v>282</v>
      </c>
      <c r="Q3593" t="s">
        <v>1227</v>
      </c>
      <c r="R3593" t="s">
        <v>277</v>
      </c>
      <c r="S3593" t="s">
        <v>226</v>
      </c>
    </row>
    <row r="3594" spans="1:19" x14ac:dyDescent="0.35">
      <c r="A3594" t="s">
        <v>227</v>
      </c>
      <c r="B3594" t="s">
        <v>343</v>
      </c>
      <c r="C3594" s="2">
        <v>0.23050000000000001</v>
      </c>
      <c r="D3594" s="2">
        <v>0.37209999999999999</v>
      </c>
      <c r="E3594" s="2">
        <v>0.2792</v>
      </c>
      <c r="F3594" s="2">
        <v>5.6399999999999999E-2</v>
      </c>
      <c r="G3594" s="2">
        <v>0.12039999999999999</v>
      </c>
      <c r="H3594" s="2">
        <v>5.4600000000000003E-2</v>
      </c>
      <c r="I3594" s="2">
        <v>3.9199999999999999E-2</v>
      </c>
      <c r="J3594" s="2">
        <v>5.2999999999999999E-2</v>
      </c>
      <c r="K3594" s="2">
        <v>1.0800000000000001E-2</v>
      </c>
      <c r="L3594" s="2">
        <v>5.4999999999999997E-3</v>
      </c>
      <c r="N3594" s="2">
        <v>9.2700000000000005E-2</v>
      </c>
      <c r="O3594" s="2">
        <v>3.6700000000000003E-2</v>
      </c>
      <c r="Q3594" s="2">
        <v>6.7000000000000002E-3</v>
      </c>
      <c r="S3594">
        <v>72</v>
      </c>
    </row>
    <row r="3595" spans="1:19" x14ac:dyDescent="0.35">
      <c r="A3595" t="s">
        <v>227</v>
      </c>
      <c r="B3595" t="s">
        <v>344</v>
      </c>
      <c r="C3595" s="2">
        <v>0.32329999999999998</v>
      </c>
      <c r="D3595" s="2">
        <v>0.29249999999999998</v>
      </c>
      <c r="E3595" s="2">
        <v>0.28460000000000002</v>
      </c>
      <c r="F3595" s="2">
        <v>0.1166</v>
      </c>
      <c r="G3595" s="2">
        <v>6.3600000000000004E-2</v>
      </c>
      <c r="H3595" s="2">
        <v>5.7500000000000002E-2</v>
      </c>
      <c r="I3595" s="2">
        <v>5.1999999999999998E-2</v>
      </c>
      <c r="J3595" s="2">
        <v>2.8500000000000001E-2</v>
      </c>
      <c r="K3595" s="2">
        <v>3.2000000000000001E-2</v>
      </c>
      <c r="L3595" s="2">
        <v>3.27E-2</v>
      </c>
      <c r="M3595" s="2">
        <v>3.2099999999999997E-2</v>
      </c>
      <c r="N3595" s="2">
        <v>9.7999999999999997E-3</v>
      </c>
      <c r="O3595" s="2">
        <v>3.8999999999999998E-3</v>
      </c>
      <c r="P3595" s="2">
        <v>5.8999999999999999E-3</v>
      </c>
      <c r="Q3595" s="2">
        <v>1.1999999999999999E-3</v>
      </c>
      <c r="R3595" s="2">
        <v>8.9999999999999998E-4</v>
      </c>
      <c r="S3595">
        <v>382</v>
      </c>
    </row>
    <row r="3596" spans="1:19" x14ac:dyDescent="0.35">
      <c r="A3596" t="s">
        <v>228</v>
      </c>
      <c r="B3596" t="s">
        <v>228</v>
      </c>
      <c r="C3596" s="2">
        <v>0.30740000000000001</v>
      </c>
      <c r="D3596" s="2">
        <v>0.30609999999999998</v>
      </c>
      <c r="E3596" s="2">
        <v>0.28370000000000001</v>
      </c>
      <c r="F3596" s="2">
        <v>0.10630000000000001</v>
      </c>
      <c r="G3596" s="2">
        <v>7.3300000000000004E-2</v>
      </c>
      <c r="H3596" s="2">
        <v>5.7000000000000002E-2</v>
      </c>
      <c r="I3596" s="2">
        <v>4.9799999999999997E-2</v>
      </c>
      <c r="J3596" s="2">
        <v>3.2599999999999997E-2</v>
      </c>
      <c r="K3596" s="2">
        <v>2.8400000000000002E-2</v>
      </c>
      <c r="L3596" s="2">
        <v>2.81E-2</v>
      </c>
      <c r="M3596" s="2">
        <v>2.6599999999999999E-2</v>
      </c>
      <c r="N3596" s="2">
        <v>2.3900000000000001E-2</v>
      </c>
      <c r="O3596" s="2">
        <v>9.4999999999999998E-3</v>
      </c>
      <c r="P3596" s="2">
        <v>4.8999999999999998E-3</v>
      </c>
      <c r="Q3596" s="2">
        <v>2.2000000000000001E-3</v>
      </c>
      <c r="R3596" s="2">
        <v>8.0000000000000004E-4</v>
      </c>
      <c r="S3596">
        <v>454</v>
      </c>
    </row>
    <row r="3598" spans="1:19" x14ac:dyDescent="0.35">
      <c r="A3598" s="1" t="s">
        <v>1237</v>
      </c>
    </row>
    <row r="3599" spans="1:19" x14ac:dyDescent="0.35">
      <c r="A3599" t="s">
        <v>219</v>
      </c>
      <c r="B3599" t="s">
        <v>301</v>
      </c>
      <c r="C3599" t="s">
        <v>1215</v>
      </c>
      <c r="D3599" t="s">
        <v>1216</v>
      </c>
      <c r="E3599" t="s">
        <v>1217</v>
      </c>
      <c r="F3599" t="s">
        <v>1218</v>
      </c>
      <c r="G3599" t="s">
        <v>1219</v>
      </c>
      <c r="H3599" t="s">
        <v>1220</v>
      </c>
      <c r="I3599" t="s">
        <v>1221</v>
      </c>
      <c r="J3599" t="s">
        <v>1222</v>
      </c>
      <c r="K3599" t="s">
        <v>1223</v>
      </c>
      <c r="L3599" t="s">
        <v>318</v>
      </c>
      <c r="M3599" t="s">
        <v>1224</v>
      </c>
      <c r="N3599" t="s">
        <v>1225</v>
      </c>
      <c r="O3599" t="s">
        <v>1226</v>
      </c>
      <c r="P3599" t="s">
        <v>282</v>
      </c>
      <c r="Q3599" t="s">
        <v>1227</v>
      </c>
      <c r="R3599" t="s">
        <v>277</v>
      </c>
      <c r="S3599" t="s">
        <v>226</v>
      </c>
    </row>
    <row r="3600" spans="1:19" x14ac:dyDescent="0.35">
      <c r="A3600" t="s">
        <v>227</v>
      </c>
      <c r="B3600" t="s">
        <v>346</v>
      </c>
      <c r="C3600" s="2">
        <v>0.312</v>
      </c>
      <c r="D3600" s="2">
        <v>0.30120000000000002</v>
      </c>
      <c r="E3600" s="2">
        <v>0.28029999999999999</v>
      </c>
      <c r="F3600" s="2">
        <v>0.1103</v>
      </c>
      <c r="G3600" s="2">
        <v>7.5300000000000006E-2</v>
      </c>
      <c r="H3600" s="2">
        <v>6.08E-2</v>
      </c>
      <c r="I3600" s="2">
        <v>4.9399999999999999E-2</v>
      </c>
      <c r="J3600" s="2">
        <v>3.1199999999999999E-2</v>
      </c>
      <c r="K3600" s="2">
        <v>2.58E-2</v>
      </c>
      <c r="L3600" s="2">
        <v>2.87E-2</v>
      </c>
      <c r="M3600" s="2">
        <v>2.7199999999999998E-2</v>
      </c>
      <c r="N3600" s="2">
        <v>2.5600000000000001E-2</v>
      </c>
      <c r="O3600" s="2">
        <v>6.8999999999999999E-3</v>
      </c>
      <c r="P3600" s="2">
        <v>4.7999999999999996E-3</v>
      </c>
      <c r="Q3600" s="2">
        <v>1.1000000000000001E-3</v>
      </c>
      <c r="S3600">
        <v>259</v>
      </c>
    </row>
    <row r="3601" spans="1:19" x14ac:dyDescent="0.35">
      <c r="A3601" t="s">
        <v>227</v>
      </c>
      <c r="B3601" t="s">
        <v>347</v>
      </c>
      <c r="C3601" s="2">
        <v>0.18479999999999999</v>
      </c>
      <c r="D3601" s="2">
        <v>0.45579999999999998</v>
      </c>
      <c r="E3601" s="2">
        <v>0.376</v>
      </c>
      <c r="F3601" s="2">
        <v>4.2299999999999997E-2</v>
      </c>
      <c r="G3601" s="2">
        <v>7.4700000000000003E-2</v>
      </c>
      <c r="I3601" s="2">
        <v>3.6400000000000002E-2</v>
      </c>
      <c r="J3601" s="2">
        <v>1.4200000000000001E-2</v>
      </c>
      <c r="K3601" s="2">
        <v>4.8500000000000001E-2</v>
      </c>
      <c r="L3601" s="2">
        <v>6.4299999999999996E-2</v>
      </c>
      <c r="M3601" s="2">
        <v>4.7000000000000002E-3</v>
      </c>
      <c r="O3601" s="2">
        <v>8.5000000000000006E-3</v>
      </c>
      <c r="P3601" s="2">
        <v>4.7000000000000002E-3</v>
      </c>
      <c r="R3601" s="2">
        <v>2.5499999999999998E-2</v>
      </c>
      <c r="S3601">
        <v>87</v>
      </c>
    </row>
    <row r="3602" spans="1:19" x14ac:dyDescent="0.35">
      <c r="A3602" t="s">
        <v>227</v>
      </c>
      <c r="B3602" t="s">
        <v>348</v>
      </c>
      <c r="C3602" s="2">
        <v>0.3004</v>
      </c>
      <c r="D3602" s="2">
        <v>0.30420000000000003</v>
      </c>
      <c r="E3602" s="2">
        <v>0.28860000000000002</v>
      </c>
      <c r="F3602" s="2">
        <v>8.2000000000000003E-2</v>
      </c>
      <c r="G3602" s="2">
        <v>4.5900000000000003E-2</v>
      </c>
      <c r="H3602" s="2">
        <v>3.1E-2</v>
      </c>
      <c r="I3602" s="2">
        <v>6.0999999999999999E-2</v>
      </c>
      <c r="J3602" s="2">
        <v>6.0600000000000001E-2</v>
      </c>
      <c r="K3602" s="2">
        <v>5.3800000000000001E-2</v>
      </c>
      <c r="L3602" s="2">
        <v>3.8E-3</v>
      </c>
      <c r="M3602" s="2">
        <v>2.8199999999999999E-2</v>
      </c>
      <c r="N3602" s="2">
        <v>1.1299999999999999E-2</v>
      </c>
      <c r="O3602" s="2">
        <v>4.4499999999999998E-2</v>
      </c>
      <c r="P3602" s="2">
        <v>6.7999999999999996E-3</v>
      </c>
      <c r="Q3602" s="2">
        <v>1.7000000000000001E-2</v>
      </c>
      <c r="S3602">
        <v>108</v>
      </c>
    </row>
    <row r="3603" spans="1:19" x14ac:dyDescent="0.35">
      <c r="A3603" t="s">
        <v>228</v>
      </c>
      <c r="B3603" t="s">
        <v>228</v>
      </c>
      <c r="C3603" s="2">
        <v>0.30740000000000001</v>
      </c>
      <c r="D3603" s="2">
        <v>0.30609999999999998</v>
      </c>
      <c r="E3603" s="2">
        <v>0.28370000000000001</v>
      </c>
      <c r="F3603" s="2">
        <v>0.10630000000000001</v>
      </c>
      <c r="G3603" s="2">
        <v>7.3300000000000004E-2</v>
      </c>
      <c r="H3603" s="2">
        <v>5.7000000000000002E-2</v>
      </c>
      <c r="I3603" s="2">
        <v>4.9799999999999997E-2</v>
      </c>
      <c r="J3603" s="2">
        <v>3.2599999999999997E-2</v>
      </c>
      <c r="K3603" s="2">
        <v>2.8400000000000002E-2</v>
      </c>
      <c r="L3603" s="2">
        <v>2.81E-2</v>
      </c>
      <c r="M3603" s="2">
        <v>2.6599999999999999E-2</v>
      </c>
      <c r="N3603" s="2">
        <v>2.3900000000000001E-2</v>
      </c>
      <c r="O3603" s="2">
        <v>9.4999999999999998E-3</v>
      </c>
      <c r="P3603" s="2">
        <v>4.8999999999999998E-3</v>
      </c>
      <c r="Q3603" s="2">
        <v>2.2000000000000001E-3</v>
      </c>
      <c r="R3603" s="2">
        <v>8.0000000000000004E-4</v>
      </c>
      <c r="S3603">
        <v>454</v>
      </c>
    </row>
    <row r="3605" spans="1:19" x14ac:dyDescent="0.35">
      <c r="A3605" s="1" t="s">
        <v>1238</v>
      </c>
    </row>
    <row r="3606" spans="1:19" x14ac:dyDescent="0.35">
      <c r="A3606" t="s">
        <v>219</v>
      </c>
      <c r="B3606" t="s">
        <v>301</v>
      </c>
      <c r="C3606" t="s">
        <v>1215</v>
      </c>
      <c r="D3606" t="s">
        <v>1216</v>
      </c>
      <c r="E3606" t="s">
        <v>1217</v>
      </c>
      <c r="F3606" t="s">
        <v>1218</v>
      </c>
      <c r="G3606" t="s">
        <v>1219</v>
      </c>
      <c r="H3606" t="s">
        <v>1220</v>
      </c>
      <c r="I3606" t="s">
        <v>1221</v>
      </c>
      <c r="J3606" t="s">
        <v>1222</v>
      </c>
      <c r="K3606" t="s">
        <v>1223</v>
      </c>
      <c r="L3606" t="s">
        <v>318</v>
      </c>
      <c r="M3606" t="s">
        <v>1224</v>
      </c>
      <c r="N3606" t="s">
        <v>1225</v>
      </c>
      <c r="O3606" t="s">
        <v>1226</v>
      </c>
      <c r="P3606" t="s">
        <v>282</v>
      </c>
      <c r="Q3606" t="s">
        <v>1227</v>
      </c>
      <c r="R3606" t="s">
        <v>277</v>
      </c>
      <c r="S3606" t="s">
        <v>226</v>
      </c>
    </row>
    <row r="3607" spans="1:19" x14ac:dyDescent="0.35">
      <c r="A3607" t="s">
        <v>227</v>
      </c>
      <c r="B3607" t="s">
        <v>251</v>
      </c>
      <c r="C3607" s="2">
        <v>0.25430000000000003</v>
      </c>
      <c r="D3607" s="2">
        <v>0.2762</v>
      </c>
      <c r="E3607" s="2">
        <v>0.26740000000000003</v>
      </c>
      <c r="F3607" s="2">
        <v>9.0300000000000005E-2</v>
      </c>
      <c r="G3607" s="2">
        <v>5.7000000000000002E-2</v>
      </c>
      <c r="H3607" s="2">
        <v>7.1400000000000005E-2</v>
      </c>
      <c r="I3607" s="2">
        <v>3.61E-2</v>
      </c>
      <c r="J3607" s="2">
        <v>5.0299999999999997E-2</v>
      </c>
      <c r="K3607" s="2">
        <v>1.1599999999999999E-2</v>
      </c>
      <c r="L3607" s="2">
        <v>3.4799999999999998E-2</v>
      </c>
      <c r="M3607" s="2">
        <v>3.9800000000000002E-2</v>
      </c>
      <c r="N3607" s="2">
        <v>2.76E-2</v>
      </c>
      <c r="O3607" s="2">
        <v>2.0999999999999999E-3</v>
      </c>
      <c r="P3607" s="2">
        <v>1.6000000000000001E-3</v>
      </c>
      <c r="Q3607" s="2">
        <v>1E-3</v>
      </c>
      <c r="R3607" s="2">
        <v>5.0000000000000001E-4</v>
      </c>
      <c r="S3607">
        <v>264</v>
      </c>
    </row>
    <row r="3608" spans="1:19" x14ac:dyDescent="0.35">
      <c r="A3608" t="s">
        <v>227</v>
      </c>
      <c r="B3608" t="s">
        <v>252</v>
      </c>
      <c r="C3608" s="2">
        <v>0.41439999999999999</v>
      </c>
      <c r="D3608" s="2">
        <v>0.37359999999999999</v>
      </c>
      <c r="E3608" s="2">
        <v>0.2505</v>
      </c>
      <c r="F3608" s="2">
        <v>0.1447</v>
      </c>
      <c r="G3608" s="2">
        <v>0.1133</v>
      </c>
      <c r="H3608" s="2">
        <v>2.47E-2</v>
      </c>
      <c r="I3608" s="2">
        <v>8.0600000000000005E-2</v>
      </c>
      <c r="J3608" s="2">
        <v>1.24E-2</v>
      </c>
      <c r="K3608" s="2">
        <v>4.53E-2</v>
      </c>
      <c r="L3608" s="2">
        <v>1.32E-2</v>
      </c>
      <c r="M3608" s="2">
        <v>1.2500000000000001E-2</v>
      </c>
      <c r="N3608" s="2">
        <v>1.4E-3</v>
      </c>
      <c r="O3608" s="2">
        <v>1.2E-2</v>
      </c>
      <c r="P3608" s="2">
        <v>1.0999999999999999E-2</v>
      </c>
      <c r="Q3608" s="2">
        <v>2.8E-3</v>
      </c>
      <c r="S3608">
        <v>150</v>
      </c>
    </row>
    <row r="3609" spans="1:19" x14ac:dyDescent="0.35">
      <c r="A3609" t="s">
        <v>227</v>
      </c>
      <c r="B3609" t="s">
        <v>253</v>
      </c>
      <c r="C3609" s="2">
        <v>0.2127</v>
      </c>
      <c r="D3609" s="2">
        <v>0.2218</v>
      </c>
      <c r="E3609" s="2">
        <v>0.57850000000000001</v>
      </c>
      <c r="F3609" s="2">
        <v>1.3599999999999999E-2</v>
      </c>
      <c r="G3609" s="2">
        <v>7.4999999999999997E-3</v>
      </c>
      <c r="H3609" s="2">
        <v>0.11119999999999999</v>
      </c>
      <c r="I3609" s="2">
        <v>7.4999999999999997E-3</v>
      </c>
      <c r="J3609" s="2">
        <v>3.3999999999999998E-3</v>
      </c>
      <c r="K3609" s="2">
        <v>7.2300000000000003E-2</v>
      </c>
      <c r="L3609" s="2">
        <v>5.2499999999999998E-2</v>
      </c>
      <c r="N3609" s="2">
        <v>6.0600000000000001E-2</v>
      </c>
      <c r="O3609" s="2">
        <v>5.2699999999999997E-2</v>
      </c>
      <c r="Q3609" s="2">
        <v>7.4999999999999997E-3</v>
      </c>
      <c r="R3609" s="2">
        <v>6.6E-3</v>
      </c>
      <c r="S3609">
        <v>37</v>
      </c>
    </row>
    <row r="3610" spans="1:19" x14ac:dyDescent="0.35">
      <c r="A3610" s="3" t="s">
        <v>227</v>
      </c>
      <c r="B3610" s="3" t="s">
        <v>254</v>
      </c>
      <c r="C3610" s="5"/>
      <c r="D3610" s="4">
        <v>8.3900000000000002E-2</v>
      </c>
      <c r="E3610" s="4">
        <v>8.3900000000000002E-2</v>
      </c>
      <c r="F3610" s="4">
        <v>0.40749999999999997</v>
      </c>
      <c r="G3610" s="5"/>
      <c r="H3610" s="5"/>
      <c r="I3610" s="5"/>
      <c r="J3610" s="5"/>
      <c r="K3610" s="5"/>
      <c r="L3610" s="5"/>
      <c r="M3610" s="5"/>
      <c r="N3610" s="4">
        <v>0.50860000000000005</v>
      </c>
      <c r="O3610" s="5"/>
      <c r="P3610" s="5"/>
      <c r="Q3610" s="5"/>
      <c r="R3610" s="5"/>
      <c r="S3610" s="5" t="s">
        <v>438</v>
      </c>
    </row>
    <row r="3611" spans="1:19" x14ac:dyDescent="0.35">
      <c r="A3611" t="s">
        <v>228</v>
      </c>
      <c r="B3611" t="s">
        <v>228</v>
      </c>
      <c r="C3611" s="2">
        <v>0.30740000000000001</v>
      </c>
      <c r="D3611" s="2">
        <v>0.30609999999999998</v>
      </c>
      <c r="E3611" s="2">
        <v>0.28370000000000001</v>
      </c>
      <c r="F3611" s="2">
        <v>0.10630000000000001</v>
      </c>
      <c r="G3611" s="2">
        <v>7.3300000000000004E-2</v>
      </c>
      <c r="H3611" s="2">
        <v>5.7000000000000002E-2</v>
      </c>
      <c r="I3611" s="2">
        <v>4.9799999999999997E-2</v>
      </c>
      <c r="J3611" s="2">
        <v>3.2599999999999997E-2</v>
      </c>
      <c r="K3611" s="2">
        <v>2.8400000000000002E-2</v>
      </c>
      <c r="L3611" s="2">
        <v>2.81E-2</v>
      </c>
      <c r="M3611" s="2">
        <v>2.6599999999999999E-2</v>
      </c>
      <c r="N3611" s="2">
        <v>2.3900000000000001E-2</v>
      </c>
      <c r="O3611" s="2">
        <v>9.4999999999999998E-3</v>
      </c>
      <c r="P3611" s="2">
        <v>4.8999999999999998E-3</v>
      </c>
      <c r="Q3611" s="2">
        <v>2.2000000000000001E-3</v>
      </c>
      <c r="R3611" s="2">
        <v>8.0000000000000004E-4</v>
      </c>
      <c r="S3611">
        <v>454</v>
      </c>
    </row>
    <row r="3613" spans="1:19" x14ac:dyDescent="0.35">
      <c r="A3613" s="1" t="s">
        <v>1239</v>
      </c>
    </row>
    <row r="3614" spans="1:19" x14ac:dyDescent="0.35">
      <c r="A3614" t="s">
        <v>219</v>
      </c>
      <c r="B3614" t="s">
        <v>1240</v>
      </c>
      <c r="C3614" t="s">
        <v>1241</v>
      </c>
      <c r="D3614" t="s">
        <v>1242</v>
      </c>
      <c r="E3614" t="s">
        <v>1243</v>
      </c>
      <c r="F3614" t="s">
        <v>1244</v>
      </c>
      <c r="G3614" t="s">
        <v>1245</v>
      </c>
      <c r="H3614" t="s">
        <v>1246</v>
      </c>
      <c r="I3614" t="s">
        <v>318</v>
      </c>
      <c r="J3614" t="s">
        <v>1247</v>
      </c>
      <c r="K3614" t="s">
        <v>1248</v>
      </c>
      <c r="L3614" t="s">
        <v>1249</v>
      </c>
      <c r="M3614" t="s">
        <v>1250</v>
      </c>
      <c r="N3614" t="s">
        <v>1251</v>
      </c>
      <c r="O3614" t="s">
        <v>226</v>
      </c>
    </row>
    <row r="3615" spans="1:19" x14ac:dyDescent="0.35">
      <c r="A3615" t="s">
        <v>227</v>
      </c>
      <c r="B3615" s="2">
        <v>0.57289999999999996</v>
      </c>
      <c r="C3615" s="2">
        <v>0.19919999999999999</v>
      </c>
      <c r="D3615" s="2">
        <v>0.1757</v>
      </c>
      <c r="E3615" s="2">
        <v>0.11840000000000001</v>
      </c>
      <c r="F3615" s="2">
        <v>9.8500000000000004E-2</v>
      </c>
      <c r="G3615" s="2">
        <v>9.1999999999999998E-2</v>
      </c>
      <c r="H3615" s="2">
        <v>6.6600000000000006E-2</v>
      </c>
      <c r="I3615" s="2">
        <v>6.5299999999999997E-2</v>
      </c>
      <c r="J3615" s="2">
        <v>3.0800000000000001E-2</v>
      </c>
      <c r="K3615" s="2">
        <v>3.0200000000000001E-2</v>
      </c>
      <c r="L3615" s="2">
        <v>2.6599999999999999E-2</v>
      </c>
      <c r="M3615" s="2">
        <v>1.03E-2</v>
      </c>
      <c r="N3615" s="2">
        <v>3.0000000000000001E-3</v>
      </c>
      <c r="O3615">
        <v>110</v>
      </c>
    </row>
    <row r="3616" spans="1:19" x14ac:dyDescent="0.35">
      <c r="A3616" t="s">
        <v>228</v>
      </c>
      <c r="B3616" s="2">
        <v>0.57289999999999996</v>
      </c>
      <c r="C3616" s="2">
        <v>0.19919999999999999</v>
      </c>
      <c r="D3616" s="2">
        <v>0.1757</v>
      </c>
      <c r="E3616" s="2">
        <v>0.11840000000000001</v>
      </c>
      <c r="F3616" s="2">
        <v>9.8500000000000004E-2</v>
      </c>
      <c r="G3616" s="2">
        <v>9.1999999999999998E-2</v>
      </c>
      <c r="H3616" s="2">
        <v>6.6600000000000006E-2</v>
      </c>
      <c r="I3616" s="2">
        <v>6.5299999999999997E-2</v>
      </c>
      <c r="J3616" s="2">
        <v>3.0800000000000001E-2</v>
      </c>
      <c r="K3616" s="2">
        <v>3.0200000000000001E-2</v>
      </c>
      <c r="L3616" s="2">
        <v>2.6599999999999999E-2</v>
      </c>
      <c r="M3616" s="2">
        <v>1.03E-2</v>
      </c>
      <c r="N3616" s="2">
        <v>3.0000000000000001E-3</v>
      </c>
      <c r="O3616">
        <v>110</v>
      </c>
    </row>
    <row r="3618" spans="1:16" x14ac:dyDescent="0.35">
      <c r="A3618" s="1" t="s">
        <v>1252</v>
      </c>
    </row>
    <row r="3619" spans="1:16" x14ac:dyDescent="0.35">
      <c r="A3619" t="s">
        <v>219</v>
      </c>
      <c r="B3619" t="s">
        <v>301</v>
      </c>
      <c r="C3619" t="s">
        <v>1240</v>
      </c>
      <c r="D3619" t="s">
        <v>1241</v>
      </c>
      <c r="E3619" t="s">
        <v>1242</v>
      </c>
      <c r="F3619" t="s">
        <v>1243</v>
      </c>
      <c r="G3619" t="s">
        <v>1244</v>
      </c>
      <c r="H3619" t="s">
        <v>1245</v>
      </c>
      <c r="I3619" t="s">
        <v>1246</v>
      </c>
      <c r="J3619" t="s">
        <v>318</v>
      </c>
      <c r="K3619" t="s">
        <v>1247</v>
      </c>
      <c r="L3619" t="s">
        <v>1248</v>
      </c>
      <c r="M3619" t="s">
        <v>1249</v>
      </c>
      <c r="N3619" t="s">
        <v>1250</v>
      </c>
      <c r="O3619" t="s">
        <v>1251</v>
      </c>
      <c r="P3619" t="s">
        <v>226</v>
      </c>
    </row>
    <row r="3620" spans="1:16" x14ac:dyDescent="0.35">
      <c r="A3620" t="s">
        <v>227</v>
      </c>
      <c r="B3620" t="s">
        <v>238</v>
      </c>
      <c r="C3620" s="2">
        <v>0.51690000000000003</v>
      </c>
      <c r="D3620" s="2">
        <v>0.33950000000000002</v>
      </c>
      <c r="E3620" s="2">
        <v>0.25390000000000001</v>
      </c>
      <c r="F3620" s="2">
        <v>0.17949999999999999</v>
      </c>
      <c r="G3620" s="2">
        <v>0.1101</v>
      </c>
      <c r="H3620" s="2">
        <v>7.7399999999999997E-2</v>
      </c>
      <c r="I3620" s="2">
        <v>0.1226</v>
      </c>
      <c r="J3620" s="2">
        <v>7.7999999999999996E-3</v>
      </c>
      <c r="K3620" s="2">
        <v>4.6800000000000001E-2</v>
      </c>
      <c r="L3620" s="2">
        <v>3.3999999999999998E-3</v>
      </c>
      <c r="M3620" s="2">
        <v>4.1300000000000003E-2</v>
      </c>
      <c r="N3620" s="2">
        <v>5.1000000000000004E-3</v>
      </c>
      <c r="P3620">
        <v>39</v>
      </c>
    </row>
    <row r="3621" spans="1:16" x14ac:dyDescent="0.35">
      <c r="A3621" t="s">
        <v>227</v>
      </c>
      <c r="B3621" t="s">
        <v>237</v>
      </c>
      <c r="C3621" s="2">
        <v>0.61609999999999998</v>
      </c>
      <c r="D3621" s="2">
        <v>9.0700000000000003E-2</v>
      </c>
      <c r="E3621" s="2">
        <v>0.1152</v>
      </c>
      <c r="F3621" s="2">
        <v>7.1099999999999997E-2</v>
      </c>
      <c r="G3621" s="2">
        <v>8.9599999999999999E-2</v>
      </c>
      <c r="H3621" s="2">
        <v>0.1033</v>
      </c>
      <c r="I3621" s="2">
        <v>2.3300000000000001E-2</v>
      </c>
      <c r="J3621" s="2">
        <v>0.10979999999999999</v>
      </c>
      <c r="K3621" s="2">
        <v>1.8499999999999999E-2</v>
      </c>
      <c r="L3621" s="2">
        <v>5.0900000000000001E-2</v>
      </c>
      <c r="M3621" s="2">
        <v>1.5100000000000001E-2</v>
      </c>
      <c r="N3621" s="2">
        <v>1.44E-2</v>
      </c>
      <c r="O3621" s="2">
        <v>5.3E-3</v>
      </c>
      <c r="P3621">
        <v>71</v>
      </c>
    </row>
    <row r="3622" spans="1:16" x14ac:dyDescent="0.35">
      <c r="A3622" t="s">
        <v>228</v>
      </c>
      <c r="B3622" t="s">
        <v>228</v>
      </c>
      <c r="C3622" s="2">
        <v>0.57289999999999996</v>
      </c>
      <c r="D3622" s="2">
        <v>0.19919999999999999</v>
      </c>
      <c r="E3622" s="2">
        <v>0.1757</v>
      </c>
      <c r="F3622" s="2">
        <v>0.11840000000000001</v>
      </c>
      <c r="G3622" s="2">
        <v>9.8500000000000004E-2</v>
      </c>
      <c r="H3622" s="2">
        <v>9.1999999999999998E-2</v>
      </c>
      <c r="I3622" s="2">
        <v>6.6600000000000006E-2</v>
      </c>
      <c r="J3622" s="2">
        <v>6.5299999999999997E-2</v>
      </c>
      <c r="K3622" s="2">
        <v>3.0800000000000001E-2</v>
      </c>
      <c r="L3622" s="2">
        <v>3.0200000000000001E-2</v>
      </c>
      <c r="M3622" s="2">
        <v>2.6599999999999999E-2</v>
      </c>
      <c r="N3622" s="2">
        <v>1.03E-2</v>
      </c>
      <c r="O3622" s="2">
        <v>3.0000000000000001E-3</v>
      </c>
      <c r="P3622">
        <v>110</v>
      </c>
    </row>
    <row r="3624" spans="1:16" x14ac:dyDescent="0.35">
      <c r="A3624" s="1" t="s">
        <v>1253</v>
      </c>
    </row>
    <row r="3625" spans="1:16" x14ac:dyDescent="0.35">
      <c r="A3625" t="s">
        <v>219</v>
      </c>
      <c r="B3625" t="s">
        <v>301</v>
      </c>
      <c r="C3625" t="s">
        <v>1240</v>
      </c>
      <c r="D3625" t="s">
        <v>1241</v>
      </c>
      <c r="E3625" t="s">
        <v>1242</v>
      </c>
      <c r="F3625" t="s">
        <v>1243</v>
      </c>
      <c r="G3625" t="s">
        <v>1244</v>
      </c>
      <c r="H3625" t="s">
        <v>1245</v>
      </c>
      <c r="I3625" t="s">
        <v>1246</v>
      </c>
      <c r="J3625" t="s">
        <v>318</v>
      </c>
      <c r="K3625" t="s">
        <v>1247</v>
      </c>
      <c r="L3625" t="s">
        <v>1248</v>
      </c>
      <c r="M3625" t="s">
        <v>1249</v>
      </c>
      <c r="N3625" t="s">
        <v>1250</v>
      </c>
      <c r="O3625" t="s">
        <v>1251</v>
      </c>
      <c r="P3625" t="s">
        <v>226</v>
      </c>
    </row>
    <row r="3626" spans="1:16" x14ac:dyDescent="0.35">
      <c r="A3626" t="s">
        <v>227</v>
      </c>
      <c r="B3626" t="s">
        <v>235</v>
      </c>
      <c r="C3626" s="2">
        <v>0.4743</v>
      </c>
      <c r="D3626" s="2">
        <v>0.26329999999999998</v>
      </c>
      <c r="E3626" s="2">
        <v>0.10340000000000001</v>
      </c>
      <c r="F3626" s="2">
        <v>5.5800000000000002E-2</v>
      </c>
      <c r="G3626" s="2">
        <v>0.125</v>
      </c>
      <c r="H3626" s="2">
        <v>0.12039999999999999</v>
      </c>
      <c r="I3626" s="2">
        <v>0.1268</v>
      </c>
      <c r="J3626" s="2">
        <v>0.1179</v>
      </c>
      <c r="K3626" s="2">
        <v>5.5500000000000001E-2</v>
      </c>
      <c r="L3626" s="2">
        <v>2.3300000000000001E-2</v>
      </c>
      <c r="M3626" s="2">
        <v>4.5699999999999998E-2</v>
      </c>
      <c r="N3626" s="2">
        <v>1.9699999999999999E-2</v>
      </c>
      <c r="O3626" s="2">
        <v>5.7000000000000002E-3</v>
      </c>
      <c r="P3626">
        <v>81</v>
      </c>
    </row>
    <row r="3627" spans="1:16" x14ac:dyDescent="0.35">
      <c r="A3627" s="3" t="s">
        <v>227</v>
      </c>
      <c r="B3627" s="3" t="s">
        <v>234</v>
      </c>
      <c r="C3627" s="4">
        <v>0.68189999999999995</v>
      </c>
      <c r="D3627" s="4">
        <v>0.12839999999999999</v>
      </c>
      <c r="E3627" s="4">
        <v>0.25559999999999999</v>
      </c>
      <c r="F3627" s="4">
        <v>0.18759999999999999</v>
      </c>
      <c r="G3627" s="4">
        <v>6.93E-2</v>
      </c>
      <c r="H3627" s="4">
        <v>6.0600000000000001E-2</v>
      </c>
      <c r="I3627" s="5"/>
      <c r="J3627" s="4">
        <v>7.1999999999999998E-3</v>
      </c>
      <c r="K3627" s="4">
        <v>3.5999999999999999E-3</v>
      </c>
      <c r="L3627" s="4">
        <v>3.7900000000000003E-2</v>
      </c>
      <c r="M3627" s="4">
        <v>5.4000000000000003E-3</v>
      </c>
      <c r="N3627" s="5"/>
      <c r="O3627" s="5"/>
      <c r="P3627" s="5" t="s">
        <v>851</v>
      </c>
    </row>
    <row r="3628" spans="1:16" x14ac:dyDescent="0.35">
      <c r="A3628" t="s">
        <v>228</v>
      </c>
      <c r="B3628" t="s">
        <v>228</v>
      </c>
      <c r="C3628" s="2">
        <v>0.57289999999999996</v>
      </c>
      <c r="D3628" s="2">
        <v>0.19919999999999999</v>
      </c>
      <c r="E3628" s="2">
        <v>0.1757</v>
      </c>
      <c r="F3628" s="2">
        <v>0.11840000000000001</v>
      </c>
      <c r="G3628" s="2">
        <v>9.8500000000000004E-2</v>
      </c>
      <c r="H3628" s="2">
        <v>9.1999999999999998E-2</v>
      </c>
      <c r="I3628" s="2">
        <v>6.6600000000000006E-2</v>
      </c>
      <c r="J3628" s="2">
        <v>6.5299999999999997E-2</v>
      </c>
      <c r="K3628" s="2">
        <v>3.0800000000000001E-2</v>
      </c>
      <c r="L3628" s="2">
        <v>3.0200000000000001E-2</v>
      </c>
      <c r="M3628" s="2">
        <v>2.6599999999999999E-2</v>
      </c>
      <c r="N3628" s="2">
        <v>1.03E-2</v>
      </c>
      <c r="O3628" s="2">
        <v>3.0000000000000001E-3</v>
      </c>
      <c r="P3628">
        <v>110</v>
      </c>
    </row>
    <row r="3630" spans="1:16" x14ac:dyDescent="0.35">
      <c r="A3630" s="1" t="s">
        <v>1254</v>
      </c>
    </row>
    <row r="3631" spans="1:16" x14ac:dyDescent="0.35">
      <c r="A3631" t="s">
        <v>219</v>
      </c>
      <c r="B3631" t="s">
        <v>301</v>
      </c>
      <c r="C3631" t="s">
        <v>1240</v>
      </c>
      <c r="D3631" t="s">
        <v>1241</v>
      </c>
      <c r="E3631" t="s">
        <v>1242</v>
      </c>
      <c r="F3631" t="s">
        <v>1243</v>
      </c>
      <c r="G3631" t="s">
        <v>1244</v>
      </c>
      <c r="H3631" t="s">
        <v>1245</v>
      </c>
      <c r="I3631" t="s">
        <v>1246</v>
      </c>
      <c r="J3631" t="s">
        <v>318</v>
      </c>
      <c r="K3631" t="s">
        <v>1247</v>
      </c>
      <c r="L3631" t="s">
        <v>1248</v>
      </c>
      <c r="M3631" t="s">
        <v>1249</v>
      </c>
      <c r="N3631" t="s">
        <v>1250</v>
      </c>
      <c r="O3631" t="s">
        <v>1251</v>
      </c>
      <c r="P3631" t="s">
        <v>226</v>
      </c>
    </row>
    <row r="3632" spans="1:16" x14ac:dyDescent="0.35">
      <c r="A3632" t="s">
        <v>227</v>
      </c>
      <c r="B3632" t="s">
        <v>240</v>
      </c>
      <c r="C3632" s="2">
        <v>0.63829999999999998</v>
      </c>
      <c r="D3632" s="2">
        <v>0.2001</v>
      </c>
      <c r="E3632" s="2">
        <v>0.17730000000000001</v>
      </c>
      <c r="F3632" s="2">
        <v>0.13250000000000001</v>
      </c>
      <c r="G3632" s="2">
        <v>6.0600000000000001E-2</v>
      </c>
      <c r="H3632" s="2">
        <v>7.6200000000000004E-2</v>
      </c>
      <c r="I3632" s="2">
        <v>8.2400000000000001E-2</v>
      </c>
      <c r="J3632" s="2">
        <v>8.0000000000000002E-3</v>
      </c>
      <c r="K3632" s="2">
        <v>1.24E-2</v>
      </c>
      <c r="L3632" s="2">
        <v>3.5999999999999997E-2</v>
      </c>
      <c r="M3632" s="2">
        <v>1.03E-2</v>
      </c>
      <c r="N3632" s="2">
        <v>1.0500000000000001E-2</v>
      </c>
      <c r="O3632" s="2">
        <v>4.0000000000000001E-3</v>
      </c>
      <c r="P3632">
        <v>74</v>
      </c>
    </row>
    <row r="3633" spans="1:16" x14ac:dyDescent="0.35">
      <c r="A3633" s="3" t="s">
        <v>227</v>
      </c>
      <c r="B3633" s="3" t="s">
        <v>241</v>
      </c>
      <c r="C3633" s="4">
        <v>0.36349999999999999</v>
      </c>
      <c r="D3633" s="4">
        <v>0.1983</v>
      </c>
      <c r="E3633" s="4">
        <v>0.1193</v>
      </c>
      <c r="F3633" s="4">
        <v>1.21E-2</v>
      </c>
      <c r="G3633" s="4">
        <v>0.17269999999999999</v>
      </c>
      <c r="H3633" s="4">
        <v>0.151</v>
      </c>
      <c r="I3633" s="5"/>
      <c r="J3633" s="4">
        <v>0.28699999999999998</v>
      </c>
      <c r="K3633" s="4">
        <v>8.6E-3</v>
      </c>
      <c r="L3633" s="5"/>
      <c r="M3633" s="4">
        <v>1.1900000000000001E-2</v>
      </c>
      <c r="N3633" s="5"/>
      <c r="O3633" s="5"/>
      <c r="P3633" s="5" t="s">
        <v>1255</v>
      </c>
    </row>
    <row r="3634" spans="1:16" x14ac:dyDescent="0.35">
      <c r="A3634" s="3" t="s">
        <v>227</v>
      </c>
      <c r="B3634" s="3" t="s">
        <v>242</v>
      </c>
      <c r="C3634" s="4">
        <v>0.44829999999999998</v>
      </c>
      <c r="D3634" s="4">
        <v>0.19040000000000001</v>
      </c>
      <c r="E3634" s="4">
        <v>0.35189999999999999</v>
      </c>
      <c r="F3634" s="4">
        <v>0.30669999999999997</v>
      </c>
      <c r="G3634" s="4">
        <v>0.3367</v>
      </c>
      <c r="H3634" s="4">
        <v>9.3299999999999994E-2</v>
      </c>
      <c r="I3634" s="4">
        <v>9.3299999999999994E-2</v>
      </c>
      <c r="J3634" s="4">
        <v>3.9300000000000002E-2</v>
      </c>
      <c r="K3634" s="4">
        <v>0.35189999999999999</v>
      </c>
      <c r="L3634" s="4">
        <v>6.0499999999999998E-2</v>
      </c>
      <c r="M3634" s="4">
        <v>0.29139999999999999</v>
      </c>
      <c r="N3634" s="4">
        <v>4.53E-2</v>
      </c>
      <c r="O3634" s="5"/>
      <c r="P3634" s="5" t="s">
        <v>606</v>
      </c>
    </row>
    <row r="3635" spans="1:16" x14ac:dyDescent="0.35">
      <c r="A3635" t="s">
        <v>228</v>
      </c>
      <c r="B3635" t="s">
        <v>228</v>
      </c>
      <c r="C3635" s="2">
        <v>0.57289999999999996</v>
      </c>
      <c r="D3635" s="2">
        <v>0.19919999999999999</v>
      </c>
      <c r="E3635" s="2">
        <v>0.1757</v>
      </c>
      <c r="F3635" s="2">
        <v>0.11840000000000001</v>
      </c>
      <c r="G3635" s="2">
        <v>9.8500000000000004E-2</v>
      </c>
      <c r="H3635" s="2">
        <v>9.1999999999999998E-2</v>
      </c>
      <c r="I3635" s="2">
        <v>6.6600000000000006E-2</v>
      </c>
      <c r="J3635" s="2">
        <v>6.5299999999999997E-2</v>
      </c>
      <c r="K3635" s="2">
        <v>3.0800000000000001E-2</v>
      </c>
      <c r="L3635" s="2">
        <v>3.0200000000000001E-2</v>
      </c>
      <c r="M3635" s="2">
        <v>2.6599999999999999E-2</v>
      </c>
      <c r="N3635" s="2">
        <v>1.03E-2</v>
      </c>
      <c r="O3635" s="2">
        <v>3.0000000000000001E-3</v>
      </c>
      <c r="P3635">
        <v>110</v>
      </c>
    </row>
    <row r="3637" spans="1:16" x14ac:dyDescent="0.35">
      <c r="A3637" s="1" t="s">
        <v>1256</v>
      </c>
    </row>
    <row r="3638" spans="1:16" x14ac:dyDescent="0.35">
      <c r="A3638" t="s">
        <v>219</v>
      </c>
      <c r="B3638" t="s">
        <v>301</v>
      </c>
      <c r="C3638" t="s">
        <v>1240</v>
      </c>
      <c r="D3638" t="s">
        <v>1241</v>
      </c>
      <c r="E3638" t="s">
        <v>1242</v>
      </c>
      <c r="F3638" t="s">
        <v>1243</v>
      </c>
      <c r="G3638" t="s">
        <v>1244</v>
      </c>
      <c r="H3638" t="s">
        <v>1245</v>
      </c>
      <c r="I3638" t="s">
        <v>1246</v>
      </c>
      <c r="J3638" t="s">
        <v>318</v>
      </c>
      <c r="K3638" t="s">
        <v>1247</v>
      </c>
      <c r="L3638" t="s">
        <v>1248</v>
      </c>
      <c r="M3638" t="s">
        <v>1249</v>
      </c>
      <c r="N3638" t="s">
        <v>1250</v>
      </c>
      <c r="O3638" t="s">
        <v>1251</v>
      </c>
      <c r="P3638" t="s">
        <v>226</v>
      </c>
    </row>
    <row r="3639" spans="1:16" x14ac:dyDescent="0.35">
      <c r="A3639" t="s">
        <v>227</v>
      </c>
      <c r="B3639" t="s">
        <v>334</v>
      </c>
      <c r="C3639" s="2">
        <v>0.26240000000000002</v>
      </c>
      <c r="D3639" s="2">
        <v>0.42159999999999997</v>
      </c>
      <c r="E3639" s="2">
        <v>0.41420000000000001</v>
      </c>
      <c r="F3639" s="2">
        <v>0.2293</v>
      </c>
      <c r="G3639" s="2">
        <v>2.8000000000000001E-2</v>
      </c>
      <c r="H3639" s="2">
        <v>3.9100000000000003E-2</v>
      </c>
      <c r="I3639" s="2">
        <v>0.22259999999999999</v>
      </c>
      <c r="J3639" s="2">
        <v>8.0999999999999996E-3</v>
      </c>
      <c r="K3639" s="2">
        <v>2.98E-2</v>
      </c>
      <c r="L3639" s="2">
        <v>8.4900000000000003E-2</v>
      </c>
      <c r="M3639" s="2">
        <v>1.8599999999999998E-2</v>
      </c>
      <c r="N3639" s="2">
        <v>3.7699999999999997E-2</v>
      </c>
      <c r="P3639">
        <v>31</v>
      </c>
    </row>
    <row r="3640" spans="1:16" x14ac:dyDescent="0.35">
      <c r="A3640" s="3" t="s">
        <v>227</v>
      </c>
      <c r="B3640" s="3" t="s">
        <v>335</v>
      </c>
      <c r="C3640" s="4">
        <v>0.8327</v>
      </c>
      <c r="D3640" s="4">
        <v>3.0099999999999998E-2</v>
      </c>
      <c r="E3640" s="4">
        <v>5.62E-2</v>
      </c>
      <c r="F3640" s="4">
        <v>1.4E-2</v>
      </c>
      <c r="G3640" s="4">
        <v>7.5600000000000001E-2</v>
      </c>
      <c r="H3640" s="4">
        <v>8.8000000000000005E-3</v>
      </c>
      <c r="I3640" s="5"/>
      <c r="J3640" s="4">
        <v>3.1300000000000001E-2</v>
      </c>
      <c r="K3640" s="4">
        <v>1.01E-2</v>
      </c>
      <c r="L3640" s="4">
        <v>1.38E-2</v>
      </c>
      <c r="M3640" s="4">
        <v>2.4E-2</v>
      </c>
      <c r="N3640" s="5"/>
      <c r="O3640" s="5"/>
      <c r="P3640" s="5" t="s">
        <v>477</v>
      </c>
    </row>
    <row r="3641" spans="1:16" x14ac:dyDescent="0.35">
      <c r="A3641" s="3" t="s">
        <v>227</v>
      </c>
      <c r="B3641" s="3" t="s">
        <v>336</v>
      </c>
      <c r="C3641" s="4">
        <v>0.71750000000000003</v>
      </c>
      <c r="D3641" s="4">
        <v>0.18529999999999999</v>
      </c>
      <c r="E3641" s="4">
        <v>8.1799999999999998E-2</v>
      </c>
      <c r="F3641" s="4">
        <v>9.2899999999999996E-2</v>
      </c>
      <c r="G3641" s="4">
        <v>8.1799999999999998E-2</v>
      </c>
      <c r="H3641" s="4">
        <v>0.10290000000000001</v>
      </c>
      <c r="I3641" s="4">
        <v>1.35E-2</v>
      </c>
      <c r="J3641" s="4">
        <v>1.2699999999999999E-2</v>
      </c>
      <c r="K3641" s="4">
        <v>8.6099999999999996E-2</v>
      </c>
      <c r="L3641" s="5"/>
      <c r="M3641" s="4">
        <v>8.1799999999999998E-2</v>
      </c>
      <c r="N3641" s="5"/>
      <c r="O3641" s="5"/>
      <c r="P3641" s="5" t="s">
        <v>418</v>
      </c>
    </row>
    <row r="3642" spans="1:16" x14ac:dyDescent="0.35">
      <c r="A3642" s="3" t="s">
        <v>227</v>
      </c>
      <c r="B3642" s="3" t="s">
        <v>337</v>
      </c>
      <c r="C3642" s="4">
        <v>0.81589999999999996</v>
      </c>
      <c r="D3642" s="4">
        <v>0.14480000000000001</v>
      </c>
      <c r="E3642" s="4">
        <v>2.6800000000000001E-2</v>
      </c>
      <c r="F3642" s="4">
        <v>2.6800000000000001E-2</v>
      </c>
      <c r="G3642" s="4">
        <v>0.1221</v>
      </c>
      <c r="H3642" s="4">
        <v>0.12280000000000001</v>
      </c>
      <c r="I3642" s="4">
        <v>1.0500000000000001E-2</v>
      </c>
      <c r="J3642" s="4">
        <v>6.6E-3</v>
      </c>
      <c r="K3642" s="4">
        <v>1.37E-2</v>
      </c>
      <c r="L3642" s="5"/>
      <c r="M3642" s="4">
        <v>3.2000000000000002E-3</v>
      </c>
      <c r="N3642" s="5"/>
      <c r="O3642" s="4">
        <v>1.1599999999999999E-2</v>
      </c>
      <c r="P3642" s="5" t="s">
        <v>1255</v>
      </c>
    </row>
    <row r="3643" spans="1:16" x14ac:dyDescent="0.35">
      <c r="A3643" t="s">
        <v>228</v>
      </c>
      <c r="B3643" t="s">
        <v>228</v>
      </c>
      <c r="C3643" s="2">
        <v>0.57289999999999996</v>
      </c>
      <c r="D3643" s="2">
        <v>0.19919999999999999</v>
      </c>
      <c r="E3643" s="2">
        <v>0.1757</v>
      </c>
      <c r="F3643" s="2">
        <v>0.11840000000000001</v>
      </c>
      <c r="G3643" s="2">
        <v>9.8500000000000004E-2</v>
      </c>
      <c r="H3643" s="2">
        <v>9.1999999999999998E-2</v>
      </c>
      <c r="I3643" s="2">
        <v>6.6600000000000006E-2</v>
      </c>
      <c r="J3643" s="2">
        <v>6.5299999999999997E-2</v>
      </c>
      <c r="K3643" s="2">
        <v>3.0800000000000001E-2</v>
      </c>
      <c r="L3643" s="2">
        <v>3.0200000000000001E-2</v>
      </c>
      <c r="M3643" s="2">
        <v>2.6599999999999999E-2</v>
      </c>
      <c r="N3643" s="2">
        <v>1.03E-2</v>
      </c>
      <c r="O3643" s="2">
        <v>3.0000000000000001E-3</v>
      </c>
      <c r="P3643">
        <v>102</v>
      </c>
    </row>
    <row r="3645" spans="1:16" x14ac:dyDescent="0.35">
      <c r="A3645" s="1" t="s">
        <v>1257</v>
      </c>
    </row>
    <row r="3646" spans="1:16" x14ac:dyDescent="0.35">
      <c r="A3646" t="s">
        <v>219</v>
      </c>
      <c r="B3646" t="s">
        <v>301</v>
      </c>
      <c r="C3646" t="s">
        <v>1240</v>
      </c>
      <c r="D3646" t="s">
        <v>1241</v>
      </c>
      <c r="E3646" t="s">
        <v>1242</v>
      </c>
      <c r="F3646" t="s">
        <v>1243</v>
      </c>
      <c r="G3646" t="s">
        <v>1244</v>
      </c>
      <c r="H3646" t="s">
        <v>1245</v>
      </c>
      <c r="I3646" t="s">
        <v>1246</v>
      </c>
      <c r="J3646" t="s">
        <v>318</v>
      </c>
      <c r="K3646" t="s">
        <v>1247</v>
      </c>
      <c r="L3646" t="s">
        <v>1248</v>
      </c>
      <c r="M3646" t="s">
        <v>1249</v>
      </c>
      <c r="N3646" t="s">
        <v>1250</v>
      </c>
      <c r="O3646" t="s">
        <v>1251</v>
      </c>
      <c r="P3646" t="s">
        <v>226</v>
      </c>
    </row>
    <row r="3647" spans="1:16" x14ac:dyDescent="0.35">
      <c r="A3647" s="3" t="s">
        <v>227</v>
      </c>
      <c r="B3647" s="3" t="s">
        <v>263</v>
      </c>
      <c r="C3647" s="4">
        <v>0.51339999999999997</v>
      </c>
      <c r="D3647" s="4">
        <v>0.2072</v>
      </c>
      <c r="E3647" s="4">
        <v>0.21249999999999999</v>
      </c>
      <c r="F3647" s="4">
        <v>0.2175</v>
      </c>
      <c r="G3647" s="4">
        <v>0.22559999999999999</v>
      </c>
      <c r="H3647" s="4">
        <v>0.3085</v>
      </c>
      <c r="I3647" s="5"/>
      <c r="J3647" s="4">
        <v>2.47E-2</v>
      </c>
      <c r="K3647" s="4">
        <v>2.3400000000000001E-2</v>
      </c>
      <c r="L3647" s="4">
        <v>2.07E-2</v>
      </c>
      <c r="M3647" s="4">
        <v>1.6199999999999999E-2</v>
      </c>
      <c r="N3647" s="5"/>
      <c r="O3647" s="5"/>
      <c r="P3647" s="5" t="s">
        <v>851</v>
      </c>
    </row>
    <row r="3648" spans="1:16" x14ac:dyDescent="0.35">
      <c r="A3648" s="3" t="s">
        <v>227</v>
      </c>
      <c r="B3648" s="3" t="s">
        <v>262</v>
      </c>
      <c r="C3648" s="4">
        <v>0.46010000000000001</v>
      </c>
      <c r="D3648" s="4">
        <v>0.2467</v>
      </c>
      <c r="E3648" s="4">
        <v>0.23830000000000001</v>
      </c>
      <c r="F3648" s="4">
        <v>0.16639999999999999</v>
      </c>
      <c r="G3648" s="4">
        <v>8.9700000000000002E-2</v>
      </c>
      <c r="H3648" s="4">
        <v>9.1999999999999998E-2</v>
      </c>
      <c r="I3648" s="4">
        <v>7.1000000000000004E-3</v>
      </c>
      <c r="J3648" s="4">
        <v>0.1472</v>
      </c>
      <c r="K3648" s="4">
        <v>7.1000000000000004E-3</v>
      </c>
      <c r="L3648" s="4">
        <v>5.4699999999999999E-2</v>
      </c>
      <c r="M3648" s="4">
        <v>7.1000000000000004E-3</v>
      </c>
      <c r="N3648" s="5"/>
      <c r="O3648" s="5"/>
      <c r="P3648" s="5" t="s">
        <v>851</v>
      </c>
    </row>
    <row r="3649" spans="1:16" x14ac:dyDescent="0.35">
      <c r="A3649" t="s">
        <v>227</v>
      </c>
      <c r="B3649" t="s">
        <v>261</v>
      </c>
      <c r="C3649" s="2">
        <v>0.67430000000000001</v>
      </c>
      <c r="D3649" s="2">
        <v>0.16159999999999999</v>
      </c>
      <c r="E3649" s="2">
        <v>0.1182</v>
      </c>
      <c r="F3649" s="2">
        <v>5.3100000000000001E-2</v>
      </c>
      <c r="G3649" s="2">
        <v>6.7000000000000004E-2</v>
      </c>
      <c r="H3649" s="2">
        <v>2.7199999999999998E-2</v>
      </c>
      <c r="I3649" s="2">
        <v>0.13070000000000001</v>
      </c>
      <c r="J3649" s="2">
        <v>1.6799999999999999E-2</v>
      </c>
      <c r="K3649" s="2">
        <v>5.0700000000000002E-2</v>
      </c>
      <c r="L3649" s="2">
        <v>1.49E-2</v>
      </c>
      <c r="M3649" s="2">
        <v>4.41E-2</v>
      </c>
      <c r="N3649" s="2">
        <v>2.1100000000000001E-2</v>
      </c>
      <c r="O3649" s="2">
        <v>6.1000000000000004E-3</v>
      </c>
      <c r="P3649">
        <v>52</v>
      </c>
    </row>
    <row r="3650" spans="1:16" x14ac:dyDescent="0.35">
      <c r="A3650" t="s">
        <v>228</v>
      </c>
      <c r="B3650" t="s">
        <v>228</v>
      </c>
      <c r="C3650" s="2">
        <v>0.57289999999999996</v>
      </c>
      <c r="D3650" s="2">
        <v>0.19919999999999999</v>
      </c>
      <c r="E3650" s="2">
        <v>0.1757</v>
      </c>
      <c r="F3650" s="2">
        <v>0.11840000000000001</v>
      </c>
      <c r="G3650" s="2">
        <v>9.8500000000000004E-2</v>
      </c>
      <c r="H3650" s="2">
        <v>9.1999999999999998E-2</v>
      </c>
      <c r="I3650" s="2">
        <v>6.6600000000000006E-2</v>
      </c>
      <c r="J3650" s="2">
        <v>6.5299999999999997E-2</v>
      </c>
      <c r="K3650" s="2">
        <v>3.0800000000000001E-2</v>
      </c>
      <c r="L3650" s="2">
        <v>3.0200000000000001E-2</v>
      </c>
      <c r="M3650" s="2">
        <v>2.6599999999999999E-2</v>
      </c>
      <c r="N3650" s="2">
        <v>1.03E-2</v>
      </c>
      <c r="O3650" s="2">
        <v>3.0000000000000001E-3</v>
      </c>
      <c r="P3650">
        <v>110</v>
      </c>
    </row>
    <row r="3652" spans="1:16" x14ac:dyDescent="0.35">
      <c r="A3652" s="1" t="s">
        <v>1258</v>
      </c>
    </row>
    <row r="3653" spans="1:16" x14ac:dyDescent="0.35">
      <c r="A3653" t="s">
        <v>219</v>
      </c>
      <c r="B3653" t="s">
        <v>301</v>
      </c>
      <c r="C3653" t="s">
        <v>1240</v>
      </c>
      <c r="D3653" t="s">
        <v>1241</v>
      </c>
      <c r="E3653" t="s">
        <v>1242</v>
      </c>
      <c r="F3653" t="s">
        <v>1243</v>
      </c>
      <c r="G3653" t="s">
        <v>1244</v>
      </c>
      <c r="H3653" t="s">
        <v>1245</v>
      </c>
      <c r="I3653" t="s">
        <v>1246</v>
      </c>
      <c r="J3653" t="s">
        <v>318</v>
      </c>
      <c r="K3653" t="s">
        <v>1247</v>
      </c>
      <c r="L3653" t="s">
        <v>1248</v>
      </c>
      <c r="M3653" t="s">
        <v>1249</v>
      </c>
      <c r="N3653" t="s">
        <v>1250</v>
      </c>
      <c r="O3653" t="s">
        <v>1251</v>
      </c>
      <c r="P3653" t="s">
        <v>226</v>
      </c>
    </row>
    <row r="3654" spans="1:16" x14ac:dyDescent="0.35">
      <c r="A3654" s="3" t="s">
        <v>227</v>
      </c>
      <c r="B3654" s="3" t="s">
        <v>248</v>
      </c>
      <c r="C3654" s="4">
        <v>0.44119999999999998</v>
      </c>
      <c r="D3654" s="4">
        <v>0.29859999999999998</v>
      </c>
      <c r="E3654" s="4">
        <v>0.2142</v>
      </c>
      <c r="F3654" s="4">
        <v>2.4199999999999999E-2</v>
      </c>
      <c r="G3654" s="4">
        <v>3.4799999999999998E-2</v>
      </c>
      <c r="H3654" s="4">
        <v>1.2999999999999999E-2</v>
      </c>
      <c r="I3654" s="4">
        <v>0.2974</v>
      </c>
      <c r="J3654" s="4">
        <v>1.41E-2</v>
      </c>
      <c r="K3654" s="4">
        <v>1.38E-2</v>
      </c>
      <c r="L3654" s="5"/>
      <c r="M3654" s="4">
        <v>1.2999999999999999E-2</v>
      </c>
      <c r="N3654" s="4">
        <v>1.2999999999999999E-2</v>
      </c>
      <c r="O3654" s="5"/>
      <c r="P3654" s="5" t="s">
        <v>425</v>
      </c>
    </row>
    <row r="3655" spans="1:16" x14ac:dyDescent="0.35">
      <c r="A3655" s="3" t="s">
        <v>227</v>
      </c>
      <c r="B3655" s="3" t="s">
        <v>249</v>
      </c>
      <c r="C3655" s="4">
        <v>0.78769999999999996</v>
      </c>
      <c r="D3655" s="4">
        <v>0.1794</v>
      </c>
      <c r="E3655" s="4">
        <v>0.1835</v>
      </c>
      <c r="F3655" s="4">
        <v>0.15529999999999999</v>
      </c>
      <c r="G3655" s="4">
        <v>4.4000000000000003E-3</v>
      </c>
      <c r="H3655" s="4">
        <v>1.0800000000000001E-2</v>
      </c>
      <c r="I3655" s="5"/>
      <c r="J3655" s="4">
        <v>7.4000000000000003E-3</v>
      </c>
      <c r="K3655" s="4">
        <v>1.14E-2</v>
      </c>
      <c r="L3655" s="4">
        <v>4.4000000000000003E-3</v>
      </c>
      <c r="M3655" s="5"/>
      <c r="N3655" s="4">
        <v>6.4999999999999997E-3</v>
      </c>
      <c r="O3655" s="5"/>
      <c r="P3655" s="5" t="s">
        <v>432</v>
      </c>
    </row>
    <row r="3656" spans="1:16" x14ac:dyDescent="0.35">
      <c r="A3656" t="s">
        <v>227</v>
      </c>
      <c r="B3656" t="s">
        <v>247</v>
      </c>
      <c r="C3656" s="2">
        <v>0.46820000000000001</v>
      </c>
      <c r="D3656" s="2">
        <v>0.17130000000000001</v>
      </c>
      <c r="E3656" s="2">
        <v>0.1532</v>
      </c>
      <c r="F3656" s="2">
        <v>0.13120000000000001</v>
      </c>
      <c r="G3656" s="2">
        <v>0.1968</v>
      </c>
      <c r="H3656" s="2">
        <v>0.18709999999999999</v>
      </c>
      <c r="I3656" s="2">
        <v>1.7100000000000001E-2</v>
      </c>
      <c r="J3656" s="2">
        <v>0.13089999999999999</v>
      </c>
      <c r="K3656" s="2">
        <v>5.28E-2</v>
      </c>
      <c r="L3656" s="2">
        <v>6.2700000000000006E-2</v>
      </c>
      <c r="M3656" s="2">
        <v>5.2400000000000002E-2</v>
      </c>
      <c r="N3656" s="2">
        <v>1.21E-2</v>
      </c>
      <c r="O3656" s="2">
        <v>6.4999999999999997E-3</v>
      </c>
      <c r="P3656">
        <v>65</v>
      </c>
    </row>
    <row r="3657" spans="1:16" x14ac:dyDescent="0.35">
      <c r="A3657" t="s">
        <v>228</v>
      </c>
      <c r="B3657" t="s">
        <v>228</v>
      </c>
      <c r="C3657" s="2">
        <v>0.57289999999999996</v>
      </c>
      <c r="D3657" s="2">
        <v>0.19919999999999999</v>
      </c>
      <c r="E3657" s="2">
        <v>0.1757</v>
      </c>
      <c r="F3657" s="2">
        <v>0.11840000000000001</v>
      </c>
      <c r="G3657" s="2">
        <v>9.8500000000000004E-2</v>
      </c>
      <c r="H3657" s="2">
        <v>9.1999999999999998E-2</v>
      </c>
      <c r="I3657" s="2">
        <v>6.6600000000000006E-2</v>
      </c>
      <c r="J3657" s="2">
        <v>6.5299999999999997E-2</v>
      </c>
      <c r="K3657" s="2">
        <v>3.0800000000000001E-2</v>
      </c>
      <c r="L3657" s="2">
        <v>3.0200000000000001E-2</v>
      </c>
      <c r="M3657" s="2">
        <v>2.6599999999999999E-2</v>
      </c>
      <c r="N3657" s="2">
        <v>1.03E-2</v>
      </c>
      <c r="O3657" s="2">
        <v>3.0000000000000001E-3</v>
      </c>
      <c r="P3657">
        <v>110</v>
      </c>
    </row>
    <row r="3659" spans="1:16" x14ac:dyDescent="0.35">
      <c r="A3659" s="1" t="s">
        <v>1259</v>
      </c>
    </row>
    <row r="3660" spans="1:16" x14ac:dyDescent="0.35">
      <c r="A3660" t="s">
        <v>219</v>
      </c>
      <c r="B3660" t="s">
        <v>301</v>
      </c>
      <c r="C3660" t="s">
        <v>1240</v>
      </c>
      <c r="D3660" t="s">
        <v>1241</v>
      </c>
      <c r="E3660" t="s">
        <v>1242</v>
      </c>
      <c r="F3660" t="s">
        <v>1243</v>
      </c>
      <c r="G3660" t="s">
        <v>1244</v>
      </c>
      <c r="H3660" t="s">
        <v>1245</v>
      </c>
      <c r="I3660" t="s">
        <v>1246</v>
      </c>
      <c r="J3660" t="s">
        <v>318</v>
      </c>
      <c r="K3660" t="s">
        <v>1247</v>
      </c>
      <c r="L3660" t="s">
        <v>1248</v>
      </c>
      <c r="M3660" t="s">
        <v>1249</v>
      </c>
      <c r="N3660" t="s">
        <v>1250</v>
      </c>
      <c r="O3660" t="s">
        <v>1251</v>
      </c>
      <c r="P3660" t="s">
        <v>226</v>
      </c>
    </row>
    <row r="3661" spans="1:16" x14ac:dyDescent="0.35">
      <c r="A3661" t="s">
        <v>227</v>
      </c>
      <c r="B3661" t="s">
        <v>245</v>
      </c>
      <c r="C3661" s="2">
        <v>0.36259999999999998</v>
      </c>
      <c r="D3661" s="2">
        <v>0.38009999999999999</v>
      </c>
      <c r="E3661" s="2">
        <v>0.35670000000000002</v>
      </c>
      <c r="F3661" s="2">
        <v>0.33410000000000001</v>
      </c>
      <c r="G3661" s="2">
        <v>0.13789999999999999</v>
      </c>
      <c r="H3661" s="2">
        <v>0.1196</v>
      </c>
      <c r="I3661" s="2">
        <v>3.4099999999999998E-2</v>
      </c>
      <c r="J3661" s="2">
        <v>3.5700000000000003E-2</v>
      </c>
      <c r="K3661" s="2">
        <v>9.7600000000000006E-2</v>
      </c>
      <c r="L3661" s="2">
        <v>0.1115</v>
      </c>
      <c r="M3661" s="2">
        <v>9.3899999999999997E-2</v>
      </c>
      <c r="N3661" s="2">
        <v>2.41E-2</v>
      </c>
      <c r="P3661">
        <v>35</v>
      </c>
    </row>
    <row r="3662" spans="1:16" x14ac:dyDescent="0.35">
      <c r="A3662" t="s">
        <v>227</v>
      </c>
      <c r="B3662" t="s">
        <v>244</v>
      </c>
      <c r="C3662" s="2">
        <v>0.63580000000000003</v>
      </c>
      <c r="D3662" s="2">
        <v>0.14510000000000001</v>
      </c>
      <c r="E3662" s="2">
        <v>0.1215</v>
      </c>
      <c r="F3662" s="2">
        <v>5.3800000000000001E-2</v>
      </c>
      <c r="G3662" s="2">
        <v>8.6800000000000002E-2</v>
      </c>
      <c r="H3662" s="2">
        <v>8.3799999999999999E-2</v>
      </c>
      <c r="I3662" s="2">
        <v>7.6300000000000007E-2</v>
      </c>
      <c r="J3662" s="2">
        <v>7.4200000000000002E-2</v>
      </c>
      <c r="K3662" s="2">
        <v>1.0800000000000001E-2</v>
      </c>
      <c r="L3662" s="2">
        <v>5.8999999999999999E-3</v>
      </c>
      <c r="M3662" s="2">
        <v>6.4000000000000003E-3</v>
      </c>
      <c r="N3662" s="2">
        <v>6.1999999999999998E-3</v>
      </c>
      <c r="O3662" s="2">
        <v>3.8999999999999998E-3</v>
      </c>
      <c r="P3662">
        <v>75</v>
      </c>
    </row>
    <row r="3663" spans="1:16" x14ac:dyDescent="0.35">
      <c r="A3663" t="s">
        <v>228</v>
      </c>
      <c r="B3663" t="s">
        <v>228</v>
      </c>
      <c r="C3663" s="2">
        <v>0.57289999999999996</v>
      </c>
      <c r="D3663" s="2">
        <v>0.19919999999999999</v>
      </c>
      <c r="E3663" s="2">
        <v>0.1757</v>
      </c>
      <c r="F3663" s="2">
        <v>0.11840000000000001</v>
      </c>
      <c r="G3663" s="2">
        <v>9.8500000000000004E-2</v>
      </c>
      <c r="H3663" s="2">
        <v>9.1999999999999998E-2</v>
      </c>
      <c r="I3663" s="2">
        <v>6.6600000000000006E-2</v>
      </c>
      <c r="J3663" s="2">
        <v>6.5299999999999997E-2</v>
      </c>
      <c r="K3663" s="2">
        <v>3.0800000000000001E-2</v>
      </c>
      <c r="L3663" s="2">
        <v>3.0200000000000001E-2</v>
      </c>
      <c r="M3663" s="2">
        <v>2.6599999999999999E-2</v>
      </c>
      <c r="N3663" s="2">
        <v>1.03E-2</v>
      </c>
      <c r="O3663" s="2">
        <v>3.0000000000000001E-3</v>
      </c>
      <c r="P3663">
        <v>110</v>
      </c>
    </row>
    <row r="3665" spans="1:16" x14ac:dyDescent="0.35">
      <c r="A3665" s="1" t="s">
        <v>1260</v>
      </c>
    </row>
    <row r="3666" spans="1:16" x14ac:dyDescent="0.35">
      <c r="A3666" t="s">
        <v>219</v>
      </c>
      <c r="B3666" t="s">
        <v>301</v>
      </c>
      <c r="C3666" t="s">
        <v>1240</v>
      </c>
      <c r="D3666" t="s">
        <v>1241</v>
      </c>
      <c r="E3666" t="s">
        <v>1242</v>
      </c>
      <c r="F3666" t="s">
        <v>1243</v>
      </c>
      <c r="G3666" t="s">
        <v>1244</v>
      </c>
      <c r="H3666" t="s">
        <v>1245</v>
      </c>
      <c r="I3666" t="s">
        <v>1246</v>
      </c>
      <c r="J3666" t="s">
        <v>318</v>
      </c>
      <c r="K3666" t="s">
        <v>1247</v>
      </c>
      <c r="L3666" t="s">
        <v>1248</v>
      </c>
      <c r="M3666" t="s">
        <v>1249</v>
      </c>
      <c r="N3666" t="s">
        <v>1250</v>
      </c>
      <c r="O3666" t="s">
        <v>1251</v>
      </c>
      <c r="P3666" t="s">
        <v>226</v>
      </c>
    </row>
    <row r="3667" spans="1:16" x14ac:dyDescent="0.35">
      <c r="A3667" s="3" t="s">
        <v>227</v>
      </c>
      <c r="B3667" s="3" t="s">
        <v>259</v>
      </c>
      <c r="C3667" s="5"/>
      <c r="D3667" s="5"/>
      <c r="E3667" s="4">
        <v>1</v>
      </c>
      <c r="F3667" s="4">
        <v>1</v>
      </c>
      <c r="G3667" s="4">
        <v>1</v>
      </c>
      <c r="H3667" s="4">
        <v>0.62329999999999997</v>
      </c>
      <c r="I3667" s="5"/>
      <c r="J3667" s="5"/>
      <c r="K3667" s="4">
        <v>0.37669999999999998</v>
      </c>
      <c r="L3667" s="5"/>
      <c r="M3667" s="4">
        <v>0.37669999999999998</v>
      </c>
      <c r="N3667" s="5"/>
      <c r="O3667" s="5"/>
      <c r="P3667" s="5" t="s">
        <v>434</v>
      </c>
    </row>
    <row r="3668" spans="1:16" x14ac:dyDescent="0.35">
      <c r="A3668" s="3" t="s">
        <v>227</v>
      </c>
      <c r="B3668" s="3" t="s">
        <v>257</v>
      </c>
      <c r="C3668" s="4">
        <v>0.8508</v>
      </c>
      <c r="D3668" s="4">
        <v>0.1492</v>
      </c>
      <c r="E3668" s="5"/>
      <c r="F3668" s="5"/>
      <c r="G3668" s="5"/>
      <c r="H3668" s="5"/>
      <c r="I3668" s="5"/>
      <c r="J3668" s="4">
        <v>8.2000000000000003E-2</v>
      </c>
      <c r="K3668" s="4">
        <v>2.0199999999999999E-2</v>
      </c>
      <c r="L3668" s="5"/>
      <c r="M3668" s="5"/>
      <c r="N3668" s="5"/>
      <c r="O3668" s="5"/>
      <c r="P3668" s="5" t="s">
        <v>437</v>
      </c>
    </row>
    <row r="3669" spans="1:16" x14ac:dyDescent="0.35">
      <c r="A3669" t="s">
        <v>227</v>
      </c>
      <c r="B3669" t="s">
        <v>256</v>
      </c>
      <c r="C3669" s="2">
        <v>0.58720000000000006</v>
      </c>
      <c r="D3669" s="2">
        <v>0.21229999999999999</v>
      </c>
      <c r="E3669" s="2">
        <v>0.1484</v>
      </c>
      <c r="F3669" s="2">
        <v>8.4400000000000003E-2</v>
      </c>
      <c r="G3669" s="2">
        <v>6.0499999999999998E-2</v>
      </c>
      <c r="H3669" s="2">
        <v>7.1900000000000006E-2</v>
      </c>
      <c r="I3669" s="2">
        <v>7.3999999999999996E-2</v>
      </c>
      <c r="J3669" s="2">
        <v>6.88E-2</v>
      </c>
      <c r="K3669" s="2">
        <v>1.2699999999999999E-2</v>
      </c>
      <c r="L3669" s="2">
        <v>3.15E-2</v>
      </c>
      <c r="M3669" s="2">
        <v>8.6999999999999994E-3</v>
      </c>
      <c r="N3669" s="2">
        <v>1.2E-2</v>
      </c>
      <c r="O3669" s="2">
        <v>3.5000000000000001E-3</v>
      </c>
      <c r="P3669">
        <v>87</v>
      </c>
    </row>
    <row r="3670" spans="1:16" x14ac:dyDescent="0.35">
      <c r="A3670" s="3" t="s">
        <v>227</v>
      </c>
      <c r="B3670" s="3" t="s">
        <v>232</v>
      </c>
      <c r="C3670" s="5"/>
      <c r="D3670" s="5"/>
      <c r="E3670" s="5"/>
      <c r="F3670" s="5"/>
      <c r="G3670" s="5"/>
      <c r="H3670" s="5"/>
      <c r="I3670" s="5"/>
      <c r="J3670" s="5"/>
      <c r="K3670" s="4">
        <v>1</v>
      </c>
      <c r="L3670" s="5"/>
      <c r="M3670" s="5"/>
      <c r="N3670" s="5"/>
      <c r="O3670" s="5"/>
      <c r="P3670" s="5" t="s">
        <v>323</v>
      </c>
    </row>
    <row r="3671" spans="1:16" x14ac:dyDescent="0.35">
      <c r="A3671" s="3" t="s">
        <v>227</v>
      </c>
      <c r="B3671" s="3" t="s">
        <v>258</v>
      </c>
      <c r="C3671" s="4">
        <v>0.60589999999999999</v>
      </c>
      <c r="D3671" s="4">
        <v>0.19189999999999999</v>
      </c>
      <c r="E3671" s="4">
        <v>7.5899999999999995E-2</v>
      </c>
      <c r="F3671" s="4">
        <v>3.4000000000000002E-2</v>
      </c>
      <c r="G3671" s="4">
        <v>5.04E-2</v>
      </c>
      <c r="H3671" s="4">
        <v>5.3400000000000003E-2</v>
      </c>
      <c r="I3671" s="4">
        <v>5.3400000000000003E-2</v>
      </c>
      <c r="J3671" s="4">
        <v>5.04E-2</v>
      </c>
      <c r="K3671" s="4">
        <v>3.4000000000000002E-2</v>
      </c>
      <c r="L3671" s="4">
        <v>5.8900000000000001E-2</v>
      </c>
      <c r="M3671" s="4">
        <v>5.04E-2</v>
      </c>
      <c r="N3671" s="5"/>
      <c r="O3671" s="5"/>
      <c r="P3671" s="5" t="s">
        <v>423</v>
      </c>
    </row>
    <row r="3672" spans="1:16" x14ac:dyDescent="0.35">
      <c r="A3672" t="s">
        <v>228</v>
      </c>
      <c r="B3672" t="s">
        <v>228</v>
      </c>
      <c r="C3672" s="2">
        <v>0.57289999999999996</v>
      </c>
      <c r="D3672" s="2">
        <v>0.19919999999999999</v>
      </c>
      <c r="E3672" s="2">
        <v>0.1757</v>
      </c>
      <c r="F3672" s="2">
        <v>0.11840000000000001</v>
      </c>
      <c r="G3672" s="2">
        <v>9.8500000000000004E-2</v>
      </c>
      <c r="H3672" s="2">
        <v>9.1999999999999998E-2</v>
      </c>
      <c r="I3672" s="2">
        <v>6.6600000000000006E-2</v>
      </c>
      <c r="J3672" s="2">
        <v>6.5299999999999997E-2</v>
      </c>
      <c r="K3672" s="2">
        <v>3.0800000000000001E-2</v>
      </c>
      <c r="L3672" s="2">
        <v>3.0200000000000001E-2</v>
      </c>
      <c r="M3672" s="2">
        <v>2.6599999999999999E-2</v>
      </c>
      <c r="N3672" s="2">
        <v>1.03E-2</v>
      </c>
      <c r="O3672" s="2">
        <v>3.0000000000000001E-3</v>
      </c>
      <c r="P3672">
        <v>110</v>
      </c>
    </row>
    <row r="3674" spans="1:16" x14ac:dyDescent="0.35">
      <c r="A3674" s="1" t="s">
        <v>1261</v>
      </c>
    </row>
    <row r="3675" spans="1:16" x14ac:dyDescent="0.35">
      <c r="A3675" t="s">
        <v>219</v>
      </c>
      <c r="B3675" t="s">
        <v>301</v>
      </c>
      <c r="C3675" t="s">
        <v>1240</v>
      </c>
      <c r="D3675" t="s">
        <v>1241</v>
      </c>
      <c r="E3675" t="s">
        <v>1242</v>
      </c>
      <c r="F3675" t="s">
        <v>1243</v>
      </c>
      <c r="G3675" t="s">
        <v>1244</v>
      </c>
      <c r="H3675" t="s">
        <v>1245</v>
      </c>
      <c r="I3675" t="s">
        <v>1246</v>
      </c>
      <c r="J3675" t="s">
        <v>318</v>
      </c>
      <c r="K3675" t="s">
        <v>1247</v>
      </c>
      <c r="L3675" t="s">
        <v>1248</v>
      </c>
      <c r="M3675" t="s">
        <v>1249</v>
      </c>
      <c r="N3675" t="s">
        <v>1250</v>
      </c>
      <c r="O3675" t="s">
        <v>1251</v>
      </c>
      <c r="P3675" t="s">
        <v>226</v>
      </c>
    </row>
    <row r="3676" spans="1:16" x14ac:dyDescent="0.35">
      <c r="A3676" s="3" t="s">
        <v>227</v>
      </c>
      <c r="B3676" s="3" t="s">
        <v>343</v>
      </c>
      <c r="C3676" s="4">
        <v>0.8508</v>
      </c>
      <c r="D3676" s="4">
        <v>0.1492</v>
      </c>
      <c r="E3676" s="5"/>
      <c r="F3676" s="5"/>
      <c r="G3676" s="5"/>
      <c r="H3676" s="5"/>
      <c r="I3676" s="5"/>
      <c r="J3676" s="4">
        <v>8.2000000000000003E-2</v>
      </c>
      <c r="K3676" s="4">
        <v>2.0199999999999999E-2</v>
      </c>
      <c r="L3676" s="5"/>
      <c r="M3676" s="5"/>
      <c r="N3676" s="5"/>
      <c r="O3676" s="5"/>
      <c r="P3676" s="5" t="s">
        <v>437</v>
      </c>
    </row>
    <row r="3677" spans="1:16" x14ac:dyDescent="0.35">
      <c r="A3677" t="s">
        <v>227</v>
      </c>
      <c r="B3677" t="s">
        <v>344</v>
      </c>
      <c r="C3677" s="2">
        <v>0.56079999999999997</v>
      </c>
      <c r="D3677" s="2">
        <v>0.2014</v>
      </c>
      <c r="E3677" s="2">
        <v>0.18329999999999999</v>
      </c>
      <c r="F3677" s="2">
        <v>0.1235</v>
      </c>
      <c r="G3677" s="2">
        <v>0.1028</v>
      </c>
      <c r="H3677" s="2">
        <v>9.6000000000000002E-2</v>
      </c>
      <c r="I3677" s="2">
        <v>6.9500000000000006E-2</v>
      </c>
      <c r="J3677" s="2">
        <v>6.4600000000000005E-2</v>
      </c>
      <c r="K3677" s="2">
        <v>3.1300000000000001E-2</v>
      </c>
      <c r="L3677" s="2">
        <v>3.15E-2</v>
      </c>
      <c r="M3677" s="2">
        <v>2.7699999999999999E-2</v>
      </c>
      <c r="N3677" s="2">
        <v>1.0800000000000001E-2</v>
      </c>
      <c r="O3677" s="2">
        <v>3.0999999999999999E-3</v>
      </c>
      <c r="P3677">
        <v>104</v>
      </c>
    </row>
    <row r="3678" spans="1:16" x14ac:dyDescent="0.35">
      <c r="A3678" t="s">
        <v>228</v>
      </c>
      <c r="B3678" t="s">
        <v>228</v>
      </c>
      <c r="C3678" s="2">
        <v>0.57289999999999996</v>
      </c>
      <c r="D3678" s="2">
        <v>0.19919999999999999</v>
      </c>
      <c r="E3678" s="2">
        <v>0.1757</v>
      </c>
      <c r="F3678" s="2">
        <v>0.11840000000000001</v>
      </c>
      <c r="G3678" s="2">
        <v>9.8500000000000004E-2</v>
      </c>
      <c r="H3678" s="2">
        <v>9.1999999999999998E-2</v>
      </c>
      <c r="I3678" s="2">
        <v>6.6600000000000006E-2</v>
      </c>
      <c r="J3678" s="2">
        <v>6.5299999999999997E-2</v>
      </c>
      <c r="K3678" s="2">
        <v>3.0800000000000001E-2</v>
      </c>
      <c r="L3678" s="2">
        <v>3.0200000000000001E-2</v>
      </c>
      <c r="M3678" s="2">
        <v>2.6599999999999999E-2</v>
      </c>
      <c r="N3678" s="2">
        <v>1.03E-2</v>
      </c>
      <c r="O3678" s="2">
        <v>3.0000000000000001E-3</v>
      </c>
      <c r="P3678">
        <v>110</v>
      </c>
    </row>
    <row r="3680" spans="1:16" x14ac:dyDescent="0.35">
      <c r="A3680" s="1" t="s">
        <v>1262</v>
      </c>
    </row>
    <row r="3681" spans="1:16" x14ac:dyDescent="0.35">
      <c r="A3681" t="s">
        <v>219</v>
      </c>
      <c r="B3681" t="s">
        <v>301</v>
      </c>
      <c r="C3681" t="s">
        <v>1240</v>
      </c>
      <c r="D3681" t="s">
        <v>1241</v>
      </c>
      <c r="E3681" t="s">
        <v>1242</v>
      </c>
      <c r="F3681" t="s">
        <v>1243</v>
      </c>
      <c r="G3681" t="s">
        <v>1244</v>
      </c>
      <c r="H3681" t="s">
        <v>1245</v>
      </c>
      <c r="I3681" t="s">
        <v>1246</v>
      </c>
      <c r="J3681" t="s">
        <v>318</v>
      </c>
      <c r="K3681" t="s">
        <v>1247</v>
      </c>
      <c r="L3681" t="s">
        <v>1248</v>
      </c>
      <c r="M3681" t="s">
        <v>1249</v>
      </c>
      <c r="N3681" t="s">
        <v>1250</v>
      </c>
      <c r="O3681" t="s">
        <v>1251</v>
      </c>
      <c r="P3681" t="s">
        <v>226</v>
      </c>
    </row>
    <row r="3682" spans="1:16" x14ac:dyDescent="0.35">
      <c r="A3682" t="s">
        <v>227</v>
      </c>
      <c r="B3682" t="s">
        <v>346</v>
      </c>
      <c r="C3682" s="2">
        <v>0.59450000000000003</v>
      </c>
      <c r="D3682" s="2">
        <v>0.19239999999999999</v>
      </c>
      <c r="E3682" s="2">
        <v>0.1699</v>
      </c>
      <c r="F3682" s="2">
        <v>0.1245</v>
      </c>
      <c r="G3682" s="2">
        <v>9.7100000000000006E-2</v>
      </c>
      <c r="H3682" s="2">
        <v>9.0499999999999997E-2</v>
      </c>
      <c r="I3682" s="2">
        <v>6.1699999999999998E-2</v>
      </c>
      <c r="J3682" s="2">
        <v>6.8500000000000005E-2</v>
      </c>
      <c r="K3682" s="2">
        <v>2.1600000000000001E-2</v>
      </c>
      <c r="L3682" s="2">
        <v>2.0799999999999999E-2</v>
      </c>
      <c r="M3682" s="2">
        <v>2.0799999999999999E-2</v>
      </c>
      <c r="N3682" s="2">
        <v>2.5999999999999999E-3</v>
      </c>
      <c r="P3682">
        <v>57</v>
      </c>
    </row>
    <row r="3683" spans="1:16" x14ac:dyDescent="0.35">
      <c r="A3683" s="3" t="s">
        <v>227</v>
      </c>
      <c r="B3683" s="3" t="s">
        <v>347</v>
      </c>
      <c r="C3683" s="4">
        <v>0.32519999999999999</v>
      </c>
      <c r="D3683" s="4">
        <v>0.19700000000000001</v>
      </c>
      <c r="E3683" s="4">
        <v>0.32940000000000003</v>
      </c>
      <c r="F3683" s="4">
        <v>0.1245</v>
      </c>
      <c r="G3683" s="4">
        <v>0.19040000000000001</v>
      </c>
      <c r="H3683" s="4">
        <v>0.1759</v>
      </c>
      <c r="I3683" s="4">
        <v>0.1245</v>
      </c>
      <c r="J3683" s="4">
        <v>5.5100000000000003E-2</v>
      </c>
      <c r="K3683" s="4">
        <v>0.1522</v>
      </c>
      <c r="L3683" s="4">
        <v>0.18340000000000001</v>
      </c>
      <c r="M3683" s="4">
        <v>9.6600000000000005E-2</v>
      </c>
      <c r="N3683" s="4">
        <v>8.3000000000000004E-2</v>
      </c>
      <c r="O3683" s="4">
        <v>4.8500000000000001E-2</v>
      </c>
      <c r="P3683" s="5" t="s">
        <v>851</v>
      </c>
    </row>
    <row r="3684" spans="1:16" x14ac:dyDescent="0.35">
      <c r="A3684" s="3" t="s">
        <v>227</v>
      </c>
      <c r="B3684" s="3" t="s">
        <v>348</v>
      </c>
      <c r="C3684" s="4">
        <v>0.52439999999999998</v>
      </c>
      <c r="D3684" s="4">
        <v>0.28399999999999997</v>
      </c>
      <c r="E3684" s="4">
        <v>0.1133</v>
      </c>
      <c r="F3684" s="4">
        <v>3.8100000000000002E-2</v>
      </c>
      <c r="G3684" s="4">
        <v>3.5900000000000001E-2</v>
      </c>
      <c r="H3684" s="4">
        <v>3.8100000000000002E-2</v>
      </c>
      <c r="I3684" s="4">
        <v>7.6200000000000004E-2</v>
      </c>
      <c r="J3684" s="4">
        <v>3.5900000000000001E-2</v>
      </c>
      <c r="K3684" s="4">
        <v>3.8100000000000002E-2</v>
      </c>
      <c r="L3684" s="4">
        <v>1.21E-2</v>
      </c>
      <c r="M3684" s="4">
        <v>3.5900000000000001E-2</v>
      </c>
      <c r="N3684" s="4">
        <v>4.2000000000000003E-2</v>
      </c>
      <c r="O3684" s="5"/>
      <c r="P3684" s="5" t="s">
        <v>368</v>
      </c>
    </row>
    <row r="3685" spans="1:16" x14ac:dyDescent="0.35">
      <c r="A3685" t="s">
        <v>228</v>
      </c>
      <c r="B3685" t="s">
        <v>228</v>
      </c>
      <c r="C3685" s="2">
        <v>0.57289999999999996</v>
      </c>
      <c r="D3685" s="2">
        <v>0.19919999999999999</v>
      </c>
      <c r="E3685" s="2">
        <v>0.1757</v>
      </c>
      <c r="F3685" s="2">
        <v>0.11840000000000001</v>
      </c>
      <c r="G3685" s="2">
        <v>9.8500000000000004E-2</v>
      </c>
      <c r="H3685" s="2">
        <v>9.1999999999999998E-2</v>
      </c>
      <c r="I3685" s="2">
        <v>6.6600000000000006E-2</v>
      </c>
      <c r="J3685" s="2">
        <v>6.5299999999999997E-2</v>
      </c>
      <c r="K3685" s="2">
        <v>3.0800000000000001E-2</v>
      </c>
      <c r="L3685" s="2">
        <v>3.0200000000000001E-2</v>
      </c>
      <c r="M3685" s="2">
        <v>2.6599999999999999E-2</v>
      </c>
      <c r="N3685" s="2">
        <v>1.03E-2</v>
      </c>
      <c r="O3685" s="2">
        <v>3.0000000000000001E-3</v>
      </c>
      <c r="P3685">
        <v>110</v>
      </c>
    </row>
    <row r="3687" spans="1:16" x14ac:dyDescent="0.35">
      <c r="A3687" s="1" t="s">
        <v>1263</v>
      </c>
    </row>
    <row r="3688" spans="1:16" x14ac:dyDescent="0.35">
      <c r="A3688" t="s">
        <v>219</v>
      </c>
      <c r="B3688" t="s">
        <v>301</v>
      </c>
      <c r="C3688" t="s">
        <v>1240</v>
      </c>
      <c r="D3688" t="s">
        <v>1241</v>
      </c>
      <c r="E3688" t="s">
        <v>1242</v>
      </c>
      <c r="F3688" t="s">
        <v>1243</v>
      </c>
      <c r="G3688" t="s">
        <v>1244</v>
      </c>
      <c r="H3688" t="s">
        <v>1245</v>
      </c>
      <c r="I3688" t="s">
        <v>1246</v>
      </c>
      <c r="J3688" t="s">
        <v>318</v>
      </c>
      <c r="K3688" t="s">
        <v>1247</v>
      </c>
      <c r="L3688" t="s">
        <v>1248</v>
      </c>
      <c r="M3688" t="s">
        <v>1249</v>
      </c>
      <c r="N3688" t="s">
        <v>1250</v>
      </c>
      <c r="O3688" t="s">
        <v>1251</v>
      </c>
      <c r="P3688" t="s">
        <v>226</v>
      </c>
    </row>
    <row r="3689" spans="1:16" x14ac:dyDescent="0.35">
      <c r="A3689" t="s">
        <v>227</v>
      </c>
      <c r="B3689" t="s">
        <v>251</v>
      </c>
      <c r="C3689" s="2">
        <v>0.63580000000000003</v>
      </c>
      <c r="D3689" s="2">
        <v>0.14510000000000001</v>
      </c>
      <c r="E3689" s="2">
        <v>0.1215</v>
      </c>
      <c r="F3689" s="2">
        <v>5.3800000000000001E-2</v>
      </c>
      <c r="G3689" s="2">
        <v>8.6800000000000002E-2</v>
      </c>
      <c r="H3689" s="2">
        <v>8.3799999999999999E-2</v>
      </c>
      <c r="I3689" s="2">
        <v>7.6300000000000007E-2</v>
      </c>
      <c r="J3689" s="2">
        <v>7.4200000000000002E-2</v>
      </c>
      <c r="K3689" s="2">
        <v>1.0800000000000001E-2</v>
      </c>
      <c r="L3689" s="2">
        <v>5.8999999999999999E-3</v>
      </c>
      <c r="M3689" s="2">
        <v>6.4000000000000003E-3</v>
      </c>
      <c r="N3689" s="2">
        <v>6.1999999999999998E-3</v>
      </c>
      <c r="O3689" s="2">
        <v>3.8999999999999998E-3</v>
      </c>
      <c r="P3689">
        <v>75</v>
      </c>
    </row>
    <row r="3690" spans="1:16" x14ac:dyDescent="0.35">
      <c r="A3690" t="s">
        <v>227</v>
      </c>
      <c r="B3690" t="s">
        <v>252</v>
      </c>
      <c r="C3690" s="2">
        <v>0.37440000000000001</v>
      </c>
      <c r="D3690" s="2">
        <v>0.38419999999999999</v>
      </c>
      <c r="E3690" s="2">
        <v>0.35680000000000001</v>
      </c>
      <c r="F3690" s="2">
        <v>0.32090000000000002</v>
      </c>
      <c r="G3690" s="2">
        <v>0.1323</v>
      </c>
      <c r="H3690" s="2">
        <v>0.1094</v>
      </c>
      <c r="I3690" s="2">
        <v>2.3900000000000001E-2</v>
      </c>
      <c r="J3690" s="2">
        <v>3.7199999999999997E-2</v>
      </c>
      <c r="K3690" s="2">
        <v>9.0200000000000002E-2</v>
      </c>
      <c r="L3690" s="2">
        <v>0.10100000000000001</v>
      </c>
      <c r="M3690" s="2">
        <v>8.6300000000000002E-2</v>
      </c>
      <c r="N3690" s="2">
        <v>2.52E-2</v>
      </c>
      <c r="P3690">
        <v>31</v>
      </c>
    </row>
    <row r="3691" spans="1:16" x14ac:dyDescent="0.35">
      <c r="A3691" s="3" t="s">
        <v>227</v>
      </c>
      <c r="B3691" s="3" t="s">
        <v>253</v>
      </c>
      <c r="C3691" s="4">
        <v>9.0700000000000003E-2</v>
      </c>
      <c r="D3691" s="4">
        <v>0.28489999999999999</v>
      </c>
      <c r="E3691" s="4">
        <v>0.35580000000000001</v>
      </c>
      <c r="F3691" s="4">
        <v>0.64070000000000005</v>
      </c>
      <c r="G3691" s="4">
        <v>0.26860000000000001</v>
      </c>
      <c r="H3691" s="4">
        <v>0.35580000000000001</v>
      </c>
      <c r="I3691" s="4">
        <v>0.26860000000000001</v>
      </c>
      <c r="J3691" s="5"/>
      <c r="K3691" s="4">
        <v>0.26860000000000001</v>
      </c>
      <c r="L3691" s="4">
        <v>0.35580000000000001</v>
      </c>
      <c r="M3691" s="4">
        <v>0.26860000000000001</v>
      </c>
      <c r="N3691" s="5"/>
      <c r="O3691" s="5"/>
      <c r="P3691" s="5" t="s">
        <v>341</v>
      </c>
    </row>
    <row r="3692" spans="1:16" x14ac:dyDescent="0.35">
      <c r="A3692" t="s">
        <v>228</v>
      </c>
      <c r="B3692" t="s">
        <v>228</v>
      </c>
      <c r="C3692" s="2">
        <v>0.57289999999999996</v>
      </c>
      <c r="D3692" s="2">
        <v>0.19919999999999999</v>
      </c>
      <c r="E3692" s="2">
        <v>0.1757</v>
      </c>
      <c r="F3692" s="2">
        <v>0.11840000000000001</v>
      </c>
      <c r="G3692" s="2">
        <v>9.8500000000000004E-2</v>
      </c>
      <c r="H3692" s="2">
        <v>9.1999999999999998E-2</v>
      </c>
      <c r="I3692" s="2">
        <v>6.6600000000000006E-2</v>
      </c>
      <c r="J3692" s="2">
        <v>6.5299999999999997E-2</v>
      </c>
      <c r="K3692" s="2">
        <v>3.0800000000000001E-2</v>
      </c>
      <c r="L3692" s="2">
        <v>3.0200000000000001E-2</v>
      </c>
      <c r="M3692" s="2">
        <v>2.6599999999999999E-2</v>
      </c>
      <c r="N3692" s="2">
        <v>1.03E-2</v>
      </c>
      <c r="O3692" s="2">
        <v>3.0000000000000001E-3</v>
      </c>
      <c r="P3692">
        <v>110</v>
      </c>
    </row>
    <row r="3694" spans="1:16" x14ac:dyDescent="0.35">
      <c r="A3694" s="1" t="s">
        <v>126</v>
      </c>
    </row>
    <row r="3695" spans="1:16" x14ac:dyDescent="0.35">
      <c r="A3695" t="s">
        <v>219</v>
      </c>
      <c r="B3695" t="s">
        <v>1264</v>
      </c>
      <c r="C3695" t="s">
        <v>1265</v>
      </c>
      <c r="D3695" t="s">
        <v>1266</v>
      </c>
      <c r="E3695" t="s">
        <v>1267</v>
      </c>
      <c r="F3695" t="s">
        <v>1268</v>
      </c>
      <c r="G3695" t="s">
        <v>1269</v>
      </c>
      <c r="H3695" t="s">
        <v>1270</v>
      </c>
      <c r="I3695" t="s">
        <v>1271</v>
      </c>
      <c r="J3695" t="s">
        <v>1272</v>
      </c>
      <c r="K3695" t="s">
        <v>1273</v>
      </c>
      <c r="L3695" t="s">
        <v>1274</v>
      </c>
      <c r="M3695" t="s">
        <v>957</v>
      </c>
    </row>
    <row r="3696" spans="1:16" x14ac:dyDescent="0.35">
      <c r="A3696" t="s">
        <v>227</v>
      </c>
      <c r="B3696" t="s">
        <v>1275</v>
      </c>
      <c r="C3696" s="2">
        <v>0.81079999999999997</v>
      </c>
      <c r="D3696" s="2">
        <v>0.38419999999999999</v>
      </c>
      <c r="E3696" s="2">
        <v>0.80230000000000001</v>
      </c>
      <c r="F3696" s="2">
        <v>0.60229999999999995</v>
      </c>
      <c r="G3696" s="2">
        <v>0.74029999999999996</v>
      </c>
      <c r="H3696" s="2">
        <v>0.63570000000000004</v>
      </c>
      <c r="I3696" s="2">
        <v>0.82030000000000003</v>
      </c>
      <c r="J3696" s="2">
        <v>0.78349999999999997</v>
      </c>
      <c r="K3696" s="2">
        <v>0.83460000000000001</v>
      </c>
      <c r="L3696" s="2">
        <v>0.89729999999999999</v>
      </c>
      <c r="M3696">
        <v>2546</v>
      </c>
    </row>
    <row r="3697" spans="1:14" x14ac:dyDescent="0.35">
      <c r="A3697" t="s">
        <v>227</v>
      </c>
      <c r="B3697" t="s">
        <v>1276</v>
      </c>
      <c r="C3697" s="2">
        <v>2.1100000000000001E-2</v>
      </c>
      <c r="D3697" s="2">
        <v>6.2899999999999998E-2</v>
      </c>
      <c r="E3697" s="2">
        <v>1.17E-2</v>
      </c>
      <c r="F3697" s="2">
        <v>1.9599999999999999E-2</v>
      </c>
      <c r="G3697" s="2">
        <v>2.63E-2</v>
      </c>
      <c r="H3697" s="2">
        <v>7.3000000000000001E-3</v>
      </c>
      <c r="I3697" s="2">
        <v>5.8999999999999999E-3</v>
      </c>
      <c r="J3697" s="2">
        <v>1.14E-2</v>
      </c>
      <c r="K3697" s="2">
        <v>3.0000000000000001E-3</v>
      </c>
      <c r="L3697" s="2">
        <v>4.0000000000000002E-4</v>
      </c>
      <c r="M3697">
        <v>2546</v>
      </c>
    </row>
    <row r="3698" spans="1:14" x14ac:dyDescent="0.35">
      <c r="A3698" t="s">
        <v>227</v>
      </c>
      <c r="B3698" t="s">
        <v>1277</v>
      </c>
      <c r="C3698" s="2">
        <v>0.12759999999999999</v>
      </c>
      <c r="D3698" s="2">
        <v>0.1409</v>
      </c>
      <c r="E3698" s="2">
        <v>4.8899999999999999E-2</v>
      </c>
      <c r="F3698" s="2">
        <v>0.2019</v>
      </c>
      <c r="G3698" s="2">
        <v>0.2152</v>
      </c>
      <c r="H3698" s="2">
        <v>4.0599999999999997E-2</v>
      </c>
      <c r="I3698" s="2">
        <v>0.1648</v>
      </c>
      <c r="J3698" s="2">
        <v>0.2019</v>
      </c>
      <c r="K3698" s="2">
        <v>0.14050000000000001</v>
      </c>
      <c r="L3698" s="2">
        <v>9.2600000000000002E-2</v>
      </c>
      <c r="M3698">
        <v>2546</v>
      </c>
    </row>
    <row r="3699" spans="1:14" x14ac:dyDescent="0.35">
      <c r="A3699" t="s">
        <v>227</v>
      </c>
      <c r="B3699" t="s">
        <v>299</v>
      </c>
      <c r="C3699" s="2">
        <v>4.0599999999999997E-2</v>
      </c>
      <c r="D3699" s="2">
        <v>0.41199999999999998</v>
      </c>
      <c r="E3699" s="2">
        <v>0.1371</v>
      </c>
      <c r="F3699" s="2">
        <v>0.17610000000000001</v>
      </c>
      <c r="G3699" s="2">
        <v>1.8200000000000001E-2</v>
      </c>
      <c r="H3699" s="2">
        <v>0.31640000000000001</v>
      </c>
      <c r="I3699" s="2">
        <v>8.9999999999999993E-3</v>
      </c>
      <c r="J3699" s="2">
        <v>3.2000000000000002E-3</v>
      </c>
      <c r="K3699" s="2">
        <v>2.1899999999999999E-2</v>
      </c>
      <c r="L3699" s="2">
        <v>9.7000000000000003E-3</v>
      </c>
      <c r="M3699">
        <v>2546</v>
      </c>
    </row>
    <row r="3700" spans="1:14" x14ac:dyDescent="0.35">
      <c r="A3700" t="s">
        <v>228</v>
      </c>
      <c r="B3700" t="s">
        <v>1275</v>
      </c>
      <c r="C3700" s="2">
        <v>0.81079999999999997</v>
      </c>
      <c r="D3700" s="2">
        <v>0.38419999999999999</v>
      </c>
      <c r="E3700" s="2">
        <v>0.80230000000000001</v>
      </c>
      <c r="F3700" s="2">
        <v>0.60229999999999995</v>
      </c>
      <c r="G3700" s="2">
        <v>0.74029999999999996</v>
      </c>
      <c r="H3700" s="2">
        <v>0.63570000000000004</v>
      </c>
      <c r="I3700" s="2">
        <v>0.82030000000000003</v>
      </c>
      <c r="J3700" s="2">
        <v>0.78349999999999997</v>
      </c>
      <c r="K3700" s="2">
        <v>0.83460000000000001</v>
      </c>
      <c r="L3700" s="2">
        <v>0.89729999999999999</v>
      </c>
      <c r="M3700">
        <v>2546</v>
      </c>
    </row>
    <row r="3701" spans="1:14" x14ac:dyDescent="0.35">
      <c r="A3701" t="s">
        <v>228</v>
      </c>
      <c r="B3701" t="s">
        <v>1276</v>
      </c>
      <c r="C3701" s="2">
        <v>2.1100000000000001E-2</v>
      </c>
      <c r="D3701" s="2">
        <v>6.2899999999999998E-2</v>
      </c>
      <c r="E3701" s="2">
        <v>1.17E-2</v>
      </c>
      <c r="F3701" s="2">
        <v>1.9599999999999999E-2</v>
      </c>
      <c r="G3701" s="2">
        <v>2.63E-2</v>
      </c>
      <c r="H3701" s="2">
        <v>7.3000000000000001E-3</v>
      </c>
      <c r="I3701" s="2">
        <v>5.8999999999999999E-3</v>
      </c>
      <c r="J3701" s="2">
        <v>1.14E-2</v>
      </c>
      <c r="K3701" s="2">
        <v>3.0000000000000001E-3</v>
      </c>
      <c r="L3701" s="2">
        <v>4.0000000000000002E-4</v>
      </c>
      <c r="M3701">
        <v>2546</v>
      </c>
    </row>
    <row r="3702" spans="1:14" x14ac:dyDescent="0.35">
      <c r="A3702" t="s">
        <v>228</v>
      </c>
      <c r="B3702" t="s">
        <v>1277</v>
      </c>
      <c r="C3702" s="2">
        <v>0.12759999999999999</v>
      </c>
      <c r="D3702" s="2">
        <v>0.1409</v>
      </c>
      <c r="E3702" s="2">
        <v>4.8899999999999999E-2</v>
      </c>
      <c r="F3702" s="2">
        <v>0.2019</v>
      </c>
      <c r="G3702" s="2">
        <v>0.2152</v>
      </c>
      <c r="H3702" s="2">
        <v>4.0599999999999997E-2</v>
      </c>
      <c r="I3702" s="2">
        <v>0.1648</v>
      </c>
      <c r="J3702" s="2">
        <v>0.2019</v>
      </c>
      <c r="K3702" s="2">
        <v>0.14050000000000001</v>
      </c>
      <c r="L3702" s="2">
        <v>9.2600000000000002E-2</v>
      </c>
      <c r="M3702">
        <v>2546</v>
      </c>
    </row>
    <row r="3703" spans="1:14" x14ac:dyDescent="0.35">
      <c r="A3703" t="s">
        <v>228</v>
      </c>
      <c r="B3703" t="s">
        <v>299</v>
      </c>
      <c r="C3703" s="2">
        <v>4.0599999999999997E-2</v>
      </c>
      <c r="D3703" s="2">
        <v>0.41199999999999998</v>
      </c>
      <c r="E3703" s="2">
        <v>0.1371</v>
      </c>
      <c r="F3703" s="2">
        <v>0.17610000000000001</v>
      </c>
      <c r="G3703" s="2">
        <v>1.8200000000000001E-2</v>
      </c>
      <c r="H3703" s="2">
        <v>0.31640000000000001</v>
      </c>
      <c r="I3703" s="2">
        <v>8.9999999999999993E-3</v>
      </c>
      <c r="J3703" s="2">
        <v>3.2000000000000002E-3</v>
      </c>
      <c r="K3703" s="2">
        <v>2.1899999999999999E-2</v>
      </c>
      <c r="L3703" s="2">
        <v>9.7000000000000003E-3</v>
      </c>
      <c r="M3703">
        <v>2546</v>
      </c>
    </row>
    <row r="3705" spans="1:14" x14ac:dyDescent="0.35">
      <c r="A3705" s="1" t="s">
        <v>1278</v>
      </c>
    </row>
    <row r="3706" spans="1:14" x14ac:dyDescent="0.35">
      <c r="A3706" t="s">
        <v>219</v>
      </c>
      <c r="B3706" t="s">
        <v>1279</v>
      </c>
      <c r="C3706" t="s">
        <v>1280</v>
      </c>
      <c r="D3706" t="s">
        <v>1281</v>
      </c>
      <c r="E3706" t="s">
        <v>1282</v>
      </c>
      <c r="F3706" t="s">
        <v>1283</v>
      </c>
      <c r="G3706" t="s">
        <v>277</v>
      </c>
      <c r="H3706" t="s">
        <v>226</v>
      </c>
    </row>
    <row r="3707" spans="1:14" x14ac:dyDescent="0.35">
      <c r="A3707" t="s">
        <v>227</v>
      </c>
      <c r="B3707" s="2">
        <v>0.46189999999999998</v>
      </c>
      <c r="C3707" s="2">
        <v>0.45610000000000001</v>
      </c>
      <c r="D3707" s="2">
        <v>0.32429999999999998</v>
      </c>
      <c r="E3707" s="2">
        <v>9.6000000000000002E-2</v>
      </c>
      <c r="F3707" s="2">
        <v>9.6000000000000002E-2</v>
      </c>
      <c r="G3707" s="2">
        <v>3.4500000000000003E-2</v>
      </c>
      <c r="H3707">
        <v>1424</v>
      </c>
    </row>
    <row r="3708" spans="1:14" x14ac:dyDescent="0.35">
      <c r="A3708" t="s">
        <v>228</v>
      </c>
      <c r="B3708" s="2">
        <v>0.46189999999999998</v>
      </c>
      <c r="C3708" s="2">
        <v>0.45610000000000001</v>
      </c>
      <c r="D3708" s="2">
        <v>0.32429999999999998</v>
      </c>
      <c r="E3708" s="2">
        <v>9.6000000000000002E-2</v>
      </c>
      <c r="F3708" s="2">
        <v>9.6000000000000002E-2</v>
      </c>
      <c r="G3708" s="2">
        <v>3.4500000000000003E-2</v>
      </c>
      <c r="H3708">
        <v>1424</v>
      </c>
    </row>
    <row r="3710" spans="1:14" x14ac:dyDescent="0.35">
      <c r="A3710" s="1" t="s">
        <v>1284</v>
      </c>
    </row>
    <row r="3711" spans="1:14" x14ac:dyDescent="0.35">
      <c r="A3711" t="s">
        <v>219</v>
      </c>
      <c r="B3711" t="s">
        <v>301</v>
      </c>
      <c r="C3711" t="s">
        <v>1264</v>
      </c>
      <c r="D3711" t="s">
        <v>1265</v>
      </c>
      <c r="E3711" t="s">
        <v>1266</v>
      </c>
      <c r="F3711" t="s">
        <v>1267</v>
      </c>
      <c r="G3711" t="s">
        <v>1268</v>
      </c>
      <c r="H3711" t="s">
        <v>1269</v>
      </c>
      <c r="I3711" t="s">
        <v>1270</v>
      </c>
      <c r="J3711" t="s">
        <v>1271</v>
      </c>
      <c r="K3711" t="s">
        <v>1272</v>
      </c>
      <c r="L3711" t="s">
        <v>1273</v>
      </c>
      <c r="M3711" t="s">
        <v>1274</v>
      </c>
      <c r="N3711" t="s">
        <v>957</v>
      </c>
    </row>
    <row r="3712" spans="1:14" x14ac:dyDescent="0.35">
      <c r="A3712" t="s">
        <v>227</v>
      </c>
      <c r="B3712" t="s">
        <v>238</v>
      </c>
      <c r="C3712" t="s">
        <v>1275</v>
      </c>
      <c r="D3712" s="2">
        <v>0.75080000000000002</v>
      </c>
      <c r="E3712" s="2">
        <v>0.2697</v>
      </c>
      <c r="F3712" s="2">
        <v>0.77090000000000003</v>
      </c>
      <c r="G3712" s="2">
        <v>0.53339999999999999</v>
      </c>
      <c r="H3712" s="2">
        <v>0.67749999999999999</v>
      </c>
      <c r="I3712" s="2">
        <v>0.5101</v>
      </c>
      <c r="J3712" s="2">
        <v>0.76700000000000002</v>
      </c>
      <c r="K3712" s="2">
        <v>0.71930000000000005</v>
      </c>
      <c r="L3712" s="2">
        <v>0.75839999999999996</v>
      </c>
      <c r="M3712" s="2">
        <v>0.87109999999999999</v>
      </c>
      <c r="N3712">
        <v>904</v>
      </c>
    </row>
    <row r="3713" spans="1:14" x14ac:dyDescent="0.35">
      <c r="A3713" t="s">
        <v>227</v>
      </c>
      <c r="B3713" t="s">
        <v>238</v>
      </c>
      <c r="C3713" t="s">
        <v>1276</v>
      </c>
      <c r="D3713" s="2">
        <v>3.27E-2</v>
      </c>
      <c r="E3713" s="2">
        <v>8.3599999999999994E-2</v>
      </c>
      <c r="F3713" s="2">
        <v>1.23E-2</v>
      </c>
      <c r="G3713" s="2">
        <v>2.4400000000000002E-2</v>
      </c>
      <c r="H3713" s="2">
        <v>4.0800000000000003E-2</v>
      </c>
      <c r="I3713" s="2">
        <v>8.8000000000000005E-3</v>
      </c>
      <c r="J3713" s="2">
        <v>9.9000000000000008E-3</v>
      </c>
      <c r="K3713" s="2">
        <v>2.29E-2</v>
      </c>
      <c r="L3713" s="2">
        <v>6.4000000000000003E-3</v>
      </c>
      <c r="M3713" s="2">
        <v>1E-4</v>
      </c>
      <c r="N3713">
        <v>904</v>
      </c>
    </row>
    <row r="3714" spans="1:14" x14ac:dyDescent="0.35">
      <c r="A3714" t="s">
        <v>227</v>
      </c>
      <c r="B3714" t="s">
        <v>238</v>
      </c>
      <c r="C3714" t="s">
        <v>1277</v>
      </c>
      <c r="D3714" s="2">
        <v>0.16209999999999999</v>
      </c>
      <c r="E3714" s="2">
        <v>0.17019999999999999</v>
      </c>
      <c r="F3714" s="2">
        <v>6.8000000000000005E-2</v>
      </c>
      <c r="G3714" s="2">
        <v>0.27400000000000002</v>
      </c>
      <c r="H3714" s="2">
        <v>0.26450000000000001</v>
      </c>
      <c r="I3714" s="2">
        <v>4.4200000000000003E-2</v>
      </c>
      <c r="J3714" s="2">
        <v>0.2094</v>
      </c>
      <c r="K3714" s="2">
        <v>0.25369999999999998</v>
      </c>
      <c r="L3714" s="2">
        <v>0.20480000000000001</v>
      </c>
      <c r="M3714" s="2">
        <v>0.1191</v>
      </c>
      <c r="N3714">
        <v>904</v>
      </c>
    </row>
    <row r="3715" spans="1:14" x14ac:dyDescent="0.35">
      <c r="A3715" t="s">
        <v>227</v>
      </c>
      <c r="B3715" t="s">
        <v>238</v>
      </c>
      <c r="C3715" t="s">
        <v>299</v>
      </c>
      <c r="D3715" s="2">
        <v>5.4300000000000001E-2</v>
      </c>
      <c r="E3715" s="2">
        <v>0.47649999999999998</v>
      </c>
      <c r="F3715" s="2">
        <v>0.14879999999999999</v>
      </c>
      <c r="G3715" s="2">
        <v>0.16819999999999999</v>
      </c>
      <c r="H3715" s="2">
        <v>1.72E-2</v>
      </c>
      <c r="I3715" s="2">
        <v>0.43680000000000002</v>
      </c>
      <c r="J3715" s="2">
        <v>1.38E-2</v>
      </c>
      <c r="K3715" s="2">
        <v>4.1000000000000003E-3</v>
      </c>
      <c r="L3715" s="2">
        <v>3.04E-2</v>
      </c>
      <c r="M3715" s="2">
        <v>9.7000000000000003E-3</v>
      </c>
      <c r="N3715">
        <v>904</v>
      </c>
    </row>
    <row r="3716" spans="1:14" x14ac:dyDescent="0.35">
      <c r="A3716" t="s">
        <v>227</v>
      </c>
      <c r="B3716" t="s">
        <v>237</v>
      </c>
      <c r="C3716" t="s">
        <v>1275</v>
      </c>
      <c r="D3716" s="2">
        <v>0.84670000000000001</v>
      </c>
      <c r="E3716" s="2">
        <v>0.45290000000000002</v>
      </c>
      <c r="F3716" s="2">
        <v>0.82120000000000004</v>
      </c>
      <c r="G3716" s="2">
        <v>0.64390000000000003</v>
      </c>
      <c r="H3716" s="2">
        <v>0.77800000000000002</v>
      </c>
      <c r="I3716" s="2">
        <v>0.71099999999999997</v>
      </c>
      <c r="J3716" s="2">
        <v>0.85229999999999995</v>
      </c>
      <c r="K3716" s="2">
        <v>0.82199999999999995</v>
      </c>
      <c r="L3716" s="2">
        <v>0.88029999999999997</v>
      </c>
      <c r="M3716" s="2">
        <v>0.91300000000000003</v>
      </c>
      <c r="N3716">
        <v>1642</v>
      </c>
    </row>
    <row r="3717" spans="1:14" x14ac:dyDescent="0.35">
      <c r="A3717" t="s">
        <v>227</v>
      </c>
      <c r="B3717" t="s">
        <v>237</v>
      </c>
      <c r="C3717" t="s">
        <v>1276</v>
      </c>
      <c r="D3717" s="2">
        <v>1.41E-2</v>
      </c>
      <c r="E3717" s="2">
        <v>5.0500000000000003E-2</v>
      </c>
      <c r="F3717" s="2">
        <v>1.14E-2</v>
      </c>
      <c r="G3717" s="2">
        <v>1.67E-2</v>
      </c>
      <c r="H3717" s="2">
        <v>1.77E-2</v>
      </c>
      <c r="I3717" s="2">
        <v>6.4999999999999997E-3</v>
      </c>
      <c r="J3717" s="2">
        <v>3.5000000000000001E-3</v>
      </c>
      <c r="K3717" s="2">
        <v>4.5999999999999999E-3</v>
      </c>
      <c r="L3717" s="2">
        <v>1E-3</v>
      </c>
      <c r="M3717" s="2">
        <v>5.9999999999999995E-4</v>
      </c>
      <c r="N3717">
        <v>1642</v>
      </c>
    </row>
    <row r="3718" spans="1:14" x14ac:dyDescent="0.35">
      <c r="A3718" t="s">
        <v>227</v>
      </c>
      <c r="B3718" t="s">
        <v>237</v>
      </c>
      <c r="C3718" t="s">
        <v>1277</v>
      </c>
      <c r="D3718" s="2">
        <v>0.1069</v>
      </c>
      <c r="E3718" s="2">
        <v>0.12330000000000001</v>
      </c>
      <c r="F3718" s="2">
        <v>3.7400000000000003E-2</v>
      </c>
      <c r="G3718" s="2">
        <v>0.1585</v>
      </c>
      <c r="H3718" s="2">
        <v>0.1857</v>
      </c>
      <c r="I3718" s="2">
        <v>3.8399999999999997E-2</v>
      </c>
      <c r="J3718" s="2">
        <v>0.1381</v>
      </c>
      <c r="K3718" s="2">
        <v>0.17080000000000001</v>
      </c>
      <c r="L3718" s="2">
        <v>0.1019</v>
      </c>
      <c r="M3718" s="2">
        <v>7.6700000000000004E-2</v>
      </c>
      <c r="N3718">
        <v>1642</v>
      </c>
    </row>
    <row r="3719" spans="1:14" x14ac:dyDescent="0.35">
      <c r="A3719" t="s">
        <v>227</v>
      </c>
      <c r="B3719" t="s">
        <v>237</v>
      </c>
      <c r="C3719" t="s">
        <v>299</v>
      </c>
      <c r="D3719" s="2">
        <v>3.2300000000000002E-2</v>
      </c>
      <c r="E3719" s="2">
        <v>0.37340000000000001</v>
      </c>
      <c r="F3719" s="2">
        <v>0.13009999999999999</v>
      </c>
      <c r="G3719" s="2">
        <v>0.18090000000000001</v>
      </c>
      <c r="H3719" s="2">
        <v>1.8700000000000001E-2</v>
      </c>
      <c r="I3719" s="2">
        <v>0.24410000000000001</v>
      </c>
      <c r="J3719" s="2">
        <v>6.1000000000000004E-3</v>
      </c>
      <c r="K3719" s="2">
        <v>2.5999999999999999E-3</v>
      </c>
      <c r="L3719" s="2">
        <v>1.6799999999999999E-2</v>
      </c>
      <c r="M3719" s="2">
        <v>9.7000000000000003E-3</v>
      </c>
      <c r="N3719">
        <v>1642</v>
      </c>
    </row>
    <row r="3720" spans="1:14" x14ac:dyDescent="0.35">
      <c r="A3720" t="s">
        <v>228</v>
      </c>
      <c r="B3720" t="s">
        <v>228</v>
      </c>
      <c r="C3720" t="s">
        <v>1275</v>
      </c>
      <c r="D3720" s="2">
        <v>0.81079999999999997</v>
      </c>
      <c r="E3720" s="2">
        <v>0.38419999999999999</v>
      </c>
      <c r="F3720" s="2">
        <v>0.80230000000000001</v>
      </c>
      <c r="G3720" s="2">
        <v>0.60229999999999995</v>
      </c>
      <c r="H3720" s="2">
        <v>0.74029999999999996</v>
      </c>
      <c r="I3720" s="2">
        <v>0.63570000000000004</v>
      </c>
      <c r="J3720" s="2">
        <v>0.82030000000000003</v>
      </c>
      <c r="K3720" s="2">
        <v>0.78349999999999997</v>
      </c>
      <c r="L3720" s="2">
        <v>0.83460000000000001</v>
      </c>
      <c r="M3720" s="2">
        <v>0.89729999999999999</v>
      </c>
      <c r="N3720">
        <v>2546</v>
      </c>
    </row>
    <row r="3721" spans="1:14" x14ac:dyDescent="0.35">
      <c r="A3721" t="s">
        <v>228</v>
      </c>
      <c r="B3721" t="s">
        <v>228</v>
      </c>
      <c r="C3721" t="s">
        <v>1276</v>
      </c>
      <c r="D3721" s="2">
        <v>2.1100000000000001E-2</v>
      </c>
      <c r="E3721" s="2">
        <v>6.2899999999999998E-2</v>
      </c>
      <c r="F3721" s="2">
        <v>1.17E-2</v>
      </c>
      <c r="G3721" s="2">
        <v>1.9599999999999999E-2</v>
      </c>
      <c r="H3721" s="2">
        <v>2.63E-2</v>
      </c>
      <c r="I3721" s="2">
        <v>7.3000000000000001E-3</v>
      </c>
      <c r="J3721" s="2">
        <v>5.8999999999999999E-3</v>
      </c>
      <c r="K3721" s="2">
        <v>1.14E-2</v>
      </c>
      <c r="L3721" s="2">
        <v>3.0000000000000001E-3</v>
      </c>
      <c r="M3721" s="2">
        <v>4.0000000000000002E-4</v>
      </c>
      <c r="N3721">
        <v>2546</v>
      </c>
    </row>
    <row r="3722" spans="1:14" x14ac:dyDescent="0.35">
      <c r="A3722" t="s">
        <v>228</v>
      </c>
      <c r="B3722" t="s">
        <v>228</v>
      </c>
      <c r="C3722" t="s">
        <v>1277</v>
      </c>
      <c r="D3722" s="2">
        <v>0.12759999999999999</v>
      </c>
      <c r="E3722" s="2">
        <v>0.1409</v>
      </c>
      <c r="F3722" s="2">
        <v>4.8899999999999999E-2</v>
      </c>
      <c r="G3722" s="2">
        <v>0.2019</v>
      </c>
      <c r="H3722" s="2">
        <v>0.2152</v>
      </c>
      <c r="I3722" s="2">
        <v>4.0599999999999997E-2</v>
      </c>
      <c r="J3722" s="2">
        <v>0.1648</v>
      </c>
      <c r="K3722" s="2">
        <v>0.2019</v>
      </c>
      <c r="L3722" s="2">
        <v>0.14050000000000001</v>
      </c>
      <c r="M3722" s="2">
        <v>9.2600000000000002E-2</v>
      </c>
      <c r="N3722">
        <v>2546</v>
      </c>
    </row>
    <row r="3723" spans="1:14" x14ac:dyDescent="0.35">
      <c r="A3723" t="s">
        <v>228</v>
      </c>
      <c r="B3723" t="s">
        <v>228</v>
      </c>
      <c r="C3723" t="s">
        <v>299</v>
      </c>
      <c r="D3723" s="2">
        <v>4.0599999999999997E-2</v>
      </c>
      <c r="E3723" s="2">
        <v>0.41199999999999998</v>
      </c>
      <c r="F3723" s="2">
        <v>0.1371</v>
      </c>
      <c r="G3723" s="2">
        <v>0.17610000000000001</v>
      </c>
      <c r="H3723" s="2">
        <v>1.8200000000000001E-2</v>
      </c>
      <c r="I3723" s="2">
        <v>0.31640000000000001</v>
      </c>
      <c r="J3723" s="2">
        <v>8.9999999999999993E-3</v>
      </c>
      <c r="K3723" s="2">
        <v>3.2000000000000002E-3</v>
      </c>
      <c r="L3723" s="2">
        <v>2.1899999999999999E-2</v>
      </c>
      <c r="M3723" s="2">
        <v>9.7000000000000003E-3</v>
      </c>
      <c r="N3723">
        <v>2546</v>
      </c>
    </row>
    <row r="3725" spans="1:14" x14ac:dyDescent="0.35">
      <c r="A3725" s="1" t="s">
        <v>1285</v>
      </c>
    </row>
    <row r="3726" spans="1:14" x14ac:dyDescent="0.35">
      <c r="A3726" t="s">
        <v>219</v>
      </c>
      <c r="B3726" t="s">
        <v>301</v>
      </c>
      <c r="C3726" t="s">
        <v>1279</v>
      </c>
      <c r="D3726" t="s">
        <v>1280</v>
      </c>
      <c r="E3726" t="s">
        <v>1281</v>
      </c>
      <c r="F3726" t="s">
        <v>1282</v>
      </c>
      <c r="G3726" t="s">
        <v>1283</v>
      </c>
      <c r="H3726" t="s">
        <v>277</v>
      </c>
      <c r="I3726" t="s">
        <v>226</v>
      </c>
    </row>
    <row r="3727" spans="1:14" x14ac:dyDescent="0.35">
      <c r="A3727" t="s">
        <v>227</v>
      </c>
      <c r="B3727" t="s">
        <v>238</v>
      </c>
      <c r="C3727" s="2">
        <v>0.46729999999999999</v>
      </c>
      <c r="D3727" s="2">
        <v>0.58589999999999998</v>
      </c>
      <c r="E3727" s="2">
        <v>0.31759999999999999</v>
      </c>
      <c r="F3727" s="2">
        <v>8.8200000000000001E-2</v>
      </c>
      <c r="G3727" s="2">
        <v>6.8699999999999997E-2</v>
      </c>
      <c r="H3727" s="2">
        <v>2.3699999999999999E-2</v>
      </c>
      <c r="I3727">
        <v>610</v>
      </c>
    </row>
    <row r="3728" spans="1:14" x14ac:dyDescent="0.35">
      <c r="A3728" t="s">
        <v>227</v>
      </c>
      <c r="B3728" t="s">
        <v>237</v>
      </c>
      <c r="C3728" s="2">
        <v>0.4577</v>
      </c>
      <c r="D3728" s="2">
        <v>0.35420000000000001</v>
      </c>
      <c r="E3728" s="2">
        <v>0.3296</v>
      </c>
      <c r="F3728" s="2">
        <v>0.1022</v>
      </c>
      <c r="G3728" s="2">
        <v>0.1174</v>
      </c>
      <c r="H3728" s="2">
        <v>4.2900000000000001E-2</v>
      </c>
      <c r="I3728">
        <v>814</v>
      </c>
    </row>
    <row r="3729" spans="1:14" x14ac:dyDescent="0.35">
      <c r="A3729" t="s">
        <v>228</v>
      </c>
      <c r="B3729" t="s">
        <v>228</v>
      </c>
      <c r="C3729" s="2">
        <v>0.46189999999999998</v>
      </c>
      <c r="D3729" s="2">
        <v>0.45610000000000001</v>
      </c>
      <c r="E3729" s="2">
        <v>0.32429999999999998</v>
      </c>
      <c r="F3729" s="2">
        <v>9.6000000000000002E-2</v>
      </c>
      <c r="G3729" s="2">
        <v>9.6000000000000002E-2</v>
      </c>
      <c r="H3729" s="2">
        <v>3.4500000000000003E-2</v>
      </c>
      <c r="I3729">
        <v>1424</v>
      </c>
    </row>
    <row r="3731" spans="1:14" x14ac:dyDescent="0.35">
      <c r="A3731" s="1" t="s">
        <v>1286</v>
      </c>
    </row>
    <row r="3732" spans="1:14" x14ac:dyDescent="0.35">
      <c r="A3732" t="s">
        <v>219</v>
      </c>
      <c r="B3732" t="s">
        <v>301</v>
      </c>
      <c r="C3732" t="s">
        <v>1264</v>
      </c>
      <c r="D3732" t="s">
        <v>1265</v>
      </c>
      <c r="E3732" t="s">
        <v>1266</v>
      </c>
      <c r="F3732" t="s">
        <v>1267</v>
      </c>
      <c r="G3732" t="s">
        <v>1268</v>
      </c>
      <c r="H3732" t="s">
        <v>1269</v>
      </c>
      <c r="I3732" t="s">
        <v>1270</v>
      </c>
      <c r="J3732" t="s">
        <v>1271</v>
      </c>
      <c r="K3732" t="s">
        <v>1272</v>
      </c>
      <c r="L3732" t="s">
        <v>1273</v>
      </c>
      <c r="M3732" t="s">
        <v>1274</v>
      </c>
      <c r="N3732" t="s">
        <v>957</v>
      </c>
    </row>
    <row r="3733" spans="1:14" x14ac:dyDescent="0.35">
      <c r="A3733" t="s">
        <v>227</v>
      </c>
      <c r="B3733" t="s">
        <v>235</v>
      </c>
      <c r="C3733" t="s">
        <v>1275</v>
      </c>
      <c r="D3733" s="2">
        <v>0.79159999999999997</v>
      </c>
      <c r="E3733" s="2">
        <v>0.30599999999999999</v>
      </c>
      <c r="F3733" s="2">
        <v>0.74560000000000004</v>
      </c>
      <c r="G3733" s="2">
        <v>0.54290000000000005</v>
      </c>
      <c r="H3733" s="2">
        <v>0.76029999999999998</v>
      </c>
      <c r="I3733" s="2">
        <v>0.62190000000000001</v>
      </c>
      <c r="J3733" s="2">
        <v>0.84640000000000004</v>
      </c>
      <c r="K3733" s="2">
        <v>0.79120000000000001</v>
      </c>
      <c r="L3733" s="2">
        <v>0.82740000000000002</v>
      </c>
      <c r="M3733" s="2">
        <v>0.90090000000000003</v>
      </c>
      <c r="N3733">
        <v>910</v>
      </c>
    </row>
    <row r="3734" spans="1:14" x14ac:dyDescent="0.35">
      <c r="A3734" t="s">
        <v>227</v>
      </c>
      <c r="B3734" t="s">
        <v>235</v>
      </c>
      <c r="C3734" t="s">
        <v>1276</v>
      </c>
      <c r="D3734" s="2">
        <v>1.4500000000000001E-2</v>
      </c>
      <c r="E3734" s="2">
        <v>7.9600000000000004E-2</v>
      </c>
      <c r="F3734" s="2">
        <v>1.2200000000000001E-2</v>
      </c>
      <c r="G3734" s="2">
        <v>1.8499999999999999E-2</v>
      </c>
      <c r="H3734" s="2">
        <v>1.8700000000000001E-2</v>
      </c>
      <c r="I3734" s="2">
        <v>1.14E-2</v>
      </c>
      <c r="J3734" s="2">
        <v>1.03E-2</v>
      </c>
      <c r="K3734" s="2">
        <v>1.9800000000000002E-2</v>
      </c>
      <c r="L3734" s="2">
        <v>6.7000000000000002E-3</v>
      </c>
      <c r="M3734" s="2">
        <v>5.0000000000000001E-4</v>
      </c>
      <c r="N3734">
        <v>910</v>
      </c>
    </row>
    <row r="3735" spans="1:14" x14ac:dyDescent="0.35">
      <c r="A3735" t="s">
        <v>227</v>
      </c>
      <c r="B3735" t="s">
        <v>235</v>
      </c>
      <c r="C3735" t="s">
        <v>1277</v>
      </c>
      <c r="D3735" s="2">
        <v>0.1648</v>
      </c>
      <c r="E3735" s="2">
        <v>0.19750000000000001</v>
      </c>
      <c r="F3735" s="2">
        <v>6.4899999999999999E-2</v>
      </c>
      <c r="G3735" s="2">
        <v>0.24929999999999999</v>
      </c>
      <c r="H3735" s="2">
        <v>0.20799999999999999</v>
      </c>
      <c r="I3735" s="2">
        <v>4.0099999999999997E-2</v>
      </c>
      <c r="J3735" s="2">
        <v>0.1389</v>
      </c>
      <c r="K3735" s="2">
        <v>0.18809999999999999</v>
      </c>
      <c r="L3735" s="2">
        <v>0.1384</v>
      </c>
      <c r="M3735" s="2">
        <v>7.9399999999999998E-2</v>
      </c>
      <c r="N3735">
        <v>910</v>
      </c>
    </row>
    <row r="3736" spans="1:14" x14ac:dyDescent="0.35">
      <c r="A3736" t="s">
        <v>227</v>
      </c>
      <c r="B3736" t="s">
        <v>235</v>
      </c>
      <c r="C3736" t="s">
        <v>299</v>
      </c>
      <c r="D3736" s="2">
        <v>2.9100000000000001E-2</v>
      </c>
      <c r="E3736" s="2">
        <v>0.41689999999999999</v>
      </c>
      <c r="F3736" s="2">
        <v>0.17730000000000001</v>
      </c>
      <c r="G3736" s="2">
        <v>0.18920000000000001</v>
      </c>
      <c r="H3736" s="2">
        <v>1.29E-2</v>
      </c>
      <c r="I3736" s="2">
        <v>0.32669999999999999</v>
      </c>
      <c r="J3736" s="2">
        <v>4.4000000000000003E-3</v>
      </c>
      <c r="K3736" s="2">
        <v>8.9999999999999998E-4</v>
      </c>
      <c r="L3736" s="2">
        <v>2.75E-2</v>
      </c>
      <c r="M3736" s="2">
        <v>1.9199999999999998E-2</v>
      </c>
      <c r="N3736">
        <v>910</v>
      </c>
    </row>
    <row r="3737" spans="1:14" x14ac:dyDescent="0.35">
      <c r="A3737" t="s">
        <v>227</v>
      </c>
      <c r="B3737" t="s">
        <v>234</v>
      </c>
      <c r="C3737" t="s">
        <v>1275</v>
      </c>
      <c r="D3737" s="2">
        <v>0.81899999999999995</v>
      </c>
      <c r="E3737" s="2">
        <v>0.41770000000000002</v>
      </c>
      <c r="F3737" s="2">
        <v>0.8266</v>
      </c>
      <c r="G3737" s="2">
        <v>0.62790000000000001</v>
      </c>
      <c r="H3737" s="2">
        <v>0.73170000000000002</v>
      </c>
      <c r="I3737" s="2">
        <v>0.64159999999999995</v>
      </c>
      <c r="J3737" s="2">
        <v>0.80910000000000004</v>
      </c>
      <c r="K3737" s="2">
        <v>0.7802</v>
      </c>
      <c r="L3737" s="2">
        <v>0.83760000000000001</v>
      </c>
      <c r="M3737" s="2">
        <v>0.89570000000000005</v>
      </c>
      <c r="N3737">
        <v>1636</v>
      </c>
    </row>
    <row r="3738" spans="1:14" x14ac:dyDescent="0.35">
      <c r="A3738" t="s">
        <v>227</v>
      </c>
      <c r="B3738" t="s">
        <v>234</v>
      </c>
      <c r="C3738" t="s">
        <v>1276</v>
      </c>
      <c r="D3738" s="2">
        <v>2.3900000000000001E-2</v>
      </c>
      <c r="E3738" s="2">
        <v>5.5800000000000002E-2</v>
      </c>
      <c r="F3738" s="2">
        <v>1.15E-2</v>
      </c>
      <c r="G3738" s="2">
        <v>0.02</v>
      </c>
      <c r="H3738" s="2">
        <v>2.9600000000000001E-2</v>
      </c>
      <c r="I3738" s="2">
        <v>5.5999999999999999E-3</v>
      </c>
      <c r="J3738" s="2">
        <v>4.0000000000000001E-3</v>
      </c>
      <c r="K3738" s="2">
        <v>7.9000000000000008E-3</v>
      </c>
      <c r="L3738" s="2">
        <v>1.4E-3</v>
      </c>
      <c r="M3738" s="2">
        <v>4.0000000000000002E-4</v>
      </c>
      <c r="N3738">
        <v>1636</v>
      </c>
    </row>
    <row r="3739" spans="1:14" x14ac:dyDescent="0.35">
      <c r="A3739" t="s">
        <v>227</v>
      </c>
      <c r="B3739" t="s">
        <v>234</v>
      </c>
      <c r="C3739" t="s">
        <v>1277</v>
      </c>
      <c r="D3739" s="2">
        <v>0.1116</v>
      </c>
      <c r="E3739" s="2">
        <v>0.1166</v>
      </c>
      <c r="F3739" s="2">
        <v>4.2000000000000003E-2</v>
      </c>
      <c r="G3739" s="2">
        <v>0.18160000000000001</v>
      </c>
      <c r="H3739" s="2">
        <v>0.21829999999999999</v>
      </c>
      <c r="I3739" s="2">
        <v>4.0800000000000003E-2</v>
      </c>
      <c r="J3739" s="2">
        <v>0.1759</v>
      </c>
      <c r="K3739" s="2">
        <v>0.20780000000000001</v>
      </c>
      <c r="L3739" s="2">
        <v>0.1414</v>
      </c>
      <c r="M3739" s="2">
        <v>9.8199999999999996E-2</v>
      </c>
      <c r="N3739">
        <v>1636</v>
      </c>
    </row>
    <row r="3740" spans="1:14" x14ac:dyDescent="0.35">
      <c r="A3740" t="s">
        <v>227</v>
      </c>
      <c r="B3740" t="s">
        <v>234</v>
      </c>
      <c r="C3740" t="s">
        <v>299</v>
      </c>
      <c r="D3740" s="2">
        <v>4.5499999999999999E-2</v>
      </c>
      <c r="E3740" s="2">
        <v>0.40989999999999999</v>
      </c>
      <c r="F3740" s="2">
        <v>0.11990000000000001</v>
      </c>
      <c r="G3740" s="2">
        <v>0.17050000000000001</v>
      </c>
      <c r="H3740" s="2">
        <v>2.0400000000000001E-2</v>
      </c>
      <c r="I3740" s="2">
        <v>0.31190000000000001</v>
      </c>
      <c r="J3740" s="2">
        <v>1.0999999999999999E-2</v>
      </c>
      <c r="K3740" s="2">
        <v>4.1000000000000003E-3</v>
      </c>
      <c r="L3740" s="2">
        <v>1.95E-2</v>
      </c>
      <c r="M3740" s="2">
        <v>5.7000000000000002E-3</v>
      </c>
      <c r="N3740">
        <v>1636</v>
      </c>
    </row>
    <row r="3741" spans="1:14" x14ac:dyDescent="0.35">
      <c r="A3741" t="s">
        <v>228</v>
      </c>
      <c r="B3741" t="s">
        <v>228</v>
      </c>
      <c r="C3741" t="s">
        <v>1275</v>
      </c>
      <c r="D3741" s="2">
        <v>0.81079999999999997</v>
      </c>
      <c r="E3741" s="2">
        <v>0.38419999999999999</v>
      </c>
      <c r="F3741" s="2">
        <v>0.80230000000000001</v>
      </c>
      <c r="G3741" s="2">
        <v>0.60229999999999995</v>
      </c>
      <c r="H3741" s="2">
        <v>0.74029999999999996</v>
      </c>
      <c r="I3741" s="2">
        <v>0.63570000000000004</v>
      </c>
      <c r="J3741" s="2">
        <v>0.82030000000000003</v>
      </c>
      <c r="K3741" s="2">
        <v>0.78349999999999997</v>
      </c>
      <c r="L3741" s="2">
        <v>0.83460000000000001</v>
      </c>
      <c r="M3741" s="2">
        <v>0.89729999999999999</v>
      </c>
      <c r="N3741">
        <v>2546</v>
      </c>
    </row>
    <row r="3742" spans="1:14" x14ac:dyDescent="0.35">
      <c r="A3742" t="s">
        <v>228</v>
      </c>
      <c r="B3742" t="s">
        <v>228</v>
      </c>
      <c r="C3742" t="s">
        <v>1276</v>
      </c>
      <c r="D3742" s="2">
        <v>2.1100000000000001E-2</v>
      </c>
      <c r="E3742" s="2">
        <v>6.2899999999999998E-2</v>
      </c>
      <c r="F3742" s="2">
        <v>1.17E-2</v>
      </c>
      <c r="G3742" s="2">
        <v>1.9599999999999999E-2</v>
      </c>
      <c r="H3742" s="2">
        <v>2.63E-2</v>
      </c>
      <c r="I3742" s="2">
        <v>7.3000000000000001E-3</v>
      </c>
      <c r="J3742" s="2">
        <v>5.8999999999999999E-3</v>
      </c>
      <c r="K3742" s="2">
        <v>1.14E-2</v>
      </c>
      <c r="L3742" s="2">
        <v>3.0000000000000001E-3</v>
      </c>
      <c r="M3742" s="2">
        <v>4.0000000000000002E-4</v>
      </c>
      <c r="N3742">
        <v>2546</v>
      </c>
    </row>
    <row r="3743" spans="1:14" x14ac:dyDescent="0.35">
      <c r="A3743" t="s">
        <v>228</v>
      </c>
      <c r="B3743" t="s">
        <v>228</v>
      </c>
      <c r="C3743" t="s">
        <v>1277</v>
      </c>
      <c r="D3743" s="2">
        <v>0.12759999999999999</v>
      </c>
      <c r="E3743" s="2">
        <v>0.1409</v>
      </c>
      <c r="F3743" s="2">
        <v>4.8899999999999999E-2</v>
      </c>
      <c r="G3743" s="2">
        <v>0.2019</v>
      </c>
      <c r="H3743" s="2">
        <v>0.2152</v>
      </c>
      <c r="I3743" s="2">
        <v>4.0599999999999997E-2</v>
      </c>
      <c r="J3743" s="2">
        <v>0.1648</v>
      </c>
      <c r="K3743" s="2">
        <v>0.2019</v>
      </c>
      <c r="L3743" s="2">
        <v>0.14050000000000001</v>
      </c>
      <c r="M3743" s="2">
        <v>9.2600000000000002E-2</v>
      </c>
      <c r="N3743">
        <v>2546</v>
      </c>
    </row>
    <row r="3744" spans="1:14" x14ac:dyDescent="0.35">
      <c r="A3744" t="s">
        <v>228</v>
      </c>
      <c r="B3744" t="s">
        <v>228</v>
      </c>
      <c r="C3744" t="s">
        <v>299</v>
      </c>
      <c r="D3744" s="2">
        <v>4.0599999999999997E-2</v>
      </c>
      <c r="E3744" s="2">
        <v>0.41199999999999998</v>
      </c>
      <c r="F3744" s="2">
        <v>0.1371</v>
      </c>
      <c r="G3744" s="2">
        <v>0.17610000000000001</v>
      </c>
      <c r="H3744" s="2">
        <v>1.8200000000000001E-2</v>
      </c>
      <c r="I3744" s="2">
        <v>0.31640000000000001</v>
      </c>
      <c r="J3744" s="2">
        <v>8.9999999999999993E-3</v>
      </c>
      <c r="K3744" s="2">
        <v>3.2000000000000002E-3</v>
      </c>
      <c r="L3744" s="2">
        <v>2.1899999999999999E-2</v>
      </c>
      <c r="M3744" s="2">
        <v>9.7000000000000003E-3</v>
      </c>
      <c r="N3744">
        <v>2546</v>
      </c>
    </row>
    <row r="3746" spans="1:14" x14ac:dyDescent="0.35">
      <c r="A3746" s="1" t="s">
        <v>1287</v>
      </c>
    </row>
    <row r="3747" spans="1:14" x14ac:dyDescent="0.35">
      <c r="A3747" t="s">
        <v>219</v>
      </c>
      <c r="B3747" t="s">
        <v>301</v>
      </c>
      <c r="C3747" t="s">
        <v>1279</v>
      </c>
      <c r="D3747" t="s">
        <v>1280</v>
      </c>
      <c r="E3747" t="s">
        <v>1281</v>
      </c>
      <c r="F3747" t="s">
        <v>1282</v>
      </c>
      <c r="G3747" t="s">
        <v>1283</v>
      </c>
      <c r="H3747" t="s">
        <v>277</v>
      </c>
      <c r="I3747" t="s">
        <v>226</v>
      </c>
    </row>
    <row r="3748" spans="1:14" x14ac:dyDescent="0.35">
      <c r="A3748" t="s">
        <v>227</v>
      </c>
      <c r="B3748" t="s">
        <v>235</v>
      </c>
      <c r="C3748" s="2">
        <v>0.48199999999999998</v>
      </c>
      <c r="D3748" s="2">
        <v>0.46179999999999999</v>
      </c>
      <c r="E3748" s="2">
        <v>0.2928</v>
      </c>
      <c r="F3748" s="2">
        <v>8.5099999999999995E-2</v>
      </c>
      <c r="G3748" s="2">
        <v>0.10249999999999999</v>
      </c>
      <c r="H3748" s="2">
        <v>5.0799999999999998E-2</v>
      </c>
      <c r="I3748">
        <v>527</v>
      </c>
    </row>
    <row r="3749" spans="1:14" x14ac:dyDescent="0.35">
      <c r="A3749" t="s">
        <v>227</v>
      </c>
      <c r="B3749" t="s">
        <v>234</v>
      </c>
      <c r="C3749" s="2">
        <v>0.45229999999999998</v>
      </c>
      <c r="D3749" s="2">
        <v>0.45329999999999998</v>
      </c>
      <c r="E3749" s="2">
        <v>0.33950000000000002</v>
      </c>
      <c r="F3749" s="2">
        <v>0.1013</v>
      </c>
      <c r="G3749" s="2">
        <v>9.2799999999999994E-2</v>
      </c>
      <c r="H3749" s="2">
        <v>2.6599999999999999E-2</v>
      </c>
      <c r="I3749">
        <v>897</v>
      </c>
    </row>
    <row r="3750" spans="1:14" x14ac:dyDescent="0.35">
      <c r="A3750" t="s">
        <v>228</v>
      </c>
      <c r="B3750" t="s">
        <v>228</v>
      </c>
      <c r="C3750" s="2">
        <v>0.46189999999999998</v>
      </c>
      <c r="D3750" s="2">
        <v>0.45610000000000001</v>
      </c>
      <c r="E3750" s="2">
        <v>0.32429999999999998</v>
      </c>
      <c r="F3750" s="2">
        <v>9.6000000000000002E-2</v>
      </c>
      <c r="G3750" s="2">
        <v>9.6000000000000002E-2</v>
      </c>
      <c r="H3750" s="2">
        <v>3.4500000000000003E-2</v>
      </c>
      <c r="I3750">
        <v>1424</v>
      </c>
    </row>
    <row r="3752" spans="1:14" x14ac:dyDescent="0.35">
      <c r="A3752" s="1" t="s">
        <v>1288</v>
      </c>
    </row>
    <row r="3753" spans="1:14" x14ac:dyDescent="0.35">
      <c r="A3753" t="s">
        <v>219</v>
      </c>
      <c r="B3753" t="s">
        <v>301</v>
      </c>
      <c r="C3753" t="s">
        <v>1264</v>
      </c>
      <c r="D3753" t="s">
        <v>1265</v>
      </c>
      <c r="E3753" t="s">
        <v>1266</v>
      </c>
      <c r="F3753" t="s">
        <v>1267</v>
      </c>
      <c r="G3753" t="s">
        <v>1268</v>
      </c>
      <c r="H3753" t="s">
        <v>1269</v>
      </c>
      <c r="I3753" t="s">
        <v>1270</v>
      </c>
      <c r="J3753" t="s">
        <v>1271</v>
      </c>
      <c r="K3753" t="s">
        <v>1272</v>
      </c>
      <c r="L3753" t="s">
        <v>1273</v>
      </c>
      <c r="M3753" t="s">
        <v>1274</v>
      </c>
      <c r="N3753" t="s">
        <v>957</v>
      </c>
    </row>
    <row r="3754" spans="1:14" x14ac:dyDescent="0.35">
      <c r="A3754" t="s">
        <v>227</v>
      </c>
      <c r="B3754" t="s">
        <v>240</v>
      </c>
      <c r="C3754" t="s">
        <v>1275</v>
      </c>
      <c r="D3754" s="2">
        <v>0.82920000000000005</v>
      </c>
      <c r="E3754" s="2">
        <v>0.3886</v>
      </c>
      <c r="F3754" s="2">
        <v>0.81840000000000002</v>
      </c>
      <c r="G3754" s="2">
        <v>0.61890000000000001</v>
      </c>
      <c r="H3754" s="2">
        <v>0.76600000000000001</v>
      </c>
      <c r="I3754" s="2">
        <v>0.64990000000000003</v>
      </c>
      <c r="J3754" s="2">
        <v>0.89139999999999997</v>
      </c>
      <c r="K3754" s="2">
        <v>0.81540000000000001</v>
      </c>
      <c r="L3754" s="2">
        <v>0.86199999999999999</v>
      </c>
      <c r="M3754" s="2">
        <v>0.91669999999999996</v>
      </c>
      <c r="N3754">
        <v>1592</v>
      </c>
    </row>
    <row r="3755" spans="1:14" x14ac:dyDescent="0.35">
      <c r="A3755" t="s">
        <v>227</v>
      </c>
      <c r="B3755" t="s">
        <v>240</v>
      </c>
      <c r="C3755" t="s">
        <v>1276</v>
      </c>
      <c r="D3755" s="2">
        <v>2.0400000000000001E-2</v>
      </c>
      <c r="E3755" s="2">
        <v>6.3E-2</v>
      </c>
      <c r="F3755" s="2">
        <v>7.4999999999999997E-3</v>
      </c>
      <c r="G3755" s="2">
        <v>1.77E-2</v>
      </c>
      <c r="H3755" s="2">
        <v>1.95E-2</v>
      </c>
      <c r="I3755" s="2">
        <v>1.12E-2</v>
      </c>
      <c r="J3755" s="2">
        <v>5.7999999999999996E-3</v>
      </c>
      <c r="K3755" s="2">
        <v>8.0999999999999996E-3</v>
      </c>
      <c r="L3755" s="2">
        <v>3.3E-3</v>
      </c>
      <c r="M3755" s="2">
        <v>2.0000000000000001E-4</v>
      </c>
      <c r="N3755">
        <v>1592</v>
      </c>
    </row>
    <row r="3756" spans="1:14" x14ac:dyDescent="0.35">
      <c r="A3756" t="s">
        <v>227</v>
      </c>
      <c r="B3756" t="s">
        <v>240</v>
      </c>
      <c r="C3756" t="s">
        <v>1277</v>
      </c>
      <c r="D3756" s="2">
        <v>0.1071</v>
      </c>
      <c r="E3756" s="2">
        <v>0.1154</v>
      </c>
      <c r="F3756" s="2">
        <v>3.6700000000000003E-2</v>
      </c>
      <c r="G3756" s="2">
        <v>0.1666</v>
      </c>
      <c r="H3756" s="2">
        <v>0.19209999999999999</v>
      </c>
      <c r="I3756" s="2">
        <v>2.7400000000000001E-2</v>
      </c>
      <c r="J3756" s="2">
        <v>9.2899999999999996E-2</v>
      </c>
      <c r="K3756" s="2">
        <v>0.1734</v>
      </c>
      <c r="L3756" s="2">
        <v>0.1094</v>
      </c>
      <c r="M3756" s="2">
        <v>7.4200000000000002E-2</v>
      </c>
      <c r="N3756">
        <v>1592</v>
      </c>
    </row>
    <row r="3757" spans="1:14" x14ac:dyDescent="0.35">
      <c r="A3757" t="s">
        <v>227</v>
      </c>
      <c r="B3757" t="s">
        <v>240</v>
      </c>
      <c r="C3757" t="s">
        <v>299</v>
      </c>
      <c r="D3757" s="2">
        <v>4.3299999999999998E-2</v>
      </c>
      <c r="E3757" s="2">
        <v>0.43290000000000001</v>
      </c>
      <c r="F3757" s="2">
        <v>0.13739999999999999</v>
      </c>
      <c r="G3757" s="2">
        <v>0.1968</v>
      </c>
      <c r="H3757" s="2">
        <v>2.24E-2</v>
      </c>
      <c r="I3757" s="2">
        <v>0.3115</v>
      </c>
      <c r="J3757" s="2">
        <v>9.9000000000000008E-3</v>
      </c>
      <c r="K3757" s="2">
        <v>3.2000000000000002E-3</v>
      </c>
      <c r="L3757" s="2">
        <v>2.5399999999999999E-2</v>
      </c>
      <c r="M3757" s="2">
        <v>8.8999999999999999E-3</v>
      </c>
      <c r="N3757">
        <v>1592</v>
      </c>
    </row>
    <row r="3758" spans="1:14" x14ac:dyDescent="0.35">
      <c r="A3758" t="s">
        <v>227</v>
      </c>
      <c r="B3758" t="s">
        <v>241</v>
      </c>
      <c r="C3758" t="s">
        <v>1275</v>
      </c>
      <c r="D3758" s="2">
        <v>0.78190000000000004</v>
      </c>
      <c r="E3758" s="2">
        <v>0.3931</v>
      </c>
      <c r="F3758" s="2">
        <v>0.79800000000000004</v>
      </c>
      <c r="G3758" s="2">
        <v>0.57269999999999999</v>
      </c>
      <c r="H3758" s="2">
        <v>0.67269999999999996</v>
      </c>
      <c r="I3758" s="2">
        <v>0.59719999999999995</v>
      </c>
      <c r="J3758" s="2">
        <v>0.63739999999999997</v>
      </c>
      <c r="K3758" s="2">
        <v>0.72729999999999995</v>
      </c>
      <c r="L3758" s="2">
        <v>0.77790000000000004</v>
      </c>
      <c r="M3758" s="2">
        <v>0.85060000000000002</v>
      </c>
      <c r="N3758">
        <v>802</v>
      </c>
    </row>
    <row r="3759" spans="1:14" x14ac:dyDescent="0.35">
      <c r="A3759" t="s">
        <v>227</v>
      </c>
      <c r="B3759" t="s">
        <v>241</v>
      </c>
      <c r="C3759" t="s">
        <v>1276</v>
      </c>
      <c r="D3759" s="2">
        <v>2.6700000000000002E-2</v>
      </c>
      <c r="E3759" s="2">
        <v>6.9400000000000003E-2</v>
      </c>
      <c r="F3759" s="2">
        <v>2.0299999999999999E-2</v>
      </c>
      <c r="G3759" s="2">
        <v>2.4400000000000002E-2</v>
      </c>
      <c r="H3759" s="2">
        <v>4.1700000000000001E-2</v>
      </c>
      <c r="I3759" s="2">
        <v>2.9999999999999997E-4</v>
      </c>
      <c r="J3759" s="2">
        <v>7.4000000000000003E-3</v>
      </c>
      <c r="K3759" s="2">
        <v>2.18E-2</v>
      </c>
      <c r="L3759" s="2">
        <v>2.2000000000000001E-3</v>
      </c>
      <c r="M3759" s="2">
        <v>8.9999999999999998E-4</v>
      </c>
      <c r="N3759">
        <v>802</v>
      </c>
    </row>
    <row r="3760" spans="1:14" x14ac:dyDescent="0.35">
      <c r="A3760" t="s">
        <v>227</v>
      </c>
      <c r="B3760" t="s">
        <v>241</v>
      </c>
      <c r="C3760" t="s">
        <v>1277</v>
      </c>
      <c r="D3760" s="2">
        <v>0.1696</v>
      </c>
      <c r="E3760" s="2">
        <v>0.19550000000000001</v>
      </c>
      <c r="F3760" s="2">
        <v>7.9699999999999993E-2</v>
      </c>
      <c r="G3760" s="2">
        <v>0.28689999999999999</v>
      </c>
      <c r="H3760" s="2">
        <v>0.27429999999999999</v>
      </c>
      <c r="I3760" s="2">
        <v>6.9199999999999998E-2</v>
      </c>
      <c r="J3760" s="2">
        <v>0.34949999999999998</v>
      </c>
      <c r="K3760" s="2">
        <v>0.24729999999999999</v>
      </c>
      <c r="L3760" s="2">
        <v>0.21390000000000001</v>
      </c>
      <c r="M3760" s="2">
        <v>0.13780000000000001</v>
      </c>
      <c r="N3760">
        <v>802</v>
      </c>
    </row>
    <row r="3761" spans="1:14" x14ac:dyDescent="0.35">
      <c r="A3761" t="s">
        <v>227</v>
      </c>
      <c r="B3761" t="s">
        <v>241</v>
      </c>
      <c r="C3761" t="s">
        <v>299</v>
      </c>
      <c r="D3761" s="2">
        <v>2.18E-2</v>
      </c>
      <c r="E3761" s="2">
        <v>0.34200000000000003</v>
      </c>
      <c r="F3761" s="2">
        <v>0.1019</v>
      </c>
      <c r="G3761" s="2">
        <v>0.11600000000000001</v>
      </c>
      <c r="H3761" s="2">
        <v>1.12E-2</v>
      </c>
      <c r="I3761" s="2">
        <v>0.33329999999999999</v>
      </c>
      <c r="J3761" s="2">
        <v>5.7000000000000002E-3</v>
      </c>
      <c r="K3761" s="2">
        <v>3.5999999999999999E-3</v>
      </c>
      <c r="L3761" s="2">
        <v>6.1000000000000004E-3</v>
      </c>
      <c r="M3761" s="2">
        <v>1.06E-2</v>
      </c>
      <c r="N3761">
        <v>802</v>
      </c>
    </row>
    <row r="3762" spans="1:14" x14ac:dyDescent="0.35">
      <c r="A3762" t="s">
        <v>227</v>
      </c>
      <c r="B3762" t="s">
        <v>242</v>
      </c>
      <c r="C3762" t="s">
        <v>1275</v>
      </c>
      <c r="D3762" s="2">
        <v>0.753</v>
      </c>
      <c r="E3762" s="2">
        <v>0.30209999999999998</v>
      </c>
      <c r="F3762" s="2">
        <v>0.66180000000000005</v>
      </c>
      <c r="G3762" s="2">
        <v>0.56520000000000004</v>
      </c>
      <c r="H3762" s="2">
        <v>0.77739999999999998</v>
      </c>
      <c r="I3762" s="2">
        <v>0.66069999999999995</v>
      </c>
      <c r="J3762" s="2">
        <v>0.90549999999999997</v>
      </c>
      <c r="K3762" s="2">
        <v>0.71099999999999997</v>
      </c>
      <c r="L3762" s="2">
        <v>0.80820000000000003</v>
      </c>
      <c r="M3762" s="2">
        <v>0.90580000000000005</v>
      </c>
      <c r="N3762">
        <v>152</v>
      </c>
    </row>
    <row r="3763" spans="1:14" x14ac:dyDescent="0.35">
      <c r="A3763" t="s">
        <v>227</v>
      </c>
      <c r="B3763" t="s">
        <v>242</v>
      </c>
      <c r="C3763" t="s">
        <v>1276</v>
      </c>
      <c r="D3763" s="2">
        <v>3.8E-3</v>
      </c>
      <c r="E3763" s="2">
        <v>3.3599999999999998E-2</v>
      </c>
      <c r="F3763" s="2">
        <v>1.67E-2</v>
      </c>
      <c r="G3763" s="2">
        <v>1.77E-2</v>
      </c>
      <c r="H3763" s="2">
        <v>2.69E-2</v>
      </c>
      <c r="L3763" s="2">
        <v>3.8E-3</v>
      </c>
      <c r="N3763">
        <v>152</v>
      </c>
    </row>
    <row r="3764" spans="1:14" x14ac:dyDescent="0.35">
      <c r="A3764" t="s">
        <v>227</v>
      </c>
      <c r="B3764" t="s">
        <v>242</v>
      </c>
      <c r="C3764" t="s">
        <v>1277</v>
      </c>
      <c r="D3764" s="2">
        <v>0.14860000000000001</v>
      </c>
      <c r="E3764" s="2">
        <v>0.1575</v>
      </c>
      <c r="F3764" s="2">
        <v>3.6600000000000001E-2</v>
      </c>
      <c r="G3764" s="2">
        <v>0.19009999999999999</v>
      </c>
      <c r="H3764" s="2">
        <v>0.18920000000000001</v>
      </c>
      <c r="I3764" s="2">
        <v>4.8000000000000001E-2</v>
      </c>
      <c r="J3764" s="2">
        <v>8.0500000000000002E-2</v>
      </c>
      <c r="K3764" s="2">
        <v>0.28770000000000001</v>
      </c>
      <c r="L3764" s="2">
        <v>0.13239999999999999</v>
      </c>
      <c r="M3764" s="2">
        <v>7.9899999999999999E-2</v>
      </c>
      <c r="N3764">
        <v>152</v>
      </c>
    </row>
    <row r="3765" spans="1:14" x14ac:dyDescent="0.35">
      <c r="A3765" t="s">
        <v>227</v>
      </c>
      <c r="B3765" t="s">
        <v>242</v>
      </c>
      <c r="C3765" t="s">
        <v>299</v>
      </c>
      <c r="D3765" s="2">
        <v>9.4600000000000004E-2</v>
      </c>
      <c r="E3765" s="2">
        <v>0.50670000000000004</v>
      </c>
      <c r="F3765" s="2">
        <v>0.28489999999999999</v>
      </c>
      <c r="G3765" s="2">
        <v>0.22689999999999999</v>
      </c>
      <c r="H3765" s="2">
        <v>6.4999999999999997E-3</v>
      </c>
      <c r="I3765" s="2">
        <v>0.29139999999999999</v>
      </c>
      <c r="J3765" s="2">
        <v>1.4E-2</v>
      </c>
      <c r="K3765" s="2">
        <v>1.4E-3</v>
      </c>
      <c r="L3765" s="2">
        <v>5.5599999999999997E-2</v>
      </c>
      <c r="M3765" s="2">
        <v>1.43E-2</v>
      </c>
      <c r="N3765">
        <v>152</v>
      </c>
    </row>
    <row r="3766" spans="1:14" x14ac:dyDescent="0.35">
      <c r="A3766" t="s">
        <v>228</v>
      </c>
      <c r="B3766" t="s">
        <v>228</v>
      </c>
      <c r="C3766" t="s">
        <v>1275</v>
      </c>
      <c r="D3766" s="2">
        <v>0.81079999999999997</v>
      </c>
      <c r="E3766" s="2">
        <v>0.38419999999999999</v>
      </c>
      <c r="F3766" s="2">
        <v>0.80230000000000001</v>
      </c>
      <c r="G3766" s="2">
        <v>0.60229999999999995</v>
      </c>
      <c r="H3766" s="2">
        <v>0.74029999999999996</v>
      </c>
      <c r="I3766" s="2">
        <v>0.63570000000000004</v>
      </c>
      <c r="J3766" s="2">
        <v>0.82030000000000003</v>
      </c>
      <c r="K3766" s="2">
        <v>0.78349999999999997</v>
      </c>
      <c r="L3766" s="2">
        <v>0.83460000000000001</v>
      </c>
      <c r="M3766" s="2">
        <v>0.89729999999999999</v>
      </c>
      <c r="N3766">
        <v>2546</v>
      </c>
    </row>
    <row r="3767" spans="1:14" x14ac:dyDescent="0.35">
      <c r="A3767" t="s">
        <v>228</v>
      </c>
      <c r="B3767" t="s">
        <v>228</v>
      </c>
      <c r="C3767" t="s">
        <v>1276</v>
      </c>
      <c r="D3767" s="2">
        <v>2.1100000000000001E-2</v>
      </c>
      <c r="E3767" s="2">
        <v>6.2899999999999998E-2</v>
      </c>
      <c r="F3767" s="2">
        <v>1.17E-2</v>
      </c>
      <c r="G3767" s="2">
        <v>1.9599999999999999E-2</v>
      </c>
      <c r="H3767" s="2">
        <v>2.63E-2</v>
      </c>
      <c r="I3767" s="2">
        <v>7.3000000000000001E-3</v>
      </c>
      <c r="J3767" s="2">
        <v>5.8999999999999999E-3</v>
      </c>
      <c r="K3767" s="2">
        <v>1.14E-2</v>
      </c>
      <c r="L3767" s="2">
        <v>3.0000000000000001E-3</v>
      </c>
      <c r="M3767" s="2">
        <v>4.0000000000000002E-4</v>
      </c>
      <c r="N3767">
        <v>2546</v>
      </c>
    </row>
    <row r="3768" spans="1:14" x14ac:dyDescent="0.35">
      <c r="A3768" t="s">
        <v>228</v>
      </c>
      <c r="B3768" t="s">
        <v>228</v>
      </c>
      <c r="C3768" t="s">
        <v>1277</v>
      </c>
      <c r="D3768" s="2">
        <v>0.12759999999999999</v>
      </c>
      <c r="E3768" s="2">
        <v>0.1409</v>
      </c>
      <c r="F3768" s="2">
        <v>4.8899999999999999E-2</v>
      </c>
      <c r="G3768" s="2">
        <v>0.2019</v>
      </c>
      <c r="H3768" s="2">
        <v>0.2152</v>
      </c>
      <c r="I3768" s="2">
        <v>4.0599999999999997E-2</v>
      </c>
      <c r="J3768" s="2">
        <v>0.1648</v>
      </c>
      <c r="K3768" s="2">
        <v>0.2019</v>
      </c>
      <c r="L3768" s="2">
        <v>0.14050000000000001</v>
      </c>
      <c r="M3768" s="2">
        <v>9.2600000000000002E-2</v>
      </c>
      <c r="N3768">
        <v>2546</v>
      </c>
    </row>
    <row r="3769" spans="1:14" x14ac:dyDescent="0.35">
      <c r="A3769" t="s">
        <v>228</v>
      </c>
      <c r="B3769" t="s">
        <v>228</v>
      </c>
      <c r="C3769" t="s">
        <v>299</v>
      </c>
      <c r="D3769" s="2">
        <v>4.0599999999999997E-2</v>
      </c>
      <c r="E3769" s="2">
        <v>0.41199999999999998</v>
      </c>
      <c r="F3769" s="2">
        <v>0.1371</v>
      </c>
      <c r="G3769" s="2">
        <v>0.17610000000000001</v>
      </c>
      <c r="H3769" s="2">
        <v>1.8200000000000001E-2</v>
      </c>
      <c r="I3769" s="2">
        <v>0.31640000000000001</v>
      </c>
      <c r="J3769" s="2">
        <v>8.9999999999999993E-3</v>
      </c>
      <c r="K3769" s="2">
        <v>3.2000000000000002E-3</v>
      </c>
      <c r="L3769" s="2">
        <v>2.1899999999999999E-2</v>
      </c>
      <c r="M3769" s="2">
        <v>9.7000000000000003E-3</v>
      </c>
      <c r="N3769">
        <v>2546</v>
      </c>
    </row>
    <row r="3771" spans="1:14" x14ac:dyDescent="0.35">
      <c r="A3771" s="1" t="s">
        <v>1289</v>
      </c>
    </row>
    <row r="3772" spans="1:14" x14ac:dyDescent="0.35">
      <c r="A3772" t="s">
        <v>219</v>
      </c>
      <c r="B3772" t="s">
        <v>301</v>
      </c>
      <c r="C3772" t="s">
        <v>1279</v>
      </c>
      <c r="D3772" t="s">
        <v>1280</v>
      </c>
      <c r="E3772" t="s">
        <v>1281</v>
      </c>
      <c r="F3772" t="s">
        <v>1282</v>
      </c>
      <c r="G3772" t="s">
        <v>1283</v>
      </c>
      <c r="H3772" t="s">
        <v>277</v>
      </c>
      <c r="I3772" t="s">
        <v>226</v>
      </c>
    </row>
    <row r="3773" spans="1:14" x14ac:dyDescent="0.35">
      <c r="A3773" t="s">
        <v>227</v>
      </c>
      <c r="B3773" t="s">
        <v>240</v>
      </c>
      <c r="C3773" s="2">
        <v>0.44259999999999999</v>
      </c>
      <c r="D3773" s="2">
        <v>0.42109999999999997</v>
      </c>
      <c r="E3773" s="2">
        <v>0.32179999999999997</v>
      </c>
      <c r="F3773" s="2">
        <v>9.2899999999999996E-2</v>
      </c>
      <c r="G3773" s="2">
        <v>0.10829999999999999</v>
      </c>
      <c r="H3773" s="2">
        <v>3.4599999999999999E-2</v>
      </c>
      <c r="I3773">
        <v>913</v>
      </c>
    </row>
    <row r="3774" spans="1:14" x14ac:dyDescent="0.35">
      <c r="A3774" t="s">
        <v>227</v>
      </c>
      <c r="B3774" t="s">
        <v>241</v>
      </c>
      <c r="C3774" s="2">
        <v>0.48670000000000002</v>
      </c>
      <c r="D3774" s="2">
        <v>0.51919999999999999</v>
      </c>
      <c r="E3774" s="2">
        <v>0.31119999999999998</v>
      </c>
      <c r="F3774" s="2">
        <v>0.1154</v>
      </c>
      <c r="G3774" s="2">
        <v>3.8800000000000001E-2</v>
      </c>
      <c r="H3774" s="2">
        <v>0.03</v>
      </c>
      <c r="I3774">
        <v>409</v>
      </c>
    </row>
    <row r="3775" spans="1:14" x14ac:dyDescent="0.35">
      <c r="A3775" t="s">
        <v>227</v>
      </c>
      <c r="B3775" t="s">
        <v>242</v>
      </c>
      <c r="C3775" s="2">
        <v>0.5504</v>
      </c>
      <c r="D3775" s="2">
        <v>0.55420000000000003</v>
      </c>
      <c r="E3775" s="2">
        <v>0.39140000000000003</v>
      </c>
      <c r="F3775" s="2">
        <v>5.7599999999999998E-2</v>
      </c>
      <c r="G3775" s="2">
        <v>0.18029999999999999</v>
      </c>
      <c r="H3775" s="2">
        <v>4.8399999999999999E-2</v>
      </c>
      <c r="I3775">
        <v>102</v>
      </c>
    </row>
    <row r="3776" spans="1:14" x14ac:dyDescent="0.35">
      <c r="A3776" t="s">
        <v>228</v>
      </c>
      <c r="B3776" t="s">
        <v>228</v>
      </c>
      <c r="C3776" s="2">
        <v>0.46189999999999998</v>
      </c>
      <c r="D3776" s="2">
        <v>0.45610000000000001</v>
      </c>
      <c r="E3776" s="2">
        <v>0.32429999999999998</v>
      </c>
      <c r="F3776" s="2">
        <v>9.6000000000000002E-2</v>
      </c>
      <c r="G3776" s="2">
        <v>9.6000000000000002E-2</v>
      </c>
      <c r="H3776" s="2">
        <v>3.4500000000000003E-2</v>
      </c>
      <c r="I3776">
        <v>1424</v>
      </c>
    </row>
    <row r="3778" spans="1:14" x14ac:dyDescent="0.35">
      <c r="A3778" s="1" t="s">
        <v>1290</v>
      </c>
    </row>
    <row r="3779" spans="1:14" x14ac:dyDescent="0.35">
      <c r="A3779" t="s">
        <v>219</v>
      </c>
      <c r="B3779" t="s">
        <v>301</v>
      </c>
      <c r="C3779" t="s">
        <v>1264</v>
      </c>
      <c r="D3779" t="s">
        <v>1265</v>
      </c>
      <c r="E3779" t="s">
        <v>1266</v>
      </c>
      <c r="F3779" t="s">
        <v>1267</v>
      </c>
      <c r="G3779" t="s">
        <v>1268</v>
      </c>
      <c r="H3779" t="s">
        <v>1269</v>
      </c>
      <c r="I3779" t="s">
        <v>1270</v>
      </c>
      <c r="J3779" t="s">
        <v>1271</v>
      </c>
      <c r="K3779" t="s">
        <v>1272</v>
      </c>
      <c r="L3779" t="s">
        <v>1273</v>
      </c>
      <c r="M3779" t="s">
        <v>1274</v>
      </c>
      <c r="N3779" t="s">
        <v>957</v>
      </c>
    </row>
    <row r="3780" spans="1:14" x14ac:dyDescent="0.35">
      <c r="A3780" t="s">
        <v>227</v>
      </c>
      <c r="B3780" t="s">
        <v>334</v>
      </c>
      <c r="C3780" t="s">
        <v>1275</v>
      </c>
      <c r="D3780" s="2">
        <v>0.64610000000000001</v>
      </c>
      <c r="E3780" s="2">
        <v>0.28139999999999998</v>
      </c>
      <c r="F3780" s="2">
        <v>0.70299999999999996</v>
      </c>
      <c r="G3780" s="2">
        <v>0.51160000000000005</v>
      </c>
      <c r="H3780" s="2">
        <v>0.60229999999999995</v>
      </c>
      <c r="I3780" s="2">
        <v>0.53779999999999994</v>
      </c>
      <c r="J3780" s="2">
        <v>0.77110000000000001</v>
      </c>
      <c r="K3780" s="2">
        <v>0.65459999999999996</v>
      </c>
      <c r="L3780" s="2">
        <v>0.76500000000000001</v>
      </c>
      <c r="M3780" s="2">
        <v>0.83040000000000003</v>
      </c>
      <c r="N3780">
        <v>560</v>
      </c>
    </row>
    <row r="3781" spans="1:14" x14ac:dyDescent="0.35">
      <c r="A3781" t="s">
        <v>227</v>
      </c>
      <c r="B3781" t="s">
        <v>337</v>
      </c>
      <c r="C3781" t="s">
        <v>299</v>
      </c>
      <c r="D3781" s="2">
        <v>3.2500000000000001E-2</v>
      </c>
      <c r="E3781" s="2">
        <v>0.45889999999999997</v>
      </c>
      <c r="F3781" s="2">
        <v>0.13439999999999999</v>
      </c>
      <c r="G3781" s="2">
        <v>0.16919999999999999</v>
      </c>
      <c r="H3781" s="2">
        <v>2.7400000000000001E-2</v>
      </c>
      <c r="I3781" s="2">
        <v>0.32850000000000001</v>
      </c>
      <c r="J3781" s="2">
        <v>1.1000000000000001E-3</v>
      </c>
      <c r="K3781" s="2">
        <v>6.7999999999999996E-3</v>
      </c>
      <c r="L3781" s="2">
        <v>3.27E-2</v>
      </c>
      <c r="M3781" s="2">
        <v>1.1000000000000001E-3</v>
      </c>
      <c r="N3781">
        <v>545</v>
      </c>
    </row>
    <row r="3782" spans="1:14" x14ac:dyDescent="0.35">
      <c r="A3782" t="s">
        <v>227</v>
      </c>
      <c r="B3782" t="s">
        <v>337</v>
      </c>
      <c r="C3782" t="s">
        <v>1277</v>
      </c>
      <c r="D3782" s="2">
        <v>0.1065</v>
      </c>
      <c r="E3782" s="2">
        <v>0.11600000000000001</v>
      </c>
      <c r="F3782" s="2">
        <v>4.02E-2</v>
      </c>
      <c r="G3782" s="2">
        <v>0.1638</v>
      </c>
      <c r="H3782" s="2">
        <v>0.22059999999999999</v>
      </c>
      <c r="I3782" s="2">
        <v>5.3999999999999999E-2</v>
      </c>
      <c r="J3782" s="2">
        <v>0.14410000000000001</v>
      </c>
      <c r="K3782" s="2">
        <v>0.183</v>
      </c>
      <c r="L3782" s="2">
        <v>0.1188</v>
      </c>
      <c r="M3782" s="2">
        <v>9.0800000000000006E-2</v>
      </c>
      <c r="N3782">
        <v>545</v>
      </c>
    </row>
    <row r="3783" spans="1:14" x14ac:dyDescent="0.35">
      <c r="A3783" t="s">
        <v>227</v>
      </c>
      <c r="B3783" t="s">
        <v>337</v>
      </c>
      <c r="C3783" t="s">
        <v>1276</v>
      </c>
      <c r="D3783" s="2">
        <v>1.03E-2</v>
      </c>
      <c r="E3783" s="2">
        <v>7.1800000000000003E-2</v>
      </c>
      <c r="F3783" s="2">
        <v>5.0000000000000001E-4</v>
      </c>
      <c r="G3783" s="2">
        <v>2.1600000000000001E-2</v>
      </c>
      <c r="H3783" s="2">
        <v>2.63E-2</v>
      </c>
      <c r="I3783" s="2">
        <v>2.0000000000000001E-4</v>
      </c>
      <c r="J3783" s="2">
        <v>9.7999999999999997E-3</v>
      </c>
      <c r="K3783" s="2">
        <v>6.3E-3</v>
      </c>
      <c r="L3783" s="2">
        <v>8.9999999999999998E-4</v>
      </c>
      <c r="N3783">
        <v>545</v>
      </c>
    </row>
    <row r="3784" spans="1:14" x14ac:dyDescent="0.35">
      <c r="A3784" t="s">
        <v>227</v>
      </c>
      <c r="B3784" t="s">
        <v>337</v>
      </c>
      <c r="C3784" t="s">
        <v>1275</v>
      </c>
      <c r="D3784" s="2">
        <v>0.85070000000000001</v>
      </c>
      <c r="E3784" s="2">
        <v>0.35339999999999999</v>
      </c>
      <c r="F3784" s="2">
        <v>0.82489999999999997</v>
      </c>
      <c r="G3784" s="2">
        <v>0.64539999999999997</v>
      </c>
      <c r="H3784" s="2">
        <v>0.7258</v>
      </c>
      <c r="I3784" s="2">
        <v>0.61729999999999996</v>
      </c>
      <c r="J3784" s="2">
        <v>0.84499999999999997</v>
      </c>
      <c r="K3784" s="2">
        <v>0.80389999999999995</v>
      </c>
      <c r="L3784" s="2">
        <v>0.84760000000000002</v>
      </c>
      <c r="M3784" s="2">
        <v>0.90810000000000002</v>
      </c>
      <c r="N3784">
        <v>545</v>
      </c>
    </row>
    <row r="3785" spans="1:14" x14ac:dyDescent="0.35">
      <c r="A3785" t="s">
        <v>227</v>
      </c>
      <c r="B3785" t="s">
        <v>336</v>
      </c>
      <c r="C3785" t="s">
        <v>299</v>
      </c>
      <c r="D3785" s="2">
        <v>4.36E-2</v>
      </c>
      <c r="E3785" s="2">
        <v>0.42830000000000001</v>
      </c>
      <c r="F3785" s="2">
        <v>0.1288</v>
      </c>
      <c r="G3785" s="2">
        <v>0.17080000000000001</v>
      </c>
      <c r="H3785" s="2">
        <v>4.5999999999999999E-3</v>
      </c>
      <c r="I3785" s="2">
        <v>0.36630000000000001</v>
      </c>
      <c r="J3785" s="2">
        <v>9.4000000000000004E-3</v>
      </c>
      <c r="K3785" s="2">
        <v>8.9999999999999998E-4</v>
      </c>
      <c r="L3785" s="2">
        <v>1.2800000000000001E-2</v>
      </c>
      <c r="M3785" s="2">
        <v>8.6999999999999994E-3</v>
      </c>
      <c r="N3785">
        <v>561</v>
      </c>
    </row>
    <row r="3786" spans="1:14" x14ac:dyDescent="0.35">
      <c r="A3786" t="s">
        <v>227</v>
      </c>
      <c r="B3786" t="s">
        <v>336</v>
      </c>
      <c r="C3786" t="s">
        <v>1277</v>
      </c>
      <c r="D3786" s="2">
        <v>0.1686</v>
      </c>
      <c r="E3786" s="2">
        <v>0.19989999999999999</v>
      </c>
      <c r="F3786" s="2">
        <v>7.9299999999999995E-2</v>
      </c>
      <c r="G3786" s="2">
        <v>0.31090000000000001</v>
      </c>
      <c r="H3786" s="2">
        <v>0.27150000000000002</v>
      </c>
      <c r="I3786" s="2">
        <v>5.0799999999999998E-2</v>
      </c>
      <c r="J3786" s="2">
        <v>0.22639999999999999</v>
      </c>
      <c r="K3786" s="2">
        <v>0.2298</v>
      </c>
      <c r="L3786" s="2">
        <v>0.20200000000000001</v>
      </c>
      <c r="M3786" s="2">
        <v>9.9199999999999997E-2</v>
      </c>
      <c r="N3786">
        <v>561</v>
      </c>
    </row>
    <row r="3787" spans="1:14" x14ac:dyDescent="0.35">
      <c r="A3787" t="s">
        <v>227</v>
      </c>
      <c r="B3787" t="s">
        <v>336</v>
      </c>
      <c r="C3787" t="s">
        <v>1275</v>
      </c>
      <c r="D3787" s="2">
        <v>0.76339999999999997</v>
      </c>
      <c r="E3787" s="2">
        <v>0.27850000000000003</v>
      </c>
      <c r="F3787" s="2">
        <v>0.77659999999999996</v>
      </c>
      <c r="G3787" s="2">
        <v>0.49719999999999998</v>
      </c>
      <c r="H3787" s="2">
        <v>0.69130000000000003</v>
      </c>
      <c r="I3787" s="2">
        <v>0.56230000000000002</v>
      </c>
      <c r="J3787" s="2">
        <v>0.75349999999999995</v>
      </c>
      <c r="K3787" s="2">
        <v>0.74470000000000003</v>
      </c>
      <c r="L3787" s="2">
        <v>0.77410000000000001</v>
      </c>
      <c r="M3787" s="2">
        <v>0.89200000000000002</v>
      </c>
      <c r="N3787">
        <v>561</v>
      </c>
    </row>
    <row r="3788" spans="1:14" x14ac:dyDescent="0.35">
      <c r="A3788" t="s">
        <v>227</v>
      </c>
      <c r="B3788" t="s">
        <v>336</v>
      </c>
      <c r="C3788" t="s">
        <v>1276</v>
      </c>
      <c r="D3788" s="2">
        <v>2.4400000000000002E-2</v>
      </c>
      <c r="E3788" s="2">
        <v>9.3299999999999994E-2</v>
      </c>
      <c r="F3788" s="2">
        <v>1.5299999999999999E-2</v>
      </c>
      <c r="G3788" s="2">
        <v>2.1000000000000001E-2</v>
      </c>
      <c r="H3788" s="2">
        <v>3.2599999999999997E-2</v>
      </c>
      <c r="I3788" s="2">
        <v>2.0500000000000001E-2</v>
      </c>
      <c r="J3788" s="2">
        <v>1.0699999999999999E-2</v>
      </c>
      <c r="K3788" s="2">
        <v>2.4500000000000001E-2</v>
      </c>
      <c r="L3788" s="2">
        <v>1.11E-2</v>
      </c>
      <c r="M3788" s="2">
        <v>2.0000000000000001E-4</v>
      </c>
      <c r="N3788">
        <v>561</v>
      </c>
    </row>
    <row r="3789" spans="1:14" x14ac:dyDescent="0.35">
      <c r="A3789" t="s">
        <v>227</v>
      </c>
      <c r="B3789" t="s">
        <v>335</v>
      </c>
      <c r="C3789" t="s">
        <v>1277</v>
      </c>
      <c r="D3789" s="2">
        <v>5.8299999999999998E-2</v>
      </c>
      <c r="E3789" s="2">
        <v>6.9800000000000001E-2</v>
      </c>
      <c r="F3789" s="2">
        <v>1.37E-2</v>
      </c>
      <c r="G3789" s="2">
        <v>0.11459999999999999</v>
      </c>
      <c r="H3789" s="2">
        <v>0.1123</v>
      </c>
      <c r="I3789" s="2">
        <v>1.6799999999999999E-2</v>
      </c>
      <c r="J3789" s="2">
        <v>0.12909999999999999</v>
      </c>
      <c r="K3789" s="2">
        <v>0.13739999999999999</v>
      </c>
      <c r="L3789" s="2">
        <v>9.35E-2</v>
      </c>
      <c r="M3789" s="2">
        <v>7.1800000000000003E-2</v>
      </c>
      <c r="N3789">
        <v>572</v>
      </c>
    </row>
    <row r="3790" spans="1:14" x14ac:dyDescent="0.35">
      <c r="A3790" t="s">
        <v>227</v>
      </c>
      <c r="B3790" t="s">
        <v>335</v>
      </c>
      <c r="C3790" t="s">
        <v>1276</v>
      </c>
      <c r="D3790" s="2">
        <v>9.1000000000000004E-3</v>
      </c>
      <c r="E3790" s="2">
        <v>3.1899999999999998E-2</v>
      </c>
      <c r="F3790" s="2">
        <v>8.9999999999999993E-3</v>
      </c>
      <c r="G3790" s="2">
        <v>8.5000000000000006E-3</v>
      </c>
      <c r="H3790" s="2">
        <v>1.66E-2</v>
      </c>
      <c r="I3790" s="2">
        <v>5.1000000000000004E-3</v>
      </c>
      <c r="J3790" s="2">
        <v>2.3999999999999998E-3</v>
      </c>
      <c r="K3790" s="2">
        <v>6.1999999999999998E-3</v>
      </c>
      <c r="L3790" s="2">
        <v>2.0000000000000001E-4</v>
      </c>
      <c r="M3790" s="2">
        <v>2.0000000000000001E-4</v>
      </c>
      <c r="N3790">
        <v>572</v>
      </c>
    </row>
    <row r="3791" spans="1:14" x14ac:dyDescent="0.35">
      <c r="A3791" t="s">
        <v>227</v>
      </c>
      <c r="B3791" t="s">
        <v>335</v>
      </c>
      <c r="C3791" t="s">
        <v>1275</v>
      </c>
      <c r="D3791" s="2">
        <v>0.90300000000000002</v>
      </c>
      <c r="E3791" s="2">
        <v>0.51829999999999998</v>
      </c>
      <c r="F3791" s="2">
        <v>0.85340000000000005</v>
      </c>
      <c r="G3791" s="2">
        <v>0.65820000000000001</v>
      </c>
      <c r="H3791" s="2">
        <v>0.84819999999999995</v>
      </c>
      <c r="I3791" s="2">
        <v>0.754</v>
      </c>
      <c r="J3791" s="2">
        <v>0.86409999999999998</v>
      </c>
      <c r="K3791" s="2">
        <v>0.85160000000000002</v>
      </c>
      <c r="L3791" s="2">
        <v>0.88560000000000005</v>
      </c>
      <c r="M3791" s="2">
        <v>0.91900000000000004</v>
      </c>
      <c r="N3791">
        <v>572</v>
      </c>
    </row>
    <row r="3792" spans="1:14" x14ac:dyDescent="0.35">
      <c r="A3792" t="s">
        <v>227</v>
      </c>
      <c r="B3792" t="s">
        <v>334</v>
      </c>
      <c r="C3792" t="s">
        <v>299</v>
      </c>
      <c r="D3792" s="2">
        <v>5.9400000000000001E-2</v>
      </c>
      <c r="E3792" s="2">
        <v>0.40629999999999999</v>
      </c>
      <c r="F3792" s="2">
        <v>0.18779999999999999</v>
      </c>
      <c r="G3792" s="2">
        <v>0.1348</v>
      </c>
      <c r="H3792" s="2">
        <v>1.78E-2</v>
      </c>
      <c r="I3792" s="2">
        <v>0.39989999999999998</v>
      </c>
      <c r="J3792" s="2">
        <v>2.06E-2</v>
      </c>
      <c r="K3792" s="2">
        <v>8.9999999999999998E-4</v>
      </c>
      <c r="L3792" s="2">
        <v>1.8499999999999999E-2</v>
      </c>
      <c r="M3792" s="2">
        <v>2.3099999999999999E-2</v>
      </c>
      <c r="N3792">
        <v>560</v>
      </c>
    </row>
    <row r="3793" spans="1:14" x14ac:dyDescent="0.35">
      <c r="A3793" t="s">
        <v>227</v>
      </c>
      <c r="B3793" t="s">
        <v>334</v>
      </c>
      <c r="C3793" t="s">
        <v>1277</v>
      </c>
      <c r="D3793" s="2">
        <v>0.2455</v>
      </c>
      <c r="E3793" s="2">
        <v>0.23910000000000001</v>
      </c>
      <c r="F3793" s="2">
        <v>8.5099999999999995E-2</v>
      </c>
      <c r="G3793" s="2">
        <v>0.31769999999999998</v>
      </c>
      <c r="H3793" s="2">
        <v>0.3417</v>
      </c>
      <c r="I3793" s="2">
        <v>5.8400000000000001E-2</v>
      </c>
      <c r="J3793" s="2">
        <v>0.20680000000000001</v>
      </c>
      <c r="K3793" s="2">
        <v>0.3281</v>
      </c>
      <c r="L3793" s="2">
        <v>0.2165</v>
      </c>
      <c r="M3793" s="2">
        <v>0.1449</v>
      </c>
      <c r="N3793">
        <v>560</v>
      </c>
    </row>
    <row r="3794" spans="1:14" x14ac:dyDescent="0.35">
      <c r="A3794" t="s">
        <v>227</v>
      </c>
      <c r="B3794" t="s">
        <v>334</v>
      </c>
      <c r="C3794" t="s">
        <v>1276</v>
      </c>
      <c r="D3794" s="2">
        <v>4.8899999999999999E-2</v>
      </c>
      <c r="E3794" s="2">
        <v>7.3099999999999998E-2</v>
      </c>
      <c r="F3794" s="2">
        <v>2.41E-2</v>
      </c>
      <c r="G3794" s="2">
        <v>3.5900000000000001E-2</v>
      </c>
      <c r="H3794" s="2">
        <v>3.8199999999999998E-2</v>
      </c>
      <c r="I3794" s="2">
        <v>3.8999999999999998E-3</v>
      </c>
      <c r="J3794" s="2">
        <v>1.5E-3</v>
      </c>
      <c r="K3794" s="2">
        <v>1.6400000000000001E-2</v>
      </c>
      <c r="M3794" s="2">
        <v>1.6000000000000001E-3</v>
      </c>
      <c r="N3794">
        <v>560</v>
      </c>
    </row>
    <row r="3795" spans="1:14" x14ac:dyDescent="0.35">
      <c r="A3795" t="s">
        <v>227</v>
      </c>
      <c r="B3795" t="s">
        <v>335</v>
      </c>
      <c r="C3795" t="s">
        <v>299</v>
      </c>
      <c r="D3795" s="2">
        <v>2.9499999999999998E-2</v>
      </c>
      <c r="E3795" s="2">
        <v>0.38</v>
      </c>
      <c r="F3795" s="2">
        <v>0.124</v>
      </c>
      <c r="G3795" s="2">
        <v>0.21870000000000001</v>
      </c>
      <c r="H3795" s="2">
        <v>2.29E-2</v>
      </c>
      <c r="I3795" s="2">
        <v>0.22409999999999999</v>
      </c>
      <c r="J3795" s="2">
        <v>4.4999999999999997E-3</v>
      </c>
      <c r="K3795" s="2">
        <v>4.7999999999999996E-3</v>
      </c>
      <c r="L3795" s="2">
        <v>2.0799999999999999E-2</v>
      </c>
      <c r="M3795" s="2">
        <v>8.9999999999999993E-3</v>
      </c>
      <c r="N3795">
        <v>572</v>
      </c>
    </row>
    <row r="3796" spans="1:14" x14ac:dyDescent="0.35">
      <c r="A3796" t="s">
        <v>228</v>
      </c>
      <c r="B3796" t="s">
        <v>228</v>
      </c>
      <c r="C3796" t="s">
        <v>1277</v>
      </c>
      <c r="D3796" s="2">
        <v>0.12759999999999999</v>
      </c>
      <c r="E3796" s="2">
        <v>0.1409</v>
      </c>
      <c r="F3796" s="2">
        <v>4.8899999999999999E-2</v>
      </c>
      <c r="G3796" s="2">
        <v>0.2019</v>
      </c>
      <c r="H3796" s="2">
        <v>0.2152</v>
      </c>
      <c r="I3796" s="2">
        <v>4.0599999999999997E-2</v>
      </c>
      <c r="J3796" s="2">
        <v>0.1648</v>
      </c>
      <c r="K3796" s="2">
        <v>0.2019</v>
      </c>
      <c r="L3796" s="2">
        <v>0.14050000000000001</v>
      </c>
      <c r="M3796" s="2">
        <v>9.2600000000000002E-2</v>
      </c>
      <c r="N3796">
        <v>2546</v>
      </c>
    </row>
    <row r="3797" spans="1:14" x14ac:dyDescent="0.35">
      <c r="A3797" t="s">
        <v>228</v>
      </c>
      <c r="B3797" t="s">
        <v>228</v>
      </c>
      <c r="C3797" t="s">
        <v>1275</v>
      </c>
      <c r="D3797" s="2">
        <v>0.81079999999999997</v>
      </c>
      <c r="E3797" s="2">
        <v>0.38419999999999999</v>
      </c>
      <c r="F3797" s="2">
        <v>0.80230000000000001</v>
      </c>
      <c r="G3797" s="2">
        <v>0.60229999999999995</v>
      </c>
      <c r="H3797" s="2">
        <v>0.74029999999999996</v>
      </c>
      <c r="I3797" s="2">
        <v>0.63570000000000004</v>
      </c>
      <c r="J3797" s="2">
        <v>0.82030000000000003</v>
      </c>
      <c r="K3797" s="2">
        <v>0.78349999999999997</v>
      </c>
      <c r="L3797" s="2">
        <v>0.83460000000000001</v>
      </c>
      <c r="M3797" s="2">
        <v>0.89729999999999999</v>
      </c>
      <c r="N3797">
        <v>2546</v>
      </c>
    </row>
    <row r="3798" spans="1:14" x14ac:dyDescent="0.35">
      <c r="A3798" t="s">
        <v>228</v>
      </c>
      <c r="B3798" t="s">
        <v>228</v>
      </c>
      <c r="C3798" t="s">
        <v>1276</v>
      </c>
      <c r="D3798" s="2">
        <v>2.1100000000000001E-2</v>
      </c>
      <c r="E3798" s="2">
        <v>6.2899999999999998E-2</v>
      </c>
      <c r="F3798" s="2">
        <v>1.17E-2</v>
      </c>
      <c r="G3798" s="2">
        <v>1.9599999999999999E-2</v>
      </c>
      <c r="H3798" s="2">
        <v>2.63E-2</v>
      </c>
      <c r="I3798" s="2">
        <v>7.3000000000000001E-3</v>
      </c>
      <c r="J3798" s="2">
        <v>5.8999999999999999E-3</v>
      </c>
      <c r="K3798" s="2">
        <v>1.14E-2</v>
      </c>
      <c r="L3798" s="2">
        <v>3.0000000000000001E-3</v>
      </c>
      <c r="M3798" s="2">
        <v>4.0000000000000002E-4</v>
      </c>
      <c r="N3798">
        <v>2546</v>
      </c>
    </row>
    <row r="3799" spans="1:14" x14ac:dyDescent="0.35">
      <c r="A3799" t="s">
        <v>228</v>
      </c>
      <c r="B3799" t="s">
        <v>228</v>
      </c>
      <c r="C3799" t="s">
        <v>299</v>
      </c>
      <c r="D3799" s="2">
        <v>4.0599999999999997E-2</v>
      </c>
      <c r="E3799" s="2">
        <v>0.41199999999999998</v>
      </c>
      <c r="F3799" s="2">
        <v>0.1371</v>
      </c>
      <c r="G3799" s="2">
        <v>0.17610000000000001</v>
      </c>
      <c r="H3799" s="2">
        <v>1.8200000000000001E-2</v>
      </c>
      <c r="I3799" s="2">
        <v>0.31640000000000001</v>
      </c>
      <c r="J3799" s="2">
        <v>8.9999999999999993E-3</v>
      </c>
      <c r="K3799" s="2">
        <v>3.2000000000000002E-3</v>
      </c>
      <c r="L3799" s="2">
        <v>2.1899999999999999E-2</v>
      </c>
      <c r="M3799" s="2">
        <v>9.7000000000000003E-3</v>
      </c>
      <c r="N3799">
        <v>2546</v>
      </c>
    </row>
    <row r="3801" spans="1:14" x14ac:dyDescent="0.35">
      <c r="A3801" s="1" t="s">
        <v>1291</v>
      </c>
    </row>
    <row r="3802" spans="1:14" x14ac:dyDescent="0.35">
      <c r="A3802" t="s">
        <v>219</v>
      </c>
      <c r="B3802" t="s">
        <v>301</v>
      </c>
      <c r="C3802" t="s">
        <v>1279</v>
      </c>
      <c r="D3802" t="s">
        <v>1280</v>
      </c>
      <c r="E3802" t="s">
        <v>1281</v>
      </c>
      <c r="F3802" t="s">
        <v>1282</v>
      </c>
      <c r="G3802" t="s">
        <v>1283</v>
      </c>
      <c r="H3802" t="s">
        <v>277</v>
      </c>
      <c r="I3802" t="s">
        <v>226</v>
      </c>
    </row>
    <row r="3803" spans="1:14" x14ac:dyDescent="0.35">
      <c r="A3803" t="s">
        <v>227</v>
      </c>
      <c r="B3803" t="s">
        <v>334</v>
      </c>
      <c r="C3803" s="2">
        <v>0.5302</v>
      </c>
      <c r="D3803" s="2">
        <v>0.48549999999999999</v>
      </c>
      <c r="E3803" s="2">
        <v>0.34150000000000003</v>
      </c>
      <c r="F3803" s="2">
        <v>5.9799999999999999E-2</v>
      </c>
      <c r="G3803" s="2">
        <v>0.10009999999999999</v>
      </c>
      <c r="H3803" s="2">
        <v>3.49E-2</v>
      </c>
      <c r="I3803">
        <v>367</v>
      </c>
    </row>
    <row r="3804" spans="1:14" x14ac:dyDescent="0.35">
      <c r="A3804" t="s">
        <v>227</v>
      </c>
      <c r="B3804" t="s">
        <v>335</v>
      </c>
      <c r="C3804" s="2">
        <v>0.34670000000000001</v>
      </c>
      <c r="D3804" s="2">
        <v>0.39639999999999997</v>
      </c>
      <c r="E3804" s="2">
        <v>0.28449999999999998</v>
      </c>
      <c r="F3804" s="2">
        <v>0.11169999999999999</v>
      </c>
      <c r="G3804" s="2">
        <v>0.11990000000000001</v>
      </c>
      <c r="H3804" s="2">
        <v>3.9199999999999999E-2</v>
      </c>
      <c r="I3804">
        <v>260</v>
      </c>
    </row>
    <row r="3805" spans="1:14" x14ac:dyDescent="0.35">
      <c r="A3805" t="s">
        <v>227</v>
      </c>
      <c r="B3805" t="s">
        <v>336</v>
      </c>
      <c r="C3805" s="2">
        <v>0.48820000000000002</v>
      </c>
      <c r="D3805" s="2">
        <v>0.44990000000000002</v>
      </c>
      <c r="E3805" s="2">
        <v>0.34250000000000003</v>
      </c>
      <c r="F3805" s="2">
        <v>9.3799999999999994E-2</v>
      </c>
      <c r="G3805" s="2">
        <v>5.79E-2</v>
      </c>
      <c r="H3805" s="2">
        <v>3.8600000000000002E-2</v>
      </c>
      <c r="I3805">
        <v>352</v>
      </c>
    </row>
    <row r="3806" spans="1:14" x14ac:dyDescent="0.35">
      <c r="A3806" t="s">
        <v>227</v>
      </c>
      <c r="B3806" t="s">
        <v>337</v>
      </c>
      <c r="C3806" s="2">
        <v>0.47710000000000002</v>
      </c>
      <c r="D3806" s="2">
        <v>0.48420000000000002</v>
      </c>
      <c r="E3806" s="2">
        <v>0.32700000000000001</v>
      </c>
      <c r="F3806" s="2">
        <v>0.11840000000000001</v>
      </c>
      <c r="G3806" s="2">
        <v>0.1026</v>
      </c>
      <c r="H3806" s="2">
        <v>1.9599999999999999E-2</v>
      </c>
      <c r="I3806">
        <v>302</v>
      </c>
    </row>
    <row r="3807" spans="1:14" x14ac:dyDescent="0.35">
      <c r="A3807" t="s">
        <v>228</v>
      </c>
      <c r="B3807" t="s">
        <v>228</v>
      </c>
      <c r="C3807" s="2">
        <v>0.46189999999999998</v>
      </c>
      <c r="D3807" s="2">
        <v>0.45610000000000001</v>
      </c>
      <c r="E3807" s="2">
        <v>0.32429999999999998</v>
      </c>
      <c r="F3807" s="2">
        <v>9.6000000000000002E-2</v>
      </c>
      <c r="G3807" s="2">
        <v>9.6000000000000002E-2</v>
      </c>
      <c r="H3807" s="2">
        <v>3.4500000000000003E-2</v>
      </c>
      <c r="I3807">
        <v>1281</v>
      </c>
    </row>
    <row r="3809" spans="1:14" x14ac:dyDescent="0.35">
      <c r="A3809" s="1" t="s">
        <v>1292</v>
      </c>
    </row>
    <row r="3810" spans="1:14" x14ac:dyDescent="0.35">
      <c r="A3810" t="s">
        <v>219</v>
      </c>
      <c r="B3810" t="s">
        <v>301</v>
      </c>
      <c r="C3810" t="s">
        <v>1264</v>
      </c>
      <c r="D3810" t="s">
        <v>1265</v>
      </c>
      <c r="E3810" t="s">
        <v>1266</v>
      </c>
      <c r="F3810" t="s">
        <v>1267</v>
      </c>
      <c r="G3810" t="s">
        <v>1268</v>
      </c>
      <c r="H3810" t="s">
        <v>1269</v>
      </c>
      <c r="I3810" t="s">
        <v>1270</v>
      </c>
      <c r="J3810" t="s">
        <v>1271</v>
      </c>
      <c r="K3810" t="s">
        <v>1272</v>
      </c>
      <c r="L3810" t="s">
        <v>1273</v>
      </c>
      <c r="M3810" t="s">
        <v>1274</v>
      </c>
      <c r="N3810" t="s">
        <v>957</v>
      </c>
    </row>
    <row r="3811" spans="1:14" x14ac:dyDescent="0.35">
      <c r="A3811" t="s">
        <v>227</v>
      </c>
      <c r="B3811" t="s">
        <v>263</v>
      </c>
      <c r="C3811" t="s">
        <v>1275</v>
      </c>
      <c r="D3811" s="2">
        <v>0.86470000000000002</v>
      </c>
      <c r="E3811" s="2">
        <v>0.44009999999999999</v>
      </c>
      <c r="F3811" s="2">
        <v>0.84840000000000004</v>
      </c>
      <c r="G3811" s="2">
        <v>0.5978</v>
      </c>
      <c r="H3811" s="2">
        <v>0.8115</v>
      </c>
      <c r="I3811" s="2">
        <v>0.67559999999999998</v>
      </c>
      <c r="J3811" s="2">
        <v>0.77190000000000003</v>
      </c>
      <c r="K3811" s="2">
        <v>0.82609999999999995</v>
      </c>
      <c r="L3811" s="2">
        <v>0.87890000000000001</v>
      </c>
      <c r="M3811" s="2">
        <v>0.91320000000000001</v>
      </c>
      <c r="N3811">
        <v>523</v>
      </c>
    </row>
    <row r="3812" spans="1:14" x14ac:dyDescent="0.35">
      <c r="A3812" s="3" t="s">
        <v>227</v>
      </c>
      <c r="B3812" s="3" t="s">
        <v>232</v>
      </c>
      <c r="C3812" s="3" t="s">
        <v>1275</v>
      </c>
      <c r="D3812" s="4">
        <v>1</v>
      </c>
      <c r="E3812" s="4">
        <v>1</v>
      </c>
      <c r="F3812" s="4">
        <v>1</v>
      </c>
      <c r="G3812" s="5"/>
      <c r="H3812" s="5"/>
      <c r="I3812" s="5"/>
      <c r="J3812" s="4">
        <v>1</v>
      </c>
      <c r="K3812" s="4">
        <v>1</v>
      </c>
      <c r="L3812" s="4">
        <v>1</v>
      </c>
      <c r="M3812" s="4">
        <v>1</v>
      </c>
      <c r="N3812" s="5">
        <v>1</v>
      </c>
    </row>
    <row r="3813" spans="1:14" x14ac:dyDescent="0.35">
      <c r="A3813" t="s">
        <v>227</v>
      </c>
      <c r="B3813" t="s">
        <v>261</v>
      </c>
      <c r="C3813" t="s">
        <v>299</v>
      </c>
      <c r="D3813" s="2">
        <v>4.3999999999999997E-2</v>
      </c>
      <c r="E3813" s="2">
        <v>0.43290000000000001</v>
      </c>
      <c r="F3813" s="2">
        <v>0.15060000000000001</v>
      </c>
      <c r="G3813" s="2">
        <v>0.2135</v>
      </c>
      <c r="H3813" s="2">
        <v>2.1499999999999998E-2</v>
      </c>
      <c r="I3813" s="2">
        <v>0.30020000000000002</v>
      </c>
      <c r="J3813" s="2">
        <v>8.3999999999999995E-3</v>
      </c>
      <c r="K3813" s="2">
        <v>2.8E-3</v>
      </c>
      <c r="L3813" s="2">
        <v>3.9100000000000003E-2</v>
      </c>
      <c r="M3813" s="2">
        <v>4.0000000000000001E-3</v>
      </c>
      <c r="N3813">
        <v>960</v>
      </c>
    </row>
    <row r="3814" spans="1:14" x14ac:dyDescent="0.35">
      <c r="A3814" t="s">
        <v>227</v>
      </c>
      <c r="B3814" t="s">
        <v>261</v>
      </c>
      <c r="C3814" t="s">
        <v>1277</v>
      </c>
      <c r="D3814" s="2">
        <v>0.1019</v>
      </c>
      <c r="E3814" s="2">
        <v>0.11360000000000001</v>
      </c>
      <c r="F3814" s="2">
        <v>3.3700000000000001E-2</v>
      </c>
      <c r="G3814" s="2">
        <v>0.1512</v>
      </c>
      <c r="H3814" s="2">
        <v>0.17</v>
      </c>
      <c r="I3814" s="2">
        <v>3.1399999999999997E-2</v>
      </c>
      <c r="J3814" s="2">
        <v>8.09E-2</v>
      </c>
      <c r="K3814" s="2">
        <v>0.1711</v>
      </c>
      <c r="L3814" s="2">
        <v>9.5799999999999996E-2</v>
      </c>
      <c r="M3814" s="2">
        <v>7.2999999999999995E-2</v>
      </c>
      <c r="N3814">
        <v>960</v>
      </c>
    </row>
    <row r="3815" spans="1:14" x14ac:dyDescent="0.35">
      <c r="A3815" t="s">
        <v>227</v>
      </c>
      <c r="B3815" t="s">
        <v>261</v>
      </c>
      <c r="C3815" t="s">
        <v>1276</v>
      </c>
      <c r="D3815" s="2">
        <v>2.1600000000000001E-2</v>
      </c>
      <c r="E3815" s="2">
        <v>6.7500000000000004E-2</v>
      </c>
      <c r="F3815" s="2">
        <v>1.0500000000000001E-2</v>
      </c>
      <c r="G3815" s="2">
        <v>2.1999999999999999E-2</v>
      </c>
      <c r="H3815" s="2">
        <v>2.52E-2</v>
      </c>
      <c r="I3815" s="2">
        <v>1.18E-2</v>
      </c>
      <c r="J3815" s="2">
        <v>6.1000000000000004E-3</v>
      </c>
      <c r="K3815" s="2">
        <v>1.14E-2</v>
      </c>
      <c r="L3815" s="2">
        <v>5.1000000000000004E-3</v>
      </c>
      <c r="M3815" s="2">
        <v>2.9999999999999997E-4</v>
      </c>
      <c r="N3815">
        <v>960</v>
      </c>
    </row>
    <row r="3816" spans="1:14" x14ac:dyDescent="0.35">
      <c r="A3816" t="s">
        <v>227</v>
      </c>
      <c r="B3816" t="s">
        <v>262</v>
      </c>
      <c r="C3816" t="s">
        <v>299</v>
      </c>
      <c r="D3816" s="2">
        <v>3.73E-2</v>
      </c>
      <c r="E3816" s="2">
        <v>0.40570000000000001</v>
      </c>
      <c r="F3816" s="2">
        <v>0.14319999999999999</v>
      </c>
      <c r="G3816" s="2">
        <v>0.125</v>
      </c>
      <c r="H3816" s="2">
        <v>1.9199999999999998E-2</v>
      </c>
      <c r="I3816" s="2">
        <v>0.35310000000000002</v>
      </c>
      <c r="J3816" s="2">
        <v>4.7999999999999996E-3</v>
      </c>
      <c r="K3816" s="2">
        <v>3.0000000000000001E-3</v>
      </c>
      <c r="L3816" s="2">
        <v>4.0000000000000001E-3</v>
      </c>
      <c r="M3816" s="2">
        <v>1.41E-2</v>
      </c>
      <c r="N3816">
        <v>1062</v>
      </c>
    </row>
    <row r="3817" spans="1:14" x14ac:dyDescent="0.35">
      <c r="A3817" t="s">
        <v>227</v>
      </c>
      <c r="B3817" t="s">
        <v>261</v>
      </c>
      <c r="C3817" t="s">
        <v>1275</v>
      </c>
      <c r="D3817" s="2">
        <v>0.83240000000000003</v>
      </c>
      <c r="E3817" s="2">
        <v>0.38600000000000001</v>
      </c>
      <c r="F3817" s="2">
        <v>0.80520000000000003</v>
      </c>
      <c r="G3817" s="2">
        <v>0.61339999999999995</v>
      </c>
      <c r="H3817" s="2">
        <v>0.78320000000000001</v>
      </c>
      <c r="I3817" s="2">
        <v>0.65649999999999997</v>
      </c>
      <c r="J3817" s="2">
        <v>0.90449999999999997</v>
      </c>
      <c r="K3817" s="2">
        <v>0.81459999999999999</v>
      </c>
      <c r="L3817" s="2">
        <v>0.8599</v>
      </c>
      <c r="M3817" s="2">
        <v>0.92259999999999998</v>
      </c>
      <c r="N3817">
        <v>960</v>
      </c>
    </row>
    <row r="3818" spans="1:14" x14ac:dyDescent="0.35">
      <c r="A3818" t="s">
        <v>227</v>
      </c>
      <c r="B3818" t="s">
        <v>262</v>
      </c>
      <c r="C3818" t="s">
        <v>1276</v>
      </c>
      <c r="D3818" s="2">
        <v>2.0199999999999999E-2</v>
      </c>
      <c r="E3818" s="2">
        <v>6.1899999999999997E-2</v>
      </c>
      <c r="F3818" s="2">
        <v>1.5800000000000002E-2</v>
      </c>
      <c r="G3818" s="2">
        <v>1.4500000000000001E-2</v>
      </c>
      <c r="H3818" s="2">
        <v>3.0599999999999999E-2</v>
      </c>
      <c r="I3818" s="2">
        <v>3.7000000000000002E-3</v>
      </c>
      <c r="J3818" s="2">
        <v>3.0000000000000001E-3</v>
      </c>
      <c r="K3818" s="2">
        <v>1.21E-2</v>
      </c>
      <c r="L3818" s="2">
        <v>1E-4</v>
      </c>
      <c r="M3818" s="2">
        <v>8.0000000000000004E-4</v>
      </c>
      <c r="N3818">
        <v>1062</v>
      </c>
    </row>
    <row r="3819" spans="1:14" x14ac:dyDescent="0.35">
      <c r="A3819" t="s">
        <v>227</v>
      </c>
      <c r="B3819" t="s">
        <v>262</v>
      </c>
      <c r="C3819" t="s">
        <v>1275</v>
      </c>
      <c r="D3819" s="2">
        <v>0.75649999999999995</v>
      </c>
      <c r="E3819" s="2">
        <v>0.35110000000000002</v>
      </c>
      <c r="F3819" s="2">
        <v>0.77410000000000001</v>
      </c>
      <c r="G3819" s="2">
        <v>0.59299999999999997</v>
      </c>
      <c r="H3819" s="2">
        <v>0.65369999999999995</v>
      </c>
      <c r="I3819" s="2">
        <v>0.59140000000000004</v>
      </c>
      <c r="J3819" s="2">
        <v>0.74750000000000005</v>
      </c>
      <c r="K3819" s="2">
        <v>0.72419999999999995</v>
      </c>
      <c r="L3819" s="2">
        <v>0.78110000000000002</v>
      </c>
      <c r="M3819" s="2">
        <v>0.85899999999999999</v>
      </c>
      <c r="N3819">
        <v>1062</v>
      </c>
    </row>
    <row r="3820" spans="1:14" x14ac:dyDescent="0.35">
      <c r="A3820" t="s">
        <v>227</v>
      </c>
      <c r="B3820" t="s">
        <v>263</v>
      </c>
      <c r="C3820" t="s">
        <v>299</v>
      </c>
      <c r="D3820" s="2">
        <v>3.9399999999999998E-2</v>
      </c>
      <c r="E3820" s="2">
        <v>0.3795</v>
      </c>
      <c r="F3820" s="2">
        <v>9.6600000000000005E-2</v>
      </c>
      <c r="G3820" s="2">
        <v>0.18559999999999999</v>
      </c>
      <c r="H3820" s="2">
        <v>8.8999999999999999E-3</v>
      </c>
      <c r="I3820" s="2">
        <v>0.2802</v>
      </c>
      <c r="J3820" s="2">
        <v>1.8200000000000001E-2</v>
      </c>
      <c r="K3820" s="2">
        <v>4.1999999999999997E-3</v>
      </c>
      <c r="L3820" s="2">
        <v>1.7899999999999999E-2</v>
      </c>
      <c r="M3820" s="2">
        <v>1.3899999999999999E-2</v>
      </c>
      <c r="N3820">
        <v>523</v>
      </c>
    </row>
    <row r="3821" spans="1:14" x14ac:dyDescent="0.35">
      <c r="A3821" t="s">
        <v>227</v>
      </c>
      <c r="B3821" t="s">
        <v>263</v>
      </c>
      <c r="C3821" t="s">
        <v>1277</v>
      </c>
      <c r="D3821" s="2">
        <v>7.4300000000000005E-2</v>
      </c>
      <c r="E3821" s="2">
        <v>0.12529999999999999</v>
      </c>
      <c r="F3821" s="2">
        <v>4.82E-2</v>
      </c>
      <c r="G3821" s="2">
        <v>0.19289999999999999</v>
      </c>
      <c r="H3821" s="2">
        <v>0.1588</v>
      </c>
      <c r="I3821" s="2">
        <v>3.9800000000000002E-2</v>
      </c>
      <c r="J3821" s="2">
        <v>0.19919999999999999</v>
      </c>
      <c r="K3821" s="2">
        <v>0.15939999999999999</v>
      </c>
      <c r="L3821" s="2">
        <v>9.9299999999999999E-2</v>
      </c>
      <c r="M3821" s="2">
        <v>7.2900000000000006E-2</v>
      </c>
      <c r="N3821">
        <v>523</v>
      </c>
    </row>
    <row r="3822" spans="1:14" x14ac:dyDescent="0.35">
      <c r="A3822" t="s">
        <v>227</v>
      </c>
      <c r="B3822" t="s">
        <v>263</v>
      </c>
      <c r="C3822" t="s">
        <v>1276</v>
      </c>
      <c r="D3822" s="2">
        <v>2.1600000000000001E-2</v>
      </c>
      <c r="E3822" s="2">
        <v>5.5E-2</v>
      </c>
      <c r="F3822" s="2">
        <v>6.8999999999999999E-3</v>
      </c>
      <c r="G3822" s="2">
        <v>2.3699999999999999E-2</v>
      </c>
      <c r="H3822" s="2">
        <v>2.0799999999999999E-2</v>
      </c>
      <c r="I3822" s="2">
        <v>4.4000000000000003E-3</v>
      </c>
      <c r="J3822" s="2">
        <v>1.0800000000000001E-2</v>
      </c>
      <c r="K3822" s="2">
        <v>1.03E-2</v>
      </c>
      <c r="L3822" s="2">
        <v>3.8E-3</v>
      </c>
      <c r="N3822">
        <v>523</v>
      </c>
    </row>
    <row r="3823" spans="1:14" x14ac:dyDescent="0.35">
      <c r="A3823" t="s">
        <v>227</v>
      </c>
      <c r="B3823" t="s">
        <v>262</v>
      </c>
      <c r="C3823" t="s">
        <v>1277</v>
      </c>
      <c r="D3823" s="2">
        <v>0.18609999999999999</v>
      </c>
      <c r="E3823" s="2">
        <v>0.18129999999999999</v>
      </c>
      <c r="F3823" s="2">
        <v>6.7000000000000004E-2</v>
      </c>
      <c r="G3823" s="2">
        <v>0.26750000000000002</v>
      </c>
      <c r="H3823" s="2">
        <v>0.29649999999999999</v>
      </c>
      <c r="I3823" s="2">
        <v>5.1799999999999999E-2</v>
      </c>
      <c r="J3823" s="2">
        <v>0.24460000000000001</v>
      </c>
      <c r="K3823" s="2">
        <v>0.26069999999999999</v>
      </c>
      <c r="L3823" s="2">
        <v>0.21479999999999999</v>
      </c>
      <c r="M3823" s="2">
        <v>0.12609999999999999</v>
      </c>
      <c r="N3823">
        <v>1062</v>
      </c>
    </row>
    <row r="3824" spans="1:14" x14ac:dyDescent="0.35">
      <c r="A3824" t="s">
        <v>228</v>
      </c>
      <c r="B3824" t="s">
        <v>228</v>
      </c>
      <c r="C3824" t="s">
        <v>1277</v>
      </c>
      <c r="D3824" s="2">
        <v>0.12759999999999999</v>
      </c>
      <c r="E3824" s="2">
        <v>0.1409</v>
      </c>
      <c r="F3824" s="2">
        <v>4.8899999999999999E-2</v>
      </c>
      <c r="G3824" s="2">
        <v>0.2019</v>
      </c>
      <c r="H3824" s="2">
        <v>0.2152</v>
      </c>
      <c r="I3824" s="2">
        <v>4.0599999999999997E-2</v>
      </c>
      <c r="J3824" s="2">
        <v>0.1648</v>
      </c>
      <c r="K3824" s="2">
        <v>0.2019</v>
      </c>
      <c r="L3824" s="2">
        <v>0.14050000000000001</v>
      </c>
      <c r="M3824" s="2">
        <v>9.2600000000000002E-2</v>
      </c>
      <c r="N3824">
        <v>2546</v>
      </c>
    </row>
    <row r="3825" spans="1:14" x14ac:dyDescent="0.35">
      <c r="A3825" t="s">
        <v>228</v>
      </c>
      <c r="B3825" t="s">
        <v>228</v>
      </c>
      <c r="C3825" t="s">
        <v>1275</v>
      </c>
      <c r="D3825" s="2">
        <v>0.81079999999999997</v>
      </c>
      <c r="E3825" s="2">
        <v>0.38419999999999999</v>
      </c>
      <c r="F3825" s="2">
        <v>0.80230000000000001</v>
      </c>
      <c r="G3825" s="2">
        <v>0.60229999999999995</v>
      </c>
      <c r="H3825" s="2">
        <v>0.74029999999999996</v>
      </c>
      <c r="I3825" s="2">
        <v>0.63570000000000004</v>
      </c>
      <c r="J3825" s="2">
        <v>0.82030000000000003</v>
      </c>
      <c r="K3825" s="2">
        <v>0.78349999999999997</v>
      </c>
      <c r="L3825" s="2">
        <v>0.83460000000000001</v>
      </c>
      <c r="M3825" s="2">
        <v>0.89729999999999999</v>
      </c>
      <c r="N3825">
        <v>2546</v>
      </c>
    </row>
    <row r="3826" spans="1:14" x14ac:dyDescent="0.35">
      <c r="A3826" t="s">
        <v>228</v>
      </c>
      <c r="B3826" t="s">
        <v>228</v>
      </c>
      <c r="C3826" t="s">
        <v>1276</v>
      </c>
      <c r="D3826" s="2">
        <v>2.1100000000000001E-2</v>
      </c>
      <c r="E3826" s="2">
        <v>6.2899999999999998E-2</v>
      </c>
      <c r="F3826" s="2">
        <v>1.17E-2</v>
      </c>
      <c r="G3826" s="2">
        <v>1.9599999999999999E-2</v>
      </c>
      <c r="H3826" s="2">
        <v>2.63E-2</v>
      </c>
      <c r="I3826" s="2">
        <v>7.3000000000000001E-3</v>
      </c>
      <c r="J3826" s="2">
        <v>5.8999999999999999E-3</v>
      </c>
      <c r="K3826" s="2">
        <v>1.14E-2</v>
      </c>
      <c r="L3826" s="2">
        <v>3.0000000000000001E-3</v>
      </c>
      <c r="M3826" s="2">
        <v>4.0000000000000002E-4</v>
      </c>
      <c r="N3826">
        <v>2546</v>
      </c>
    </row>
    <row r="3827" spans="1:14" x14ac:dyDescent="0.35">
      <c r="A3827" t="s">
        <v>228</v>
      </c>
      <c r="B3827" t="s">
        <v>228</v>
      </c>
      <c r="C3827" t="s">
        <v>299</v>
      </c>
      <c r="D3827" s="2">
        <v>4.0599999999999997E-2</v>
      </c>
      <c r="E3827" s="2">
        <v>0.41199999999999998</v>
      </c>
      <c r="F3827" s="2">
        <v>0.1371</v>
      </c>
      <c r="G3827" s="2">
        <v>0.17610000000000001</v>
      </c>
      <c r="H3827" s="2">
        <v>1.8200000000000001E-2</v>
      </c>
      <c r="I3827" s="2">
        <v>0.31640000000000001</v>
      </c>
      <c r="J3827" s="2">
        <v>8.9999999999999993E-3</v>
      </c>
      <c r="K3827" s="2">
        <v>3.2000000000000002E-3</v>
      </c>
      <c r="L3827" s="2">
        <v>2.1899999999999999E-2</v>
      </c>
      <c r="M3827" s="2">
        <v>9.7000000000000003E-3</v>
      </c>
      <c r="N3827">
        <v>2546</v>
      </c>
    </row>
    <row r="3829" spans="1:14" x14ac:dyDescent="0.35">
      <c r="A3829" s="1" t="s">
        <v>1293</v>
      </c>
    </row>
    <row r="3830" spans="1:14" x14ac:dyDescent="0.35">
      <c r="A3830" t="s">
        <v>219</v>
      </c>
      <c r="B3830" t="s">
        <v>301</v>
      </c>
      <c r="C3830" t="s">
        <v>1279</v>
      </c>
      <c r="D3830" t="s">
        <v>1280</v>
      </c>
      <c r="E3830" t="s">
        <v>1281</v>
      </c>
      <c r="F3830" t="s">
        <v>1282</v>
      </c>
      <c r="G3830" t="s">
        <v>1283</v>
      </c>
      <c r="H3830" t="s">
        <v>277</v>
      </c>
      <c r="I3830" t="s">
        <v>226</v>
      </c>
    </row>
    <row r="3831" spans="1:14" x14ac:dyDescent="0.35">
      <c r="A3831" t="s">
        <v>227</v>
      </c>
      <c r="B3831" t="s">
        <v>263</v>
      </c>
      <c r="C3831" s="2">
        <v>0.52010000000000001</v>
      </c>
      <c r="D3831" s="2">
        <v>0.41880000000000001</v>
      </c>
      <c r="E3831" s="2">
        <v>0.33</v>
      </c>
      <c r="F3831" s="2">
        <v>0.1232</v>
      </c>
      <c r="G3831" s="2">
        <v>7.0400000000000004E-2</v>
      </c>
      <c r="H3831" s="2">
        <v>4.6199999999999998E-2</v>
      </c>
      <c r="I3831">
        <v>263</v>
      </c>
    </row>
    <row r="3832" spans="1:14" x14ac:dyDescent="0.35">
      <c r="A3832" t="s">
        <v>227</v>
      </c>
      <c r="B3832" t="s">
        <v>262</v>
      </c>
      <c r="C3832" s="2">
        <v>0.50090000000000001</v>
      </c>
      <c r="D3832" s="2">
        <v>0.48139999999999999</v>
      </c>
      <c r="E3832" s="2">
        <v>0.31319999999999998</v>
      </c>
      <c r="F3832" s="2">
        <v>0.09</v>
      </c>
      <c r="G3832" s="2">
        <v>7.0000000000000007E-2</v>
      </c>
      <c r="H3832" s="2">
        <v>3.0599999999999999E-2</v>
      </c>
      <c r="I3832">
        <v>608</v>
      </c>
    </row>
    <row r="3833" spans="1:14" x14ac:dyDescent="0.35">
      <c r="A3833" t="s">
        <v>227</v>
      </c>
      <c r="B3833" t="s">
        <v>261</v>
      </c>
      <c r="C3833" s="2">
        <v>0.4083</v>
      </c>
      <c r="D3833" s="2">
        <v>0.4466</v>
      </c>
      <c r="E3833" s="2">
        <v>0.33279999999999998</v>
      </c>
      <c r="F3833" s="2">
        <v>9.1399999999999995E-2</v>
      </c>
      <c r="G3833" s="2">
        <v>0.12809999999999999</v>
      </c>
      <c r="H3833" s="2">
        <v>3.3599999999999998E-2</v>
      </c>
      <c r="I3833">
        <v>552</v>
      </c>
    </row>
    <row r="3834" spans="1:14" x14ac:dyDescent="0.35">
      <c r="A3834" s="3" t="s">
        <v>227</v>
      </c>
      <c r="B3834" s="3" t="s">
        <v>232</v>
      </c>
      <c r="C3834" s="5"/>
      <c r="D3834" s="4">
        <v>1</v>
      </c>
      <c r="E3834" s="5"/>
      <c r="F3834" s="5"/>
      <c r="G3834" s="5"/>
      <c r="H3834" s="5"/>
      <c r="I3834" s="5" t="s">
        <v>323</v>
      </c>
    </row>
    <row r="3835" spans="1:14" x14ac:dyDescent="0.35">
      <c r="A3835" t="s">
        <v>228</v>
      </c>
      <c r="B3835" t="s">
        <v>228</v>
      </c>
      <c r="C3835" s="2">
        <v>0.46189999999999998</v>
      </c>
      <c r="D3835" s="2">
        <v>0.45610000000000001</v>
      </c>
      <c r="E3835" s="2">
        <v>0.32429999999999998</v>
      </c>
      <c r="F3835" s="2">
        <v>9.6000000000000002E-2</v>
      </c>
      <c r="G3835" s="2">
        <v>9.6000000000000002E-2</v>
      </c>
      <c r="H3835" s="2">
        <v>3.4500000000000003E-2</v>
      </c>
      <c r="I3835">
        <v>1424</v>
      </c>
    </row>
    <row r="3837" spans="1:14" x14ac:dyDescent="0.35">
      <c r="A3837" s="1" t="s">
        <v>1294</v>
      </c>
    </row>
    <row r="3838" spans="1:14" x14ac:dyDescent="0.35">
      <c r="A3838" t="s">
        <v>219</v>
      </c>
      <c r="B3838" t="s">
        <v>301</v>
      </c>
      <c r="C3838" t="s">
        <v>1264</v>
      </c>
      <c r="D3838" t="s">
        <v>1265</v>
      </c>
      <c r="E3838" t="s">
        <v>1266</v>
      </c>
      <c r="F3838" t="s">
        <v>1267</v>
      </c>
      <c r="G3838" t="s">
        <v>1268</v>
      </c>
      <c r="H3838" t="s">
        <v>1269</v>
      </c>
      <c r="I3838" t="s">
        <v>1270</v>
      </c>
      <c r="J3838" t="s">
        <v>1271</v>
      </c>
      <c r="K3838" t="s">
        <v>1272</v>
      </c>
      <c r="L3838" t="s">
        <v>1273</v>
      </c>
      <c r="M3838" t="s">
        <v>1274</v>
      </c>
      <c r="N3838" t="s">
        <v>957</v>
      </c>
    </row>
    <row r="3839" spans="1:14" x14ac:dyDescent="0.35">
      <c r="A3839" t="s">
        <v>227</v>
      </c>
      <c r="B3839" t="s">
        <v>248</v>
      </c>
      <c r="C3839" t="s">
        <v>1275</v>
      </c>
      <c r="D3839" s="2">
        <v>0.69710000000000005</v>
      </c>
      <c r="E3839" s="2">
        <v>0.31809999999999999</v>
      </c>
      <c r="F3839" s="2">
        <v>0.81510000000000005</v>
      </c>
      <c r="G3839" s="2">
        <v>0.56810000000000005</v>
      </c>
      <c r="H3839" s="2">
        <v>0.60899999999999999</v>
      </c>
      <c r="I3839" s="2">
        <v>0.51900000000000002</v>
      </c>
      <c r="J3839" s="2">
        <v>0.6704</v>
      </c>
      <c r="K3839" s="2">
        <v>0.65869999999999995</v>
      </c>
      <c r="L3839" s="2">
        <v>0.75649999999999995</v>
      </c>
      <c r="M3839" s="2">
        <v>0.87119999999999997</v>
      </c>
      <c r="N3839">
        <v>713</v>
      </c>
    </row>
    <row r="3840" spans="1:14" x14ac:dyDescent="0.35">
      <c r="A3840" t="s">
        <v>227</v>
      </c>
      <c r="B3840" t="s">
        <v>248</v>
      </c>
      <c r="C3840" t="s">
        <v>1276</v>
      </c>
      <c r="D3840" s="2">
        <v>3.8300000000000001E-2</v>
      </c>
      <c r="E3840" s="2">
        <v>8.1100000000000005E-2</v>
      </c>
      <c r="F3840" s="2">
        <v>1.8800000000000001E-2</v>
      </c>
      <c r="G3840" s="2">
        <v>3.04E-2</v>
      </c>
      <c r="H3840" s="2">
        <v>4.8599999999999997E-2</v>
      </c>
      <c r="I3840" s="2">
        <v>5.4000000000000003E-3</v>
      </c>
      <c r="J3840" s="2">
        <v>1.17E-2</v>
      </c>
      <c r="K3840" s="2">
        <v>3.3399999999999999E-2</v>
      </c>
      <c r="L3840" s="2">
        <v>7.0000000000000001E-3</v>
      </c>
      <c r="M3840" s="2">
        <v>8.9999999999999998E-4</v>
      </c>
      <c r="N3840">
        <v>713</v>
      </c>
    </row>
    <row r="3841" spans="1:14" x14ac:dyDescent="0.35">
      <c r="A3841" t="s">
        <v>227</v>
      </c>
      <c r="B3841" t="s">
        <v>248</v>
      </c>
      <c r="C3841" t="s">
        <v>1277</v>
      </c>
      <c r="D3841" s="2">
        <v>0.24210000000000001</v>
      </c>
      <c r="E3841" s="2">
        <v>0.25130000000000002</v>
      </c>
      <c r="F3841" s="2">
        <v>0.1026</v>
      </c>
      <c r="G3841" s="2">
        <v>0.3659</v>
      </c>
      <c r="H3841" s="2">
        <v>0.3261</v>
      </c>
      <c r="I3841" s="2">
        <v>7.7899999999999997E-2</v>
      </c>
      <c r="J3841" s="2">
        <v>0.31659999999999999</v>
      </c>
      <c r="K3841" s="2">
        <v>0.30669999999999997</v>
      </c>
      <c r="L3841" s="2">
        <v>0.2261</v>
      </c>
      <c r="M3841" s="2">
        <v>0.1177</v>
      </c>
      <c r="N3841">
        <v>713</v>
      </c>
    </row>
    <row r="3842" spans="1:14" x14ac:dyDescent="0.35">
      <c r="A3842" t="s">
        <v>227</v>
      </c>
      <c r="B3842" t="s">
        <v>248</v>
      </c>
      <c r="C3842" t="s">
        <v>299</v>
      </c>
      <c r="D3842" s="2">
        <v>2.24E-2</v>
      </c>
      <c r="E3842" s="2">
        <v>0.34949999999999998</v>
      </c>
      <c r="F3842" s="2">
        <v>6.3500000000000001E-2</v>
      </c>
      <c r="G3842" s="2">
        <v>3.5499999999999997E-2</v>
      </c>
      <c r="H3842" s="2">
        <v>1.6299999999999999E-2</v>
      </c>
      <c r="I3842" s="2">
        <v>0.3977</v>
      </c>
      <c r="J3842" s="2">
        <v>1.2999999999999999E-3</v>
      </c>
      <c r="K3842" s="2">
        <v>1.1000000000000001E-3</v>
      </c>
      <c r="L3842" s="2">
        <v>1.04E-2</v>
      </c>
      <c r="M3842" s="2">
        <v>1.0200000000000001E-2</v>
      </c>
      <c r="N3842">
        <v>713</v>
      </c>
    </row>
    <row r="3843" spans="1:14" x14ac:dyDescent="0.35">
      <c r="A3843" t="s">
        <v>227</v>
      </c>
      <c r="B3843" t="s">
        <v>249</v>
      </c>
      <c r="C3843" t="s">
        <v>1275</v>
      </c>
      <c r="D3843" s="2">
        <v>0.82499999999999996</v>
      </c>
      <c r="E3843" s="2">
        <v>0.32750000000000001</v>
      </c>
      <c r="F3843" s="2">
        <v>0.80459999999999998</v>
      </c>
      <c r="G3843" s="2">
        <v>0.59199999999999997</v>
      </c>
      <c r="H3843" s="2">
        <v>0.75370000000000004</v>
      </c>
      <c r="I3843" s="2">
        <v>0.62319999999999998</v>
      </c>
      <c r="J3843" s="2">
        <v>0.90759999999999996</v>
      </c>
      <c r="K3843" s="2">
        <v>0.82</v>
      </c>
      <c r="L3843" s="2">
        <v>0.8417</v>
      </c>
      <c r="M3843" s="2">
        <v>0.89870000000000005</v>
      </c>
      <c r="N3843">
        <v>494</v>
      </c>
    </row>
    <row r="3844" spans="1:14" x14ac:dyDescent="0.35">
      <c r="A3844" t="s">
        <v>227</v>
      </c>
      <c r="B3844" t="s">
        <v>249</v>
      </c>
      <c r="C3844" t="s">
        <v>1276</v>
      </c>
      <c r="D3844" s="2">
        <v>1.9099999999999999E-2</v>
      </c>
      <c r="E3844" s="2">
        <v>5.7099999999999998E-2</v>
      </c>
      <c r="F3844" s="2">
        <v>1.1000000000000001E-3</v>
      </c>
      <c r="G3844" s="2">
        <v>1.5100000000000001E-2</v>
      </c>
      <c r="H3844" s="2">
        <v>3.4299999999999997E-2</v>
      </c>
      <c r="I3844" s="2">
        <v>5.4999999999999997E-3</v>
      </c>
      <c r="J3844" s="2">
        <v>1.0200000000000001E-2</v>
      </c>
      <c r="K3844" s="2">
        <v>5.0000000000000001E-3</v>
      </c>
      <c r="L3844" s="2">
        <v>1.8E-3</v>
      </c>
      <c r="N3844">
        <v>494</v>
      </c>
    </row>
    <row r="3845" spans="1:14" x14ac:dyDescent="0.35">
      <c r="A3845" t="s">
        <v>227</v>
      </c>
      <c r="B3845" t="s">
        <v>249</v>
      </c>
      <c r="C3845" t="s">
        <v>1277</v>
      </c>
      <c r="D3845" s="2">
        <v>0.1232</v>
      </c>
      <c r="E3845" s="2">
        <v>0.13800000000000001</v>
      </c>
      <c r="F3845" s="2">
        <v>0.05</v>
      </c>
      <c r="G3845" s="2">
        <v>0.1847</v>
      </c>
      <c r="H3845" s="2">
        <v>0.19919999999999999</v>
      </c>
      <c r="I3845" s="2">
        <v>1.8100000000000002E-2</v>
      </c>
      <c r="J3845" s="2">
        <v>6.5199999999999994E-2</v>
      </c>
      <c r="K3845" s="2">
        <v>0.1686</v>
      </c>
      <c r="L3845" s="2">
        <v>0.13919999999999999</v>
      </c>
      <c r="M3845" s="2">
        <v>9.5299999999999996E-2</v>
      </c>
      <c r="N3845">
        <v>494</v>
      </c>
    </row>
    <row r="3846" spans="1:14" x14ac:dyDescent="0.35">
      <c r="A3846" t="s">
        <v>227</v>
      </c>
      <c r="B3846" t="s">
        <v>249</v>
      </c>
      <c r="C3846" t="s">
        <v>299</v>
      </c>
      <c r="D3846" s="2">
        <v>3.27E-2</v>
      </c>
      <c r="E3846" s="2">
        <v>0.47749999999999998</v>
      </c>
      <c r="F3846" s="2">
        <v>0.14419999999999999</v>
      </c>
      <c r="G3846" s="2">
        <v>0.2082</v>
      </c>
      <c r="H3846" s="2">
        <v>1.2800000000000001E-2</v>
      </c>
      <c r="I3846" s="2">
        <v>0.3533</v>
      </c>
      <c r="J3846" s="2">
        <v>1.7000000000000001E-2</v>
      </c>
      <c r="K3846" s="2">
        <v>6.3E-3</v>
      </c>
      <c r="L3846" s="2">
        <v>1.7299999999999999E-2</v>
      </c>
      <c r="M3846" s="2">
        <v>6.0000000000000001E-3</v>
      </c>
      <c r="N3846">
        <v>494</v>
      </c>
    </row>
    <row r="3847" spans="1:14" x14ac:dyDescent="0.35">
      <c r="A3847" t="s">
        <v>227</v>
      </c>
      <c r="B3847" t="s">
        <v>247</v>
      </c>
      <c r="C3847" t="s">
        <v>1275</v>
      </c>
      <c r="D3847" s="2">
        <v>0.86170000000000002</v>
      </c>
      <c r="E3847" s="2">
        <v>0.437</v>
      </c>
      <c r="F3847" s="2">
        <v>0.79520000000000002</v>
      </c>
      <c r="G3847" s="2">
        <v>0.62290000000000001</v>
      </c>
      <c r="H3847" s="2">
        <v>0.80020000000000002</v>
      </c>
      <c r="I3847" s="2">
        <v>0.69769999999999999</v>
      </c>
      <c r="J3847" s="2">
        <v>0.86299999999999999</v>
      </c>
      <c r="K3847" s="2">
        <v>0.83199999999999996</v>
      </c>
      <c r="L3847" s="2">
        <v>0.87050000000000005</v>
      </c>
      <c r="M3847" s="2">
        <v>0.90959999999999996</v>
      </c>
      <c r="N3847">
        <v>1339</v>
      </c>
    </row>
    <row r="3848" spans="1:14" x14ac:dyDescent="0.35">
      <c r="A3848" t="s">
        <v>227</v>
      </c>
      <c r="B3848" t="s">
        <v>247</v>
      </c>
      <c r="C3848" t="s">
        <v>1276</v>
      </c>
      <c r="D3848" s="2">
        <v>1.3299999999999999E-2</v>
      </c>
      <c r="E3848" s="2">
        <v>5.6000000000000001E-2</v>
      </c>
      <c r="F3848" s="2">
        <v>1.2E-2</v>
      </c>
      <c r="G3848" s="2">
        <v>1.5800000000000002E-2</v>
      </c>
      <c r="H3848" s="2">
        <v>1.2500000000000001E-2</v>
      </c>
      <c r="I3848" s="2">
        <v>8.9999999999999993E-3</v>
      </c>
      <c r="J3848" s="2">
        <v>1.5E-3</v>
      </c>
      <c r="K3848" s="2">
        <v>2.8999999999999998E-3</v>
      </c>
      <c r="L3848" s="2">
        <v>1.5E-3</v>
      </c>
      <c r="M3848" s="2">
        <v>2.9999999999999997E-4</v>
      </c>
      <c r="N3848">
        <v>1339</v>
      </c>
    </row>
    <row r="3849" spans="1:14" x14ac:dyDescent="0.35">
      <c r="A3849" t="s">
        <v>227</v>
      </c>
      <c r="B3849" t="s">
        <v>247</v>
      </c>
      <c r="C3849" t="s">
        <v>1277</v>
      </c>
      <c r="D3849" s="2">
        <v>7.2700000000000001E-2</v>
      </c>
      <c r="E3849" s="2">
        <v>8.7499999999999994E-2</v>
      </c>
      <c r="F3849" s="2">
        <v>2.1999999999999999E-2</v>
      </c>
      <c r="G3849" s="2">
        <v>0.1273</v>
      </c>
      <c r="H3849" s="2">
        <v>0.1663</v>
      </c>
      <c r="I3849" s="2">
        <v>3.0200000000000001E-2</v>
      </c>
      <c r="J3849" s="2">
        <v>0.1255</v>
      </c>
      <c r="K3849" s="2">
        <v>0.16200000000000001</v>
      </c>
      <c r="L3849" s="2">
        <v>9.8799999999999999E-2</v>
      </c>
      <c r="M3849" s="2">
        <v>7.9200000000000007E-2</v>
      </c>
      <c r="N3849">
        <v>1339</v>
      </c>
    </row>
    <row r="3850" spans="1:14" x14ac:dyDescent="0.35">
      <c r="A3850" t="s">
        <v>227</v>
      </c>
      <c r="B3850" t="s">
        <v>247</v>
      </c>
      <c r="C3850" t="s">
        <v>299</v>
      </c>
      <c r="D3850" s="2">
        <v>5.2400000000000002E-2</v>
      </c>
      <c r="E3850" s="2">
        <v>0.41949999999999998</v>
      </c>
      <c r="F3850" s="2">
        <v>0.17080000000000001</v>
      </c>
      <c r="G3850" s="2">
        <v>0.23400000000000001</v>
      </c>
      <c r="H3850" s="2">
        <v>2.1000000000000001E-2</v>
      </c>
      <c r="I3850" s="2">
        <v>0.2631</v>
      </c>
      <c r="J3850" s="2">
        <v>9.9000000000000008E-3</v>
      </c>
      <c r="K3850" s="2">
        <v>3.0000000000000001E-3</v>
      </c>
      <c r="L3850" s="2">
        <v>2.93E-2</v>
      </c>
      <c r="M3850" s="2">
        <v>1.0800000000000001E-2</v>
      </c>
      <c r="N3850">
        <v>1339</v>
      </c>
    </row>
    <row r="3851" spans="1:14" x14ac:dyDescent="0.35">
      <c r="A3851" t="s">
        <v>228</v>
      </c>
      <c r="B3851" t="s">
        <v>228</v>
      </c>
      <c r="C3851" t="s">
        <v>1275</v>
      </c>
      <c r="D3851" s="2">
        <v>0.81079999999999997</v>
      </c>
      <c r="E3851" s="2">
        <v>0.38419999999999999</v>
      </c>
      <c r="F3851" s="2">
        <v>0.80230000000000001</v>
      </c>
      <c r="G3851" s="2">
        <v>0.60229999999999995</v>
      </c>
      <c r="H3851" s="2">
        <v>0.74029999999999996</v>
      </c>
      <c r="I3851" s="2">
        <v>0.63570000000000004</v>
      </c>
      <c r="J3851" s="2">
        <v>0.82030000000000003</v>
      </c>
      <c r="K3851" s="2">
        <v>0.78349999999999997</v>
      </c>
      <c r="L3851" s="2">
        <v>0.83460000000000001</v>
      </c>
      <c r="M3851" s="2">
        <v>0.89729999999999999</v>
      </c>
      <c r="N3851">
        <v>2546</v>
      </c>
    </row>
    <row r="3852" spans="1:14" x14ac:dyDescent="0.35">
      <c r="A3852" t="s">
        <v>228</v>
      </c>
      <c r="B3852" t="s">
        <v>228</v>
      </c>
      <c r="C3852" t="s">
        <v>1276</v>
      </c>
      <c r="D3852" s="2">
        <v>2.1100000000000001E-2</v>
      </c>
      <c r="E3852" s="2">
        <v>6.2899999999999998E-2</v>
      </c>
      <c r="F3852" s="2">
        <v>1.17E-2</v>
      </c>
      <c r="G3852" s="2">
        <v>1.9599999999999999E-2</v>
      </c>
      <c r="H3852" s="2">
        <v>2.63E-2</v>
      </c>
      <c r="I3852" s="2">
        <v>7.3000000000000001E-3</v>
      </c>
      <c r="J3852" s="2">
        <v>5.8999999999999999E-3</v>
      </c>
      <c r="K3852" s="2">
        <v>1.14E-2</v>
      </c>
      <c r="L3852" s="2">
        <v>3.0000000000000001E-3</v>
      </c>
      <c r="M3852" s="2">
        <v>4.0000000000000002E-4</v>
      </c>
      <c r="N3852">
        <v>2546</v>
      </c>
    </row>
    <row r="3853" spans="1:14" x14ac:dyDescent="0.35">
      <c r="A3853" t="s">
        <v>228</v>
      </c>
      <c r="B3853" t="s">
        <v>228</v>
      </c>
      <c r="C3853" t="s">
        <v>1277</v>
      </c>
      <c r="D3853" s="2">
        <v>0.12759999999999999</v>
      </c>
      <c r="E3853" s="2">
        <v>0.1409</v>
      </c>
      <c r="F3853" s="2">
        <v>4.8899999999999999E-2</v>
      </c>
      <c r="G3853" s="2">
        <v>0.2019</v>
      </c>
      <c r="H3853" s="2">
        <v>0.2152</v>
      </c>
      <c r="I3853" s="2">
        <v>4.0599999999999997E-2</v>
      </c>
      <c r="J3853" s="2">
        <v>0.1648</v>
      </c>
      <c r="K3853" s="2">
        <v>0.2019</v>
      </c>
      <c r="L3853" s="2">
        <v>0.14050000000000001</v>
      </c>
      <c r="M3853" s="2">
        <v>9.2600000000000002E-2</v>
      </c>
      <c r="N3853">
        <v>2546</v>
      </c>
    </row>
    <row r="3854" spans="1:14" x14ac:dyDescent="0.35">
      <c r="A3854" t="s">
        <v>228</v>
      </c>
      <c r="B3854" t="s">
        <v>228</v>
      </c>
      <c r="C3854" t="s">
        <v>299</v>
      </c>
      <c r="D3854" s="2">
        <v>4.0599999999999997E-2</v>
      </c>
      <c r="E3854" s="2">
        <v>0.41199999999999998</v>
      </c>
      <c r="F3854" s="2">
        <v>0.1371</v>
      </c>
      <c r="G3854" s="2">
        <v>0.17610000000000001</v>
      </c>
      <c r="H3854" s="2">
        <v>1.8200000000000001E-2</v>
      </c>
      <c r="I3854" s="2">
        <v>0.31640000000000001</v>
      </c>
      <c r="J3854" s="2">
        <v>8.9999999999999993E-3</v>
      </c>
      <c r="K3854" s="2">
        <v>3.2000000000000002E-3</v>
      </c>
      <c r="L3854" s="2">
        <v>2.1899999999999999E-2</v>
      </c>
      <c r="M3854" s="2">
        <v>9.7000000000000003E-3</v>
      </c>
      <c r="N3854">
        <v>2546</v>
      </c>
    </row>
    <row r="3856" spans="1:14" x14ac:dyDescent="0.35">
      <c r="A3856" s="1" t="s">
        <v>1295</v>
      </c>
    </row>
    <row r="3857" spans="1:14" x14ac:dyDescent="0.35">
      <c r="A3857" t="s">
        <v>219</v>
      </c>
      <c r="B3857" t="s">
        <v>301</v>
      </c>
      <c r="C3857" t="s">
        <v>1279</v>
      </c>
      <c r="D3857" t="s">
        <v>1280</v>
      </c>
      <c r="E3857" t="s">
        <v>1281</v>
      </c>
      <c r="F3857" t="s">
        <v>1282</v>
      </c>
      <c r="G3857" t="s">
        <v>1283</v>
      </c>
      <c r="H3857" t="s">
        <v>277</v>
      </c>
      <c r="I3857" t="s">
        <v>226</v>
      </c>
    </row>
    <row r="3858" spans="1:14" x14ac:dyDescent="0.35">
      <c r="A3858" t="s">
        <v>227</v>
      </c>
      <c r="B3858" t="s">
        <v>248</v>
      </c>
      <c r="C3858" s="2">
        <v>0.47249999999999998</v>
      </c>
      <c r="D3858" s="2">
        <v>0.57040000000000002</v>
      </c>
      <c r="E3858" s="2">
        <v>0.2737</v>
      </c>
      <c r="F3858" s="2">
        <v>8.4500000000000006E-2</v>
      </c>
      <c r="G3858" s="2">
        <v>1.37E-2</v>
      </c>
      <c r="H3858" s="2">
        <v>2.6700000000000002E-2</v>
      </c>
      <c r="I3858">
        <v>407</v>
      </c>
    </row>
    <row r="3859" spans="1:14" x14ac:dyDescent="0.35">
      <c r="A3859" t="s">
        <v>227</v>
      </c>
      <c r="B3859" t="s">
        <v>249</v>
      </c>
      <c r="C3859" s="2">
        <v>0.49</v>
      </c>
      <c r="D3859" s="2">
        <v>0.53559999999999997</v>
      </c>
      <c r="E3859" s="2">
        <v>0.37209999999999999</v>
      </c>
      <c r="F3859" s="2">
        <v>5.3499999999999999E-2</v>
      </c>
      <c r="G3859" s="2">
        <v>7.3200000000000001E-2</v>
      </c>
      <c r="H3859" s="2">
        <v>2.06E-2</v>
      </c>
      <c r="I3859">
        <v>307</v>
      </c>
    </row>
    <row r="3860" spans="1:14" x14ac:dyDescent="0.35">
      <c r="A3860" t="s">
        <v>227</v>
      </c>
      <c r="B3860" t="s">
        <v>247</v>
      </c>
      <c r="C3860" s="2">
        <v>0.44450000000000001</v>
      </c>
      <c r="D3860" s="2">
        <v>0.3619</v>
      </c>
      <c r="E3860" s="2">
        <v>0.33150000000000002</v>
      </c>
      <c r="F3860" s="2">
        <v>0.11990000000000001</v>
      </c>
      <c r="G3860" s="2">
        <v>0.14949999999999999</v>
      </c>
      <c r="H3860" s="2">
        <v>4.4400000000000002E-2</v>
      </c>
      <c r="I3860">
        <v>710</v>
      </c>
    </row>
    <row r="3861" spans="1:14" x14ac:dyDescent="0.35">
      <c r="A3861" t="s">
        <v>228</v>
      </c>
      <c r="B3861" t="s">
        <v>228</v>
      </c>
      <c r="C3861" s="2">
        <v>0.46189999999999998</v>
      </c>
      <c r="D3861" s="2">
        <v>0.45610000000000001</v>
      </c>
      <c r="E3861" s="2">
        <v>0.32429999999999998</v>
      </c>
      <c r="F3861" s="2">
        <v>9.6000000000000002E-2</v>
      </c>
      <c r="G3861" s="2">
        <v>9.6000000000000002E-2</v>
      </c>
      <c r="H3861" s="2">
        <v>3.4500000000000003E-2</v>
      </c>
      <c r="I3861">
        <v>1424</v>
      </c>
    </row>
    <row r="3863" spans="1:14" x14ac:dyDescent="0.35">
      <c r="A3863" s="1" t="s">
        <v>1296</v>
      </c>
    </row>
    <row r="3864" spans="1:14" x14ac:dyDescent="0.35">
      <c r="A3864" t="s">
        <v>219</v>
      </c>
      <c r="B3864" t="s">
        <v>301</v>
      </c>
      <c r="C3864" t="s">
        <v>1264</v>
      </c>
      <c r="D3864" t="s">
        <v>1265</v>
      </c>
      <c r="E3864" t="s">
        <v>1266</v>
      </c>
      <c r="F3864" t="s">
        <v>1267</v>
      </c>
      <c r="G3864" t="s">
        <v>1268</v>
      </c>
      <c r="H3864" t="s">
        <v>1269</v>
      </c>
      <c r="I3864" t="s">
        <v>1270</v>
      </c>
      <c r="J3864" t="s">
        <v>1271</v>
      </c>
      <c r="K3864" t="s">
        <v>1272</v>
      </c>
      <c r="L3864" t="s">
        <v>1273</v>
      </c>
      <c r="M3864" t="s">
        <v>1274</v>
      </c>
      <c r="N3864" t="s">
        <v>957</v>
      </c>
    </row>
    <row r="3865" spans="1:14" x14ac:dyDescent="0.35">
      <c r="A3865" t="s">
        <v>227</v>
      </c>
      <c r="B3865" t="s">
        <v>245</v>
      </c>
      <c r="C3865" t="s">
        <v>1275</v>
      </c>
      <c r="D3865" s="2">
        <v>0.79759999999999998</v>
      </c>
      <c r="E3865" s="2">
        <v>0.33400000000000002</v>
      </c>
      <c r="F3865" s="2">
        <v>0.73770000000000002</v>
      </c>
      <c r="G3865" s="2">
        <v>0.56089999999999995</v>
      </c>
      <c r="H3865" s="2">
        <v>0.76329999999999998</v>
      </c>
      <c r="I3865" s="2">
        <v>0.6431</v>
      </c>
      <c r="J3865" s="2">
        <v>0.92220000000000002</v>
      </c>
      <c r="K3865" s="2">
        <v>0.78559999999999997</v>
      </c>
      <c r="L3865" s="2">
        <v>0.85819999999999996</v>
      </c>
      <c r="M3865" s="2">
        <v>0.91080000000000005</v>
      </c>
      <c r="N3865">
        <v>702</v>
      </c>
    </row>
    <row r="3866" spans="1:14" x14ac:dyDescent="0.35">
      <c r="A3866" t="s">
        <v>227</v>
      </c>
      <c r="B3866" t="s">
        <v>245</v>
      </c>
      <c r="C3866" t="s">
        <v>1276</v>
      </c>
      <c r="D3866" s="2">
        <v>1.55E-2</v>
      </c>
      <c r="E3866" s="2">
        <v>6.6699999999999995E-2</v>
      </c>
      <c r="F3866" s="2">
        <v>9.7000000000000003E-3</v>
      </c>
      <c r="G3866" s="2">
        <v>1.5699999999999999E-2</v>
      </c>
      <c r="H3866" s="2">
        <v>1.8200000000000001E-2</v>
      </c>
      <c r="I3866" s="2">
        <v>1.14E-2</v>
      </c>
      <c r="K3866" s="2">
        <v>1.5E-3</v>
      </c>
      <c r="L3866" s="2">
        <v>1.1999999999999999E-3</v>
      </c>
      <c r="M3866" s="2">
        <v>4.0000000000000002E-4</v>
      </c>
      <c r="N3866">
        <v>702</v>
      </c>
    </row>
    <row r="3867" spans="1:14" x14ac:dyDescent="0.35">
      <c r="A3867" t="s">
        <v>227</v>
      </c>
      <c r="B3867" t="s">
        <v>245</v>
      </c>
      <c r="C3867" t="s">
        <v>1277</v>
      </c>
      <c r="D3867" s="2">
        <v>0.1193</v>
      </c>
      <c r="E3867" s="2">
        <v>0.1075</v>
      </c>
      <c r="F3867" s="2">
        <v>2.0199999999999999E-2</v>
      </c>
      <c r="G3867" s="2">
        <v>0.1323</v>
      </c>
      <c r="H3867" s="2">
        <v>0.18390000000000001</v>
      </c>
      <c r="I3867" s="2">
        <v>4.2099999999999999E-2</v>
      </c>
      <c r="J3867" s="2">
        <v>6.5500000000000003E-2</v>
      </c>
      <c r="K3867" s="2">
        <v>0.20619999999999999</v>
      </c>
      <c r="L3867" s="2">
        <v>0.1074</v>
      </c>
      <c r="M3867" s="2">
        <v>8.1900000000000001E-2</v>
      </c>
      <c r="N3867">
        <v>702</v>
      </c>
    </row>
    <row r="3868" spans="1:14" x14ac:dyDescent="0.35">
      <c r="A3868" t="s">
        <v>227</v>
      </c>
      <c r="B3868" t="s">
        <v>245</v>
      </c>
      <c r="C3868" t="s">
        <v>299</v>
      </c>
      <c r="D3868" s="2">
        <v>6.7699999999999996E-2</v>
      </c>
      <c r="E3868" s="2">
        <v>0.49180000000000001</v>
      </c>
      <c r="F3868" s="2">
        <v>0.23250000000000001</v>
      </c>
      <c r="G3868" s="2">
        <v>0.29110000000000003</v>
      </c>
      <c r="H3868" s="2">
        <v>3.4700000000000002E-2</v>
      </c>
      <c r="I3868" s="2">
        <v>0.30330000000000001</v>
      </c>
      <c r="J3868" s="2">
        <v>1.23E-2</v>
      </c>
      <c r="K3868" s="2">
        <v>6.7999999999999996E-3</v>
      </c>
      <c r="L3868" s="2">
        <v>3.32E-2</v>
      </c>
      <c r="M3868" s="2">
        <v>6.8999999999999999E-3</v>
      </c>
      <c r="N3868">
        <v>702</v>
      </c>
    </row>
    <row r="3869" spans="1:14" x14ac:dyDescent="0.35">
      <c r="A3869" t="s">
        <v>227</v>
      </c>
      <c r="B3869" t="s">
        <v>244</v>
      </c>
      <c r="C3869" t="s">
        <v>1275</v>
      </c>
      <c r="D3869" s="2">
        <v>0.81610000000000005</v>
      </c>
      <c r="E3869" s="2">
        <v>0.40450000000000003</v>
      </c>
      <c r="F3869" s="2">
        <v>0.82850000000000001</v>
      </c>
      <c r="G3869" s="2">
        <v>0.61919999999999997</v>
      </c>
      <c r="H3869" s="2">
        <v>0.73099999999999998</v>
      </c>
      <c r="I3869" s="2">
        <v>0.63270000000000004</v>
      </c>
      <c r="J3869" s="2">
        <v>0.77910000000000001</v>
      </c>
      <c r="K3869" s="2">
        <v>0.78269999999999995</v>
      </c>
      <c r="L3869" s="2">
        <v>0.82499999999999996</v>
      </c>
      <c r="M3869" s="2">
        <v>0.89180000000000004</v>
      </c>
      <c r="N3869">
        <v>1844</v>
      </c>
    </row>
    <row r="3870" spans="1:14" x14ac:dyDescent="0.35">
      <c r="A3870" t="s">
        <v>227</v>
      </c>
      <c r="B3870" t="s">
        <v>244</v>
      </c>
      <c r="C3870" t="s">
        <v>1276</v>
      </c>
      <c r="D3870" s="2">
        <v>2.3300000000000001E-2</v>
      </c>
      <c r="E3870" s="2">
        <v>6.1400000000000003E-2</v>
      </c>
      <c r="F3870" s="2">
        <v>1.26E-2</v>
      </c>
      <c r="G3870" s="2">
        <v>2.12E-2</v>
      </c>
      <c r="H3870" s="2">
        <v>2.9600000000000001E-2</v>
      </c>
      <c r="I3870" s="2">
        <v>5.7000000000000002E-3</v>
      </c>
      <c r="J3870" s="2">
        <v>8.3000000000000001E-3</v>
      </c>
      <c r="K3870" s="2">
        <v>1.55E-2</v>
      </c>
      <c r="L3870" s="2">
        <v>3.7000000000000002E-3</v>
      </c>
      <c r="M3870" s="2">
        <v>4.0000000000000002E-4</v>
      </c>
      <c r="N3870">
        <v>1844</v>
      </c>
    </row>
    <row r="3871" spans="1:14" x14ac:dyDescent="0.35">
      <c r="A3871" t="s">
        <v>227</v>
      </c>
      <c r="B3871" t="s">
        <v>244</v>
      </c>
      <c r="C3871" t="s">
        <v>1277</v>
      </c>
      <c r="D3871" s="2">
        <v>0.13089999999999999</v>
      </c>
      <c r="E3871" s="2">
        <v>0.15440000000000001</v>
      </c>
      <c r="F3871" s="2">
        <v>6.0499999999999998E-2</v>
      </c>
      <c r="G3871" s="2">
        <v>0.23019999999999999</v>
      </c>
      <c r="H3871" s="2">
        <v>0.22789999999999999</v>
      </c>
      <c r="I3871" s="2">
        <v>0.04</v>
      </c>
      <c r="J3871" s="2">
        <v>0.20499999999999999</v>
      </c>
      <c r="K3871" s="2">
        <v>0.2001</v>
      </c>
      <c r="L3871" s="2">
        <v>0.15390000000000001</v>
      </c>
      <c r="M3871" s="2">
        <v>9.69E-2</v>
      </c>
      <c r="N3871">
        <v>1844</v>
      </c>
    </row>
    <row r="3872" spans="1:14" x14ac:dyDescent="0.35">
      <c r="A3872" t="s">
        <v>227</v>
      </c>
      <c r="B3872" t="s">
        <v>244</v>
      </c>
      <c r="C3872" t="s">
        <v>299</v>
      </c>
      <c r="D3872" s="2">
        <v>2.9600000000000001E-2</v>
      </c>
      <c r="E3872" s="2">
        <v>0.37980000000000003</v>
      </c>
      <c r="F3872" s="2">
        <v>9.8500000000000004E-2</v>
      </c>
      <c r="G3872" s="2">
        <v>0.12939999999999999</v>
      </c>
      <c r="H3872" s="2">
        <v>1.15E-2</v>
      </c>
      <c r="I3872" s="2">
        <v>0.3216</v>
      </c>
      <c r="J3872" s="2">
        <v>7.7000000000000002E-3</v>
      </c>
      <c r="K3872" s="2">
        <v>1.6999999999999999E-3</v>
      </c>
      <c r="L3872" s="2">
        <v>1.7399999999999999E-2</v>
      </c>
      <c r="M3872" s="2">
        <v>1.09E-2</v>
      </c>
      <c r="N3872">
        <v>1844</v>
      </c>
    </row>
    <row r="3873" spans="1:14" x14ac:dyDescent="0.35">
      <c r="A3873" t="s">
        <v>228</v>
      </c>
      <c r="B3873" t="s">
        <v>228</v>
      </c>
      <c r="C3873" t="s">
        <v>1275</v>
      </c>
      <c r="D3873" s="2">
        <v>0.81079999999999997</v>
      </c>
      <c r="E3873" s="2">
        <v>0.38419999999999999</v>
      </c>
      <c r="F3873" s="2">
        <v>0.80230000000000001</v>
      </c>
      <c r="G3873" s="2">
        <v>0.60229999999999995</v>
      </c>
      <c r="H3873" s="2">
        <v>0.74029999999999996</v>
      </c>
      <c r="I3873" s="2">
        <v>0.63570000000000004</v>
      </c>
      <c r="J3873" s="2">
        <v>0.82030000000000003</v>
      </c>
      <c r="K3873" s="2">
        <v>0.78349999999999997</v>
      </c>
      <c r="L3873" s="2">
        <v>0.83460000000000001</v>
      </c>
      <c r="M3873" s="2">
        <v>0.89729999999999999</v>
      </c>
      <c r="N3873">
        <v>2546</v>
      </c>
    </row>
    <row r="3874" spans="1:14" x14ac:dyDescent="0.35">
      <c r="A3874" t="s">
        <v>228</v>
      </c>
      <c r="B3874" t="s">
        <v>228</v>
      </c>
      <c r="C3874" t="s">
        <v>1276</v>
      </c>
      <c r="D3874" s="2">
        <v>2.1100000000000001E-2</v>
      </c>
      <c r="E3874" s="2">
        <v>6.2899999999999998E-2</v>
      </c>
      <c r="F3874" s="2">
        <v>1.17E-2</v>
      </c>
      <c r="G3874" s="2">
        <v>1.9599999999999999E-2</v>
      </c>
      <c r="H3874" s="2">
        <v>2.63E-2</v>
      </c>
      <c r="I3874" s="2">
        <v>7.3000000000000001E-3</v>
      </c>
      <c r="J3874" s="2">
        <v>5.8999999999999999E-3</v>
      </c>
      <c r="K3874" s="2">
        <v>1.14E-2</v>
      </c>
      <c r="L3874" s="2">
        <v>3.0000000000000001E-3</v>
      </c>
      <c r="M3874" s="2">
        <v>4.0000000000000002E-4</v>
      </c>
      <c r="N3874">
        <v>2546</v>
      </c>
    </row>
    <row r="3875" spans="1:14" x14ac:dyDescent="0.35">
      <c r="A3875" t="s">
        <v>228</v>
      </c>
      <c r="B3875" t="s">
        <v>228</v>
      </c>
      <c r="C3875" t="s">
        <v>1277</v>
      </c>
      <c r="D3875" s="2">
        <v>0.12759999999999999</v>
      </c>
      <c r="E3875" s="2">
        <v>0.1409</v>
      </c>
      <c r="F3875" s="2">
        <v>4.8899999999999999E-2</v>
      </c>
      <c r="G3875" s="2">
        <v>0.2019</v>
      </c>
      <c r="H3875" s="2">
        <v>0.2152</v>
      </c>
      <c r="I3875" s="2">
        <v>4.0599999999999997E-2</v>
      </c>
      <c r="J3875" s="2">
        <v>0.1648</v>
      </c>
      <c r="K3875" s="2">
        <v>0.2019</v>
      </c>
      <c r="L3875" s="2">
        <v>0.14050000000000001</v>
      </c>
      <c r="M3875" s="2">
        <v>9.2600000000000002E-2</v>
      </c>
      <c r="N3875">
        <v>2546</v>
      </c>
    </row>
    <row r="3876" spans="1:14" x14ac:dyDescent="0.35">
      <c r="A3876" t="s">
        <v>228</v>
      </c>
      <c r="B3876" t="s">
        <v>228</v>
      </c>
      <c r="C3876" t="s">
        <v>299</v>
      </c>
      <c r="D3876" s="2">
        <v>4.0599999999999997E-2</v>
      </c>
      <c r="E3876" s="2">
        <v>0.41199999999999998</v>
      </c>
      <c r="F3876" s="2">
        <v>0.1371</v>
      </c>
      <c r="G3876" s="2">
        <v>0.17610000000000001</v>
      </c>
      <c r="H3876" s="2">
        <v>1.8200000000000001E-2</v>
      </c>
      <c r="I3876" s="2">
        <v>0.31640000000000001</v>
      </c>
      <c r="J3876" s="2">
        <v>8.9999999999999993E-3</v>
      </c>
      <c r="K3876" s="2">
        <v>3.2000000000000002E-3</v>
      </c>
      <c r="L3876" s="2">
        <v>2.1899999999999999E-2</v>
      </c>
      <c r="M3876" s="2">
        <v>9.7000000000000003E-3</v>
      </c>
      <c r="N3876">
        <v>2546</v>
      </c>
    </row>
    <row r="3878" spans="1:14" x14ac:dyDescent="0.35">
      <c r="A3878" s="1" t="s">
        <v>1297</v>
      </c>
    </row>
    <row r="3879" spans="1:14" x14ac:dyDescent="0.35">
      <c r="A3879" t="s">
        <v>219</v>
      </c>
      <c r="B3879" t="s">
        <v>301</v>
      </c>
      <c r="C3879" t="s">
        <v>1279</v>
      </c>
      <c r="D3879" t="s">
        <v>1280</v>
      </c>
      <c r="E3879" t="s">
        <v>1281</v>
      </c>
      <c r="F3879" t="s">
        <v>1282</v>
      </c>
      <c r="G3879" t="s">
        <v>1283</v>
      </c>
      <c r="H3879" t="s">
        <v>277</v>
      </c>
      <c r="I3879" t="s">
        <v>226</v>
      </c>
    </row>
    <row r="3880" spans="1:14" x14ac:dyDescent="0.35">
      <c r="A3880" t="s">
        <v>227</v>
      </c>
      <c r="B3880" t="s">
        <v>245</v>
      </c>
      <c r="C3880" s="2">
        <v>0.49230000000000002</v>
      </c>
      <c r="D3880" s="2">
        <v>0.37330000000000002</v>
      </c>
      <c r="E3880" s="2">
        <v>0.33800000000000002</v>
      </c>
      <c r="F3880" s="2">
        <v>0.1038</v>
      </c>
      <c r="G3880" s="2">
        <v>0.16520000000000001</v>
      </c>
      <c r="H3880" s="2">
        <v>3.95E-2</v>
      </c>
      <c r="I3880">
        <v>433</v>
      </c>
    </row>
    <row r="3881" spans="1:14" x14ac:dyDescent="0.35">
      <c r="A3881" t="s">
        <v>227</v>
      </c>
      <c r="B3881" t="s">
        <v>244</v>
      </c>
      <c r="C3881" s="2">
        <v>0.44629999999999997</v>
      </c>
      <c r="D3881" s="2">
        <v>0.4985</v>
      </c>
      <c r="E3881" s="2">
        <v>0.31740000000000002</v>
      </c>
      <c r="F3881" s="2">
        <v>9.1999999999999998E-2</v>
      </c>
      <c r="G3881" s="2">
        <v>6.0499999999999998E-2</v>
      </c>
      <c r="H3881" s="2">
        <v>3.1899999999999998E-2</v>
      </c>
      <c r="I3881">
        <v>991</v>
      </c>
    </row>
    <row r="3882" spans="1:14" x14ac:dyDescent="0.35">
      <c r="A3882" t="s">
        <v>228</v>
      </c>
      <c r="B3882" t="s">
        <v>228</v>
      </c>
      <c r="C3882" s="2">
        <v>0.46189999999999998</v>
      </c>
      <c r="D3882" s="2">
        <v>0.45610000000000001</v>
      </c>
      <c r="E3882" s="2">
        <v>0.32429999999999998</v>
      </c>
      <c r="F3882" s="2">
        <v>9.6000000000000002E-2</v>
      </c>
      <c r="G3882" s="2">
        <v>9.6000000000000002E-2</v>
      </c>
      <c r="H3882" s="2">
        <v>3.4500000000000003E-2</v>
      </c>
      <c r="I3882">
        <v>1424</v>
      </c>
    </row>
    <row r="3884" spans="1:14" x14ac:dyDescent="0.35">
      <c r="A3884" s="1" t="s">
        <v>1298</v>
      </c>
    </row>
    <row r="3885" spans="1:14" x14ac:dyDescent="0.35">
      <c r="A3885" t="s">
        <v>219</v>
      </c>
      <c r="B3885" t="s">
        <v>301</v>
      </c>
      <c r="C3885" t="s">
        <v>1264</v>
      </c>
      <c r="D3885" t="s">
        <v>1265</v>
      </c>
      <c r="E3885" t="s">
        <v>1266</v>
      </c>
      <c r="F3885" t="s">
        <v>1267</v>
      </c>
      <c r="G3885" t="s">
        <v>1268</v>
      </c>
      <c r="H3885" t="s">
        <v>1269</v>
      </c>
      <c r="I3885" t="s">
        <v>1270</v>
      </c>
      <c r="J3885" t="s">
        <v>1271</v>
      </c>
      <c r="K3885" t="s">
        <v>1272</v>
      </c>
      <c r="L3885" t="s">
        <v>1273</v>
      </c>
      <c r="M3885" t="s">
        <v>1274</v>
      </c>
      <c r="N3885" t="s">
        <v>957</v>
      </c>
    </row>
    <row r="3886" spans="1:14" x14ac:dyDescent="0.35">
      <c r="A3886" t="s">
        <v>227</v>
      </c>
      <c r="B3886" t="s">
        <v>259</v>
      </c>
      <c r="C3886" t="s">
        <v>1275</v>
      </c>
      <c r="D3886" s="2">
        <v>0.60370000000000001</v>
      </c>
      <c r="E3886" s="2">
        <v>0.26900000000000002</v>
      </c>
      <c r="F3886" s="2">
        <v>0.71220000000000006</v>
      </c>
      <c r="G3886" s="2">
        <v>0.502</v>
      </c>
      <c r="H3886" s="2">
        <v>0.69750000000000001</v>
      </c>
      <c r="I3886" s="2">
        <v>0.4642</v>
      </c>
      <c r="J3886" s="2">
        <v>0.73209999999999997</v>
      </c>
      <c r="K3886" s="2">
        <v>0.71679999999999999</v>
      </c>
      <c r="L3886" s="2">
        <v>0.79079999999999995</v>
      </c>
      <c r="M3886" s="2">
        <v>0.98209999999999997</v>
      </c>
      <c r="N3886">
        <v>66</v>
      </c>
    </row>
    <row r="3887" spans="1:14" x14ac:dyDescent="0.35">
      <c r="A3887" t="s">
        <v>227</v>
      </c>
      <c r="B3887" t="s">
        <v>258</v>
      </c>
      <c r="C3887" t="s">
        <v>299</v>
      </c>
      <c r="D3887" s="2">
        <v>6.9699999999999998E-2</v>
      </c>
      <c r="E3887" s="2">
        <v>0.45329999999999998</v>
      </c>
      <c r="F3887" s="2">
        <v>0.15809999999999999</v>
      </c>
      <c r="G3887" s="2">
        <v>0.3049</v>
      </c>
      <c r="H3887" s="2">
        <v>2.3300000000000001E-2</v>
      </c>
      <c r="I3887" s="2">
        <v>0.28460000000000002</v>
      </c>
      <c r="J3887" s="2">
        <v>7.4000000000000003E-3</v>
      </c>
      <c r="K3887" s="2">
        <v>1.4E-3</v>
      </c>
      <c r="L3887" s="2">
        <v>3.15E-2</v>
      </c>
      <c r="M3887" s="2">
        <v>1.4500000000000001E-2</v>
      </c>
      <c r="N3887">
        <v>476</v>
      </c>
    </row>
    <row r="3888" spans="1:14" x14ac:dyDescent="0.35">
      <c r="A3888" t="s">
        <v>227</v>
      </c>
      <c r="B3888" t="s">
        <v>258</v>
      </c>
      <c r="C3888" t="s">
        <v>1277</v>
      </c>
      <c r="D3888" s="2">
        <v>6.8000000000000005E-2</v>
      </c>
      <c r="E3888" s="2">
        <v>8.6800000000000002E-2</v>
      </c>
      <c r="F3888" s="2">
        <v>3.3000000000000002E-2</v>
      </c>
      <c r="G3888" s="2">
        <v>0.1305</v>
      </c>
      <c r="H3888" s="2">
        <v>0.1729</v>
      </c>
      <c r="I3888" s="2">
        <v>2.12E-2</v>
      </c>
      <c r="J3888" s="2">
        <v>8.3199999999999996E-2</v>
      </c>
      <c r="K3888" s="2">
        <v>0.13930000000000001</v>
      </c>
      <c r="L3888" s="2">
        <v>0.1091</v>
      </c>
      <c r="M3888" s="2">
        <v>5.1200000000000002E-2</v>
      </c>
      <c r="N3888">
        <v>476</v>
      </c>
    </row>
    <row r="3889" spans="1:14" x14ac:dyDescent="0.35">
      <c r="A3889" t="s">
        <v>227</v>
      </c>
      <c r="B3889" t="s">
        <v>258</v>
      </c>
      <c r="C3889" t="s">
        <v>1276</v>
      </c>
      <c r="D3889" s="2">
        <v>0.02</v>
      </c>
      <c r="E3889" s="2">
        <v>6.1699999999999998E-2</v>
      </c>
      <c r="F3889" s="2">
        <v>9.2999999999999992E-3</v>
      </c>
      <c r="G3889" s="2">
        <v>1.7000000000000001E-2</v>
      </c>
      <c r="H3889" s="2">
        <v>2.24E-2</v>
      </c>
      <c r="I3889" s="2">
        <v>5.7000000000000002E-3</v>
      </c>
      <c r="K3889" s="2">
        <v>1.8E-3</v>
      </c>
      <c r="L3889" s="2">
        <v>2.7000000000000001E-3</v>
      </c>
      <c r="M3889" s="2">
        <v>1E-3</v>
      </c>
      <c r="N3889">
        <v>476</v>
      </c>
    </row>
    <row r="3890" spans="1:14" x14ac:dyDescent="0.35">
      <c r="A3890" t="s">
        <v>227</v>
      </c>
      <c r="B3890" t="s">
        <v>258</v>
      </c>
      <c r="C3890" t="s">
        <v>1275</v>
      </c>
      <c r="D3890" s="2">
        <v>0.84230000000000005</v>
      </c>
      <c r="E3890" s="2">
        <v>0.3982</v>
      </c>
      <c r="F3890" s="2">
        <v>0.79959999999999998</v>
      </c>
      <c r="G3890" s="2">
        <v>0.54759999999999998</v>
      </c>
      <c r="H3890" s="2">
        <v>0.78129999999999999</v>
      </c>
      <c r="I3890" s="2">
        <v>0.6885</v>
      </c>
      <c r="J3890" s="2">
        <v>0.90939999999999999</v>
      </c>
      <c r="K3890" s="2">
        <v>0.85750000000000004</v>
      </c>
      <c r="L3890" s="2">
        <v>0.85670000000000002</v>
      </c>
      <c r="M3890" s="2">
        <v>0.93340000000000001</v>
      </c>
      <c r="N3890">
        <v>476</v>
      </c>
    </row>
    <row r="3891" spans="1:14" x14ac:dyDescent="0.35">
      <c r="A3891" s="3" t="s">
        <v>227</v>
      </c>
      <c r="B3891" s="3" t="s">
        <v>232</v>
      </c>
      <c r="C3891" s="3" t="s">
        <v>1277</v>
      </c>
      <c r="D3891" s="4">
        <v>0.38829999999999998</v>
      </c>
      <c r="E3891" s="4">
        <v>0.47799999999999998</v>
      </c>
      <c r="F3891" s="4">
        <v>0.38829999999999998</v>
      </c>
      <c r="G3891" s="4">
        <v>0.50339999999999996</v>
      </c>
      <c r="H3891" s="4">
        <v>0.51670000000000005</v>
      </c>
      <c r="I3891" s="5"/>
      <c r="J3891" s="4">
        <v>0.26219999999999999</v>
      </c>
      <c r="K3891" s="4">
        <v>0.34410000000000002</v>
      </c>
      <c r="L3891" s="4">
        <v>0.34410000000000002</v>
      </c>
      <c r="M3891" s="4">
        <v>0.38829999999999998</v>
      </c>
      <c r="N3891" s="5">
        <v>11</v>
      </c>
    </row>
    <row r="3892" spans="1:14" x14ac:dyDescent="0.35">
      <c r="A3892" s="3" t="s">
        <v>227</v>
      </c>
      <c r="B3892" s="3" t="s">
        <v>232</v>
      </c>
      <c r="C3892" s="3" t="s">
        <v>1275</v>
      </c>
      <c r="D3892" s="4">
        <v>0.61170000000000002</v>
      </c>
      <c r="E3892" s="4">
        <v>0.1709</v>
      </c>
      <c r="F3892" s="4">
        <v>0.61170000000000002</v>
      </c>
      <c r="G3892" s="4">
        <v>0.48330000000000001</v>
      </c>
      <c r="H3892" s="4">
        <v>0.48330000000000001</v>
      </c>
      <c r="I3892" s="4">
        <v>0.13569999999999999</v>
      </c>
      <c r="J3892" s="4">
        <v>0.73780000000000001</v>
      </c>
      <c r="K3892" s="4">
        <v>0.65590000000000004</v>
      </c>
      <c r="L3892" s="4">
        <v>0.64259999999999995</v>
      </c>
      <c r="M3892" s="4">
        <v>0.61170000000000002</v>
      </c>
      <c r="N3892" s="5">
        <v>11</v>
      </c>
    </row>
    <row r="3893" spans="1:14" x14ac:dyDescent="0.35">
      <c r="A3893" t="s">
        <v>227</v>
      </c>
      <c r="B3893" t="s">
        <v>256</v>
      </c>
      <c r="C3893" t="s">
        <v>299</v>
      </c>
      <c r="D3893" s="2">
        <v>3.3300000000000003E-2</v>
      </c>
      <c r="E3893" s="2">
        <v>0.38279999999999997</v>
      </c>
      <c r="F3893" s="2">
        <v>0.14219999999999999</v>
      </c>
      <c r="G3893" s="2">
        <v>0.1615</v>
      </c>
      <c r="H3893" s="2">
        <v>1.7500000000000002E-2</v>
      </c>
      <c r="I3893" s="2">
        <v>0.28089999999999998</v>
      </c>
      <c r="J3893" s="2">
        <v>1.06E-2</v>
      </c>
      <c r="K3893" s="2">
        <v>3.2000000000000002E-3</v>
      </c>
      <c r="L3893" s="2">
        <v>2.01E-2</v>
      </c>
      <c r="M3893" s="2">
        <v>7.9000000000000008E-3</v>
      </c>
      <c r="N3893">
        <v>1626</v>
      </c>
    </row>
    <row r="3894" spans="1:14" x14ac:dyDescent="0.35">
      <c r="A3894" t="s">
        <v>227</v>
      </c>
      <c r="B3894" t="s">
        <v>256</v>
      </c>
      <c r="C3894" t="s">
        <v>1276</v>
      </c>
      <c r="D3894" s="2">
        <v>1.4E-2</v>
      </c>
      <c r="E3894" s="2">
        <v>5.8000000000000003E-2</v>
      </c>
      <c r="F3894" s="2">
        <v>1.0999999999999999E-2</v>
      </c>
      <c r="G3894" s="2">
        <v>1.78E-2</v>
      </c>
      <c r="H3894" s="2">
        <v>1.9699999999999999E-2</v>
      </c>
      <c r="I3894" s="2">
        <v>9.7999999999999997E-3</v>
      </c>
      <c r="J3894" s="2">
        <v>7.7000000000000002E-3</v>
      </c>
      <c r="K3894" s="2">
        <v>1.3899999999999999E-2</v>
      </c>
      <c r="L3894" s="2">
        <v>3.8999999999999998E-3</v>
      </c>
      <c r="M3894" s="2">
        <v>4.0000000000000002E-4</v>
      </c>
      <c r="N3894">
        <v>1626</v>
      </c>
    </row>
    <row r="3895" spans="1:14" x14ac:dyDescent="0.35">
      <c r="A3895" t="s">
        <v>227</v>
      </c>
      <c r="B3895" t="s">
        <v>256</v>
      </c>
      <c r="C3895" t="s">
        <v>1277</v>
      </c>
      <c r="D3895" s="2">
        <v>0.1135</v>
      </c>
      <c r="E3895" s="2">
        <v>0.154</v>
      </c>
      <c r="F3895" s="2">
        <v>4.6699999999999998E-2</v>
      </c>
      <c r="G3895" s="2">
        <v>0.1958</v>
      </c>
      <c r="H3895" s="2">
        <v>0.19139999999999999</v>
      </c>
      <c r="I3895" s="2">
        <v>4.8399999999999999E-2</v>
      </c>
      <c r="J3895" s="2">
        <v>0.1731</v>
      </c>
      <c r="K3895" s="2">
        <v>0.1605</v>
      </c>
      <c r="L3895" s="2">
        <v>0.14180000000000001</v>
      </c>
      <c r="M3895" s="2">
        <v>0.1076</v>
      </c>
      <c r="N3895">
        <v>1626</v>
      </c>
    </row>
    <row r="3896" spans="1:14" x14ac:dyDescent="0.35">
      <c r="A3896" t="s">
        <v>227</v>
      </c>
      <c r="B3896" t="s">
        <v>257</v>
      </c>
      <c r="C3896" t="s">
        <v>299</v>
      </c>
      <c r="D3896" s="2">
        <v>3.7600000000000001E-2</v>
      </c>
      <c r="E3896" s="2">
        <v>0.48720000000000002</v>
      </c>
      <c r="F3896" s="2">
        <v>8.3900000000000002E-2</v>
      </c>
      <c r="G3896" s="2">
        <v>0.11940000000000001</v>
      </c>
      <c r="H3896" s="2">
        <v>1.8599999999999998E-2</v>
      </c>
      <c r="I3896" s="2">
        <v>0.45950000000000002</v>
      </c>
      <c r="J3896" s="2">
        <v>5.4000000000000003E-3</v>
      </c>
      <c r="K3896" s="2">
        <v>4.8999999999999998E-3</v>
      </c>
      <c r="L3896" s="2">
        <v>2.3300000000000001E-2</v>
      </c>
      <c r="M3896" s="2">
        <v>1.38E-2</v>
      </c>
      <c r="N3896">
        <v>367</v>
      </c>
    </row>
    <row r="3897" spans="1:14" x14ac:dyDescent="0.35">
      <c r="A3897" t="s">
        <v>227</v>
      </c>
      <c r="B3897" t="s">
        <v>257</v>
      </c>
      <c r="C3897" t="s">
        <v>1277</v>
      </c>
      <c r="D3897" s="2">
        <v>0.22650000000000001</v>
      </c>
      <c r="E3897" s="2">
        <v>0.13320000000000001</v>
      </c>
      <c r="F3897" s="2">
        <v>7.2099999999999997E-2</v>
      </c>
      <c r="G3897" s="2">
        <v>0.27489999999999998</v>
      </c>
      <c r="H3897" s="2">
        <v>0.34560000000000002</v>
      </c>
      <c r="I3897" s="2">
        <v>2.58E-2</v>
      </c>
      <c r="J3897" s="2">
        <v>0.1913</v>
      </c>
      <c r="K3897" s="2">
        <v>0.41020000000000001</v>
      </c>
      <c r="L3897" s="2">
        <v>0.15310000000000001</v>
      </c>
      <c r="M3897" s="2">
        <v>7.4499999999999997E-2</v>
      </c>
      <c r="N3897">
        <v>367</v>
      </c>
    </row>
    <row r="3898" spans="1:14" x14ac:dyDescent="0.35">
      <c r="A3898" t="s">
        <v>227</v>
      </c>
      <c r="B3898" t="s">
        <v>257</v>
      </c>
      <c r="C3898" t="s">
        <v>1276</v>
      </c>
      <c r="D3898" s="2">
        <v>3.9800000000000002E-2</v>
      </c>
      <c r="E3898" s="2">
        <v>7.5700000000000003E-2</v>
      </c>
      <c r="F3898" s="2">
        <v>1.7999999999999999E-2</v>
      </c>
      <c r="G3898" s="2">
        <v>3.09E-2</v>
      </c>
      <c r="H3898" s="2">
        <v>4.7199999999999999E-2</v>
      </c>
      <c r="J3898" s="2">
        <v>4.8999999999999998E-3</v>
      </c>
      <c r="K3898" s="2">
        <v>1.14E-2</v>
      </c>
      <c r="N3898">
        <v>367</v>
      </c>
    </row>
    <row r="3899" spans="1:14" x14ac:dyDescent="0.35">
      <c r="A3899" t="s">
        <v>227</v>
      </c>
      <c r="B3899" t="s">
        <v>257</v>
      </c>
      <c r="C3899" t="s">
        <v>1275</v>
      </c>
      <c r="D3899" s="2">
        <v>0.69599999999999995</v>
      </c>
      <c r="E3899" s="2">
        <v>0.30380000000000001</v>
      </c>
      <c r="F3899" s="2">
        <v>0.82599999999999996</v>
      </c>
      <c r="G3899" s="2">
        <v>0.57479999999999998</v>
      </c>
      <c r="H3899" s="2">
        <v>0.58860000000000001</v>
      </c>
      <c r="I3899" s="2">
        <v>0.51459999999999995</v>
      </c>
      <c r="J3899" s="2">
        <v>0.7984</v>
      </c>
      <c r="K3899" s="2">
        <v>0.57340000000000002</v>
      </c>
      <c r="L3899" s="2">
        <v>0.82369999999999999</v>
      </c>
      <c r="M3899" s="2">
        <v>0.91169999999999995</v>
      </c>
      <c r="N3899">
        <v>367</v>
      </c>
    </row>
    <row r="3900" spans="1:14" x14ac:dyDescent="0.35">
      <c r="A3900" t="s">
        <v>227</v>
      </c>
      <c r="B3900" t="s">
        <v>259</v>
      </c>
      <c r="C3900" t="s">
        <v>299</v>
      </c>
      <c r="D3900" s="2">
        <v>0.1008</v>
      </c>
      <c r="E3900" s="2">
        <v>0.45419999999999999</v>
      </c>
      <c r="F3900" s="2">
        <v>0.28299999999999997</v>
      </c>
      <c r="G3900" s="2">
        <v>0.1968</v>
      </c>
      <c r="I3900" s="2">
        <v>0.48</v>
      </c>
      <c r="N3900">
        <v>66</v>
      </c>
    </row>
    <row r="3901" spans="1:14" x14ac:dyDescent="0.35">
      <c r="A3901" t="s">
        <v>227</v>
      </c>
      <c r="B3901" t="s">
        <v>259</v>
      </c>
      <c r="C3901" t="s">
        <v>1277</v>
      </c>
      <c r="D3901" s="2">
        <v>0.18160000000000001</v>
      </c>
      <c r="E3901" s="2">
        <v>0.13539999999999999</v>
      </c>
      <c r="F3901" s="2">
        <v>1.6000000000000001E-3</v>
      </c>
      <c r="G3901" s="2">
        <v>0.2984</v>
      </c>
      <c r="H3901" s="2">
        <v>0.19400000000000001</v>
      </c>
      <c r="I3901" s="2">
        <v>5.5899999999999998E-2</v>
      </c>
      <c r="J3901" s="2">
        <v>0.26790000000000003</v>
      </c>
      <c r="K3901" s="2">
        <v>0.28320000000000001</v>
      </c>
      <c r="L3901" s="2">
        <v>0.2092</v>
      </c>
      <c r="M3901" s="2">
        <v>1.6299999999999999E-2</v>
      </c>
      <c r="N3901">
        <v>66</v>
      </c>
    </row>
    <row r="3902" spans="1:14" x14ac:dyDescent="0.35">
      <c r="A3902" t="s">
        <v>227</v>
      </c>
      <c r="B3902" t="s">
        <v>259</v>
      </c>
      <c r="C3902" t="s">
        <v>1276</v>
      </c>
      <c r="D3902" s="2">
        <v>0.1139</v>
      </c>
      <c r="E3902" s="2">
        <v>0.14149999999999999</v>
      </c>
      <c r="F3902" s="2">
        <v>3.2000000000000002E-3</v>
      </c>
      <c r="G3902" s="2">
        <v>2.8E-3</v>
      </c>
      <c r="H3902" s="2">
        <v>0.1085</v>
      </c>
      <c r="M3902" s="2">
        <v>1.6000000000000001E-3</v>
      </c>
      <c r="N3902">
        <v>66</v>
      </c>
    </row>
    <row r="3903" spans="1:14" x14ac:dyDescent="0.35">
      <c r="A3903" t="s">
        <v>227</v>
      </c>
      <c r="B3903" t="s">
        <v>256</v>
      </c>
      <c r="C3903" t="s">
        <v>1275</v>
      </c>
      <c r="D3903" s="2">
        <v>0.83919999999999995</v>
      </c>
      <c r="E3903" s="2">
        <v>0.40529999999999999</v>
      </c>
      <c r="F3903" s="2">
        <v>0.80010000000000003</v>
      </c>
      <c r="G3903" s="2">
        <v>0.62490000000000001</v>
      </c>
      <c r="H3903" s="2">
        <v>0.77149999999999996</v>
      </c>
      <c r="I3903" s="2">
        <v>0.66090000000000004</v>
      </c>
      <c r="J3903" s="2">
        <v>0.80859999999999999</v>
      </c>
      <c r="K3903" s="2">
        <v>0.82240000000000002</v>
      </c>
      <c r="L3903" s="2">
        <v>0.83420000000000005</v>
      </c>
      <c r="M3903" s="2">
        <v>0.8841</v>
      </c>
      <c r="N3903">
        <v>1626</v>
      </c>
    </row>
    <row r="3904" spans="1:14" x14ac:dyDescent="0.35">
      <c r="A3904" t="s">
        <v>228</v>
      </c>
      <c r="B3904" t="s">
        <v>228</v>
      </c>
      <c r="C3904" t="s">
        <v>1277</v>
      </c>
      <c r="D3904" s="2">
        <v>0.12759999999999999</v>
      </c>
      <c r="E3904" s="2">
        <v>0.1409</v>
      </c>
      <c r="F3904" s="2">
        <v>4.8899999999999999E-2</v>
      </c>
      <c r="G3904" s="2">
        <v>0.2019</v>
      </c>
      <c r="H3904" s="2">
        <v>0.2152</v>
      </c>
      <c r="I3904" s="2">
        <v>4.0599999999999997E-2</v>
      </c>
      <c r="J3904" s="2">
        <v>0.1648</v>
      </c>
      <c r="K3904" s="2">
        <v>0.2019</v>
      </c>
      <c r="L3904" s="2">
        <v>0.14050000000000001</v>
      </c>
      <c r="M3904" s="2">
        <v>9.2600000000000002E-2</v>
      </c>
      <c r="N3904">
        <v>2546</v>
      </c>
    </row>
    <row r="3905" spans="1:14" x14ac:dyDescent="0.35">
      <c r="A3905" t="s">
        <v>228</v>
      </c>
      <c r="B3905" t="s">
        <v>228</v>
      </c>
      <c r="C3905" t="s">
        <v>1275</v>
      </c>
      <c r="D3905" s="2">
        <v>0.81079999999999997</v>
      </c>
      <c r="E3905" s="2">
        <v>0.38419999999999999</v>
      </c>
      <c r="F3905" s="2">
        <v>0.80230000000000001</v>
      </c>
      <c r="G3905" s="2">
        <v>0.60229999999999995</v>
      </c>
      <c r="H3905" s="2">
        <v>0.74029999999999996</v>
      </c>
      <c r="I3905" s="2">
        <v>0.63570000000000004</v>
      </c>
      <c r="J3905" s="2">
        <v>0.82030000000000003</v>
      </c>
      <c r="K3905" s="2">
        <v>0.78349999999999997</v>
      </c>
      <c r="L3905" s="2">
        <v>0.83460000000000001</v>
      </c>
      <c r="M3905" s="2">
        <v>0.89729999999999999</v>
      </c>
      <c r="N3905">
        <v>2546</v>
      </c>
    </row>
    <row r="3906" spans="1:14" x14ac:dyDescent="0.35">
      <c r="A3906" t="s">
        <v>228</v>
      </c>
      <c r="B3906" t="s">
        <v>228</v>
      </c>
      <c r="C3906" t="s">
        <v>1276</v>
      </c>
      <c r="D3906" s="2">
        <v>2.1100000000000001E-2</v>
      </c>
      <c r="E3906" s="2">
        <v>6.2899999999999998E-2</v>
      </c>
      <c r="F3906" s="2">
        <v>1.17E-2</v>
      </c>
      <c r="G3906" s="2">
        <v>1.9599999999999999E-2</v>
      </c>
      <c r="H3906" s="2">
        <v>2.63E-2</v>
      </c>
      <c r="I3906" s="2">
        <v>7.3000000000000001E-3</v>
      </c>
      <c r="J3906" s="2">
        <v>5.8999999999999999E-3</v>
      </c>
      <c r="K3906" s="2">
        <v>1.14E-2</v>
      </c>
      <c r="L3906" s="2">
        <v>3.0000000000000001E-3</v>
      </c>
      <c r="M3906" s="2">
        <v>4.0000000000000002E-4</v>
      </c>
      <c r="N3906">
        <v>2546</v>
      </c>
    </row>
    <row r="3907" spans="1:14" x14ac:dyDescent="0.35">
      <c r="A3907" t="s">
        <v>228</v>
      </c>
      <c r="B3907" t="s">
        <v>228</v>
      </c>
      <c r="C3907" t="s">
        <v>299</v>
      </c>
      <c r="D3907" s="2">
        <v>4.0599999999999997E-2</v>
      </c>
      <c r="E3907" s="2">
        <v>0.41199999999999998</v>
      </c>
      <c r="F3907" s="2">
        <v>0.1371</v>
      </c>
      <c r="G3907" s="2">
        <v>0.17610000000000001</v>
      </c>
      <c r="H3907" s="2">
        <v>1.8200000000000001E-2</v>
      </c>
      <c r="I3907" s="2">
        <v>0.31640000000000001</v>
      </c>
      <c r="J3907" s="2">
        <v>8.9999999999999993E-3</v>
      </c>
      <c r="K3907" s="2">
        <v>3.2000000000000002E-3</v>
      </c>
      <c r="L3907" s="2">
        <v>2.1899999999999999E-2</v>
      </c>
      <c r="M3907" s="2">
        <v>9.7000000000000003E-3</v>
      </c>
      <c r="N3907">
        <v>2546</v>
      </c>
    </row>
    <row r="3909" spans="1:14" x14ac:dyDescent="0.35">
      <c r="A3909" s="1" t="s">
        <v>1299</v>
      </c>
    </row>
    <row r="3910" spans="1:14" x14ac:dyDescent="0.35">
      <c r="A3910" t="s">
        <v>219</v>
      </c>
      <c r="B3910" t="s">
        <v>301</v>
      </c>
      <c r="C3910" t="s">
        <v>1279</v>
      </c>
      <c r="D3910" t="s">
        <v>1280</v>
      </c>
      <c r="E3910" t="s">
        <v>1281</v>
      </c>
      <c r="F3910" t="s">
        <v>1282</v>
      </c>
      <c r="G3910" t="s">
        <v>1283</v>
      </c>
      <c r="H3910" t="s">
        <v>277</v>
      </c>
      <c r="I3910" t="s">
        <v>226</v>
      </c>
    </row>
    <row r="3911" spans="1:14" x14ac:dyDescent="0.35">
      <c r="A3911" t="s">
        <v>227</v>
      </c>
      <c r="B3911" t="s">
        <v>259</v>
      </c>
      <c r="C3911" s="2">
        <v>0.32600000000000001</v>
      </c>
      <c r="D3911" s="2">
        <v>0.23930000000000001</v>
      </c>
      <c r="E3911" s="2">
        <v>0.49969999999999998</v>
      </c>
      <c r="F3911" s="2">
        <v>0.16</v>
      </c>
      <c r="G3911" s="2">
        <v>0.1832</v>
      </c>
      <c r="H3911" s="2">
        <v>7.8299999999999995E-2</v>
      </c>
      <c r="I3911">
        <v>44</v>
      </c>
    </row>
    <row r="3912" spans="1:14" x14ac:dyDescent="0.35">
      <c r="A3912" t="s">
        <v>227</v>
      </c>
      <c r="B3912" t="s">
        <v>257</v>
      </c>
      <c r="C3912" s="2">
        <v>0.4733</v>
      </c>
      <c r="D3912" s="2">
        <v>0.48309999999999997</v>
      </c>
      <c r="E3912" s="2">
        <v>0.43830000000000002</v>
      </c>
      <c r="F3912" s="2">
        <v>0.1066</v>
      </c>
      <c r="G3912" s="2">
        <v>6.7799999999999999E-2</v>
      </c>
      <c r="H3912" s="2">
        <v>3.3999999999999998E-3</v>
      </c>
      <c r="I3912">
        <v>249</v>
      </c>
    </row>
    <row r="3913" spans="1:14" x14ac:dyDescent="0.35">
      <c r="A3913" t="s">
        <v>227</v>
      </c>
      <c r="B3913" t="s">
        <v>256</v>
      </c>
      <c r="C3913" s="2">
        <v>0.45700000000000002</v>
      </c>
      <c r="D3913" s="2">
        <v>0.47439999999999999</v>
      </c>
      <c r="E3913" s="2">
        <v>0.27450000000000002</v>
      </c>
      <c r="F3913" s="2">
        <v>8.8900000000000007E-2</v>
      </c>
      <c r="G3913" s="2">
        <v>9.8699999999999996E-2</v>
      </c>
      <c r="H3913" s="2">
        <v>3.9600000000000003E-2</v>
      </c>
      <c r="I3913">
        <v>832</v>
      </c>
    </row>
    <row r="3914" spans="1:14" x14ac:dyDescent="0.35">
      <c r="A3914" s="3" t="s">
        <v>227</v>
      </c>
      <c r="B3914" s="3" t="s">
        <v>232</v>
      </c>
      <c r="C3914" s="4">
        <v>0.35049999999999998</v>
      </c>
      <c r="D3914" s="4">
        <v>0.57430000000000003</v>
      </c>
      <c r="E3914" s="5"/>
      <c r="F3914" s="4">
        <v>0.3034</v>
      </c>
      <c r="G3914" s="5"/>
      <c r="H3914" s="4">
        <v>0.37859999999999999</v>
      </c>
      <c r="I3914" s="5" t="s">
        <v>366</v>
      </c>
    </row>
    <row r="3915" spans="1:14" x14ac:dyDescent="0.35">
      <c r="A3915" t="s">
        <v>227</v>
      </c>
      <c r="B3915" t="s">
        <v>258</v>
      </c>
      <c r="C3915" s="2">
        <v>0.49299999999999999</v>
      </c>
      <c r="D3915" s="2">
        <v>0.378</v>
      </c>
      <c r="E3915" s="2">
        <v>0.36919999999999997</v>
      </c>
      <c r="F3915" s="2">
        <v>9.7699999999999995E-2</v>
      </c>
      <c r="G3915" s="2">
        <v>0.1082</v>
      </c>
      <c r="H3915" s="2">
        <v>3.73E-2</v>
      </c>
      <c r="I3915">
        <v>292</v>
      </c>
    </row>
    <row r="3916" spans="1:14" x14ac:dyDescent="0.35">
      <c r="A3916" t="s">
        <v>228</v>
      </c>
      <c r="B3916" t="s">
        <v>228</v>
      </c>
      <c r="C3916" s="2">
        <v>0.46189999999999998</v>
      </c>
      <c r="D3916" s="2">
        <v>0.45610000000000001</v>
      </c>
      <c r="E3916" s="2">
        <v>0.32429999999999998</v>
      </c>
      <c r="F3916" s="2">
        <v>9.6000000000000002E-2</v>
      </c>
      <c r="G3916" s="2">
        <v>9.6000000000000002E-2</v>
      </c>
      <c r="H3916" s="2">
        <v>3.4500000000000003E-2</v>
      </c>
      <c r="I3916">
        <v>1424</v>
      </c>
    </row>
    <row r="3918" spans="1:14" x14ac:dyDescent="0.35">
      <c r="A3918" s="1" t="s">
        <v>1300</v>
      </c>
    </row>
    <row r="3919" spans="1:14" x14ac:dyDescent="0.35">
      <c r="A3919" t="s">
        <v>219</v>
      </c>
      <c r="B3919" t="s">
        <v>301</v>
      </c>
      <c r="C3919" t="s">
        <v>1264</v>
      </c>
      <c r="D3919" t="s">
        <v>1265</v>
      </c>
      <c r="E3919" t="s">
        <v>1266</v>
      </c>
      <c r="F3919" t="s">
        <v>1267</v>
      </c>
      <c r="G3919" t="s">
        <v>1268</v>
      </c>
      <c r="H3919" t="s">
        <v>1269</v>
      </c>
      <c r="I3919" t="s">
        <v>1270</v>
      </c>
      <c r="J3919" t="s">
        <v>1271</v>
      </c>
      <c r="K3919" t="s">
        <v>1272</v>
      </c>
      <c r="L3919" t="s">
        <v>1273</v>
      </c>
      <c r="M3919" t="s">
        <v>1274</v>
      </c>
      <c r="N3919" t="s">
        <v>957</v>
      </c>
    </row>
    <row r="3920" spans="1:14" x14ac:dyDescent="0.35">
      <c r="A3920" t="s">
        <v>227</v>
      </c>
      <c r="B3920" t="s">
        <v>343</v>
      </c>
      <c r="C3920" t="s">
        <v>1275</v>
      </c>
      <c r="D3920" s="2">
        <v>0.69599999999999995</v>
      </c>
      <c r="E3920" s="2">
        <v>0.30380000000000001</v>
      </c>
      <c r="F3920" s="2">
        <v>0.82599999999999996</v>
      </c>
      <c r="G3920" s="2">
        <v>0.57479999999999998</v>
      </c>
      <c r="H3920" s="2">
        <v>0.58860000000000001</v>
      </c>
      <c r="I3920" s="2">
        <v>0.51459999999999995</v>
      </c>
      <c r="J3920" s="2">
        <v>0.7984</v>
      </c>
      <c r="K3920" s="2">
        <v>0.57340000000000002</v>
      </c>
      <c r="L3920" s="2">
        <v>0.82369999999999999</v>
      </c>
      <c r="M3920" s="2">
        <v>0.91169999999999995</v>
      </c>
      <c r="N3920">
        <v>367</v>
      </c>
    </row>
    <row r="3921" spans="1:14" x14ac:dyDescent="0.35">
      <c r="A3921" t="s">
        <v>227</v>
      </c>
      <c r="B3921" t="s">
        <v>343</v>
      </c>
      <c r="C3921" t="s">
        <v>1276</v>
      </c>
      <c r="D3921" s="2">
        <v>3.9800000000000002E-2</v>
      </c>
      <c r="E3921" s="2">
        <v>7.5700000000000003E-2</v>
      </c>
      <c r="F3921" s="2">
        <v>1.7999999999999999E-2</v>
      </c>
      <c r="G3921" s="2">
        <v>3.09E-2</v>
      </c>
      <c r="H3921" s="2">
        <v>4.7199999999999999E-2</v>
      </c>
      <c r="J3921" s="2">
        <v>4.8999999999999998E-3</v>
      </c>
      <c r="K3921" s="2">
        <v>1.14E-2</v>
      </c>
      <c r="N3921">
        <v>367</v>
      </c>
    </row>
    <row r="3922" spans="1:14" x14ac:dyDescent="0.35">
      <c r="A3922" t="s">
        <v>227</v>
      </c>
      <c r="B3922" t="s">
        <v>343</v>
      </c>
      <c r="C3922" t="s">
        <v>1277</v>
      </c>
      <c r="D3922" s="2">
        <v>0.22650000000000001</v>
      </c>
      <c r="E3922" s="2">
        <v>0.13320000000000001</v>
      </c>
      <c r="F3922" s="2">
        <v>7.2099999999999997E-2</v>
      </c>
      <c r="G3922" s="2">
        <v>0.27489999999999998</v>
      </c>
      <c r="H3922" s="2">
        <v>0.34560000000000002</v>
      </c>
      <c r="I3922" s="2">
        <v>2.58E-2</v>
      </c>
      <c r="J3922" s="2">
        <v>0.1913</v>
      </c>
      <c r="K3922" s="2">
        <v>0.41020000000000001</v>
      </c>
      <c r="L3922" s="2">
        <v>0.15310000000000001</v>
      </c>
      <c r="M3922" s="2">
        <v>7.4499999999999997E-2</v>
      </c>
      <c r="N3922">
        <v>367</v>
      </c>
    </row>
    <row r="3923" spans="1:14" x14ac:dyDescent="0.35">
      <c r="A3923" t="s">
        <v>227</v>
      </c>
      <c r="B3923" t="s">
        <v>343</v>
      </c>
      <c r="C3923" t="s">
        <v>299</v>
      </c>
      <c r="D3923" s="2">
        <v>3.7600000000000001E-2</v>
      </c>
      <c r="E3923" s="2">
        <v>0.48720000000000002</v>
      </c>
      <c r="F3923" s="2">
        <v>8.3900000000000002E-2</v>
      </c>
      <c r="G3923" s="2">
        <v>0.11940000000000001</v>
      </c>
      <c r="H3923" s="2">
        <v>1.8599999999999998E-2</v>
      </c>
      <c r="I3923" s="2">
        <v>0.45950000000000002</v>
      </c>
      <c r="J3923" s="2">
        <v>5.4000000000000003E-3</v>
      </c>
      <c r="K3923" s="2">
        <v>4.8999999999999998E-3</v>
      </c>
      <c r="L3923" s="2">
        <v>2.3300000000000001E-2</v>
      </c>
      <c r="M3923" s="2">
        <v>1.38E-2</v>
      </c>
      <c r="N3923">
        <v>367</v>
      </c>
    </row>
    <row r="3924" spans="1:14" x14ac:dyDescent="0.35">
      <c r="A3924" t="s">
        <v>227</v>
      </c>
      <c r="B3924" t="s">
        <v>344</v>
      </c>
      <c r="C3924" t="s">
        <v>1275</v>
      </c>
      <c r="D3924" s="2">
        <v>0.83389999999999997</v>
      </c>
      <c r="E3924" s="2">
        <v>0.40039999999999998</v>
      </c>
      <c r="F3924" s="2">
        <v>0.79759999999999998</v>
      </c>
      <c r="G3924" s="2">
        <v>0.6079</v>
      </c>
      <c r="H3924" s="2">
        <v>0.77080000000000004</v>
      </c>
      <c r="I3924" s="2">
        <v>0.66010000000000002</v>
      </c>
      <c r="J3924" s="2">
        <v>0.82469999999999999</v>
      </c>
      <c r="K3924" s="2">
        <v>0.82579999999999998</v>
      </c>
      <c r="L3924" s="2">
        <v>0.83679999999999999</v>
      </c>
      <c r="M3924" s="2">
        <v>0.89439999999999997</v>
      </c>
      <c r="N3924">
        <v>2179</v>
      </c>
    </row>
    <row r="3925" spans="1:14" x14ac:dyDescent="0.35">
      <c r="A3925" t="s">
        <v>227</v>
      </c>
      <c r="B3925" t="s">
        <v>344</v>
      </c>
      <c r="C3925" t="s">
        <v>1276</v>
      </c>
      <c r="D3925" s="2">
        <v>1.7299999999999999E-2</v>
      </c>
      <c r="E3925" s="2">
        <v>6.0299999999999999E-2</v>
      </c>
      <c r="F3925" s="2">
        <v>1.0500000000000001E-2</v>
      </c>
      <c r="G3925" s="2">
        <v>1.7299999999999999E-2</v>
      </c>
      <c r="H3925" s="2">
        <v>2.2100000000000002E-2</v>
      </c>
      <c r="I3925" s="2">
        <v>8.8000000000000005E-3</v>
      </c>
      <c r="J3925" s="2">
        <v>6.1000000000000004E-3</v>
      </c>
      <c r="K3925" s="2">
        <v>1.14E-2</v>
      </c>
      <c r="L3925" s="2">
        <v>3.5999999999999999E-3</v>
      </c>
      <c r="M3925" s="2">
        <v>5.0000000000000001E-4</v>
      </c>
      <c r="N3925">
        <v>2179</v>
      </c>
    </row>
    <row r="3926" spans="1:14" x14ac:dyDescent="0.35">
      <c r="A3926" t="s">
        <v>227</v>
      </c>
      <c r="B3926" t="s">
        <v>344</v>
      </c>
      <c r="C3926" t="s">
        <v>1277</v>
      </c>
      <c r="D3926" s="2">
        <v>0.1077</v>
      </c>
      <c r="E3926" s="2">
        <v>0.1424</v>
      </c>
      <c r="F3926" s="2">
        <v>4.4200000000000003E-2</v>
      </c>
      <c r="G3926" s="2">
        <v>0.18720000000000001</v>
      </c>
      <c r="H3926" s="2">
        <v>0.189</v>
      </c>
      <c r="I3926" s="2">
        <v>4.36E-2</v>
      </c>
      <c r="J3926" s="2">
        <v>0.1595</v>
      </c>
      <c r="K3926" s="2">
        <v>0.15989999999999999</v>
      </c>
      <c r="L3926" s="2">
        <v>0.13800000000000001</v>
      </c>
      <c r="M3926" s="2">
        <v>9.6199999999999994E-2</v>
      </c>
      <c r="N3926">
        <v>2179</v>
      </c>
    </row>
    <row r="3927" spans="1:14" x14ac:dyDescent="0.35">
      <c r="A3927" t="s">
        <v>227</v>
      </c>
      <c r="B3927" t="s">
        <v>344</v>
      </c>
      <c r="C3927" t="s">
        <v>299</v>
      </c>
      <c r="D3927" s="2">
        <v>4.1200000000000001E-2</v>
      </c>
      <c r="E3927" s="2">
        <v>0.39689999999999998</v>
      </c>
      <c r="F3927" s="2">
        <v>0.14779999999999999</v>
      </c>
      <c r="G3927" s="2">
        <v>0.18759999999999999</v>
      </c>
      <c r="H3927" s="2">
        <v>1.8100000000000002E-2</v>
      </c>
      <c r="I3927" s="2">
        <v>0.28749999999999998</v>
      </c>
      <c r="J3927" s="2">
        <v>9.7000000000000003E-3</v>
      </c>
      <c r="K3927" s="2">
        <v>2.8E-3</v>
      </c>
      <c r="L3927" s="2">
        <v>2.1600000000000001E-2</v>
      </c>
      <c r="M3927" s="2">
        <v>8.8999999999999999E-3</v>
      </c>
      <c r="N3927">
        <v>2179</v>
      </c>
    </row>
    <row r="3928" spans="1:14" x14ac:dyDescent="0.35">
      <c r="A3928" t="s">
        <v>228</v>
      </c>
      <c r="B3928" t="s">
        <v>228</v>
      </c>
      <c r="C3928" t="s">
        <v>1275</v>
      </c>
      <c r="D3928" s="2">
        <v>0.81079999999999997</v>
      </c>
      <c r="E3928" s="2">
        <v>0.38419999999999999</v>
      </c>
      <c r="F3928" s="2">
        <v>0.80230000000000001</v>
      </c>
      <c r="G3928" s="2">
        <v>0.60229999999999995</v>
      </c>
      <c r="H3928" s="2">
        <v>0.74029999999999996</v>
      </c>
      <c r="I3928" s="2">
        <v>0.63570000000000004</v>
      </c>
      <c r="J3928" s="2">
        <v>0.82030000000000003</v>
      </c>
      <c r="K3928" s="2">
        <v>0.78349999999999997</v>
      </c>
      <c r="L3928" s="2">
        <v>0.83460000000000001</v>
      </c>
      <c r="M3928" s="2">
        <v>0.89729999999999999</v>
      </c>
      <c r="N3928">
        <v>2546</v>
      </c>
    </row>
    <row r="3929" spans="1:14" x14ac:dyDescent="0.35">
      <c r="A3929" t="s">
        <v>228</v>
      </c>
      <c r="B3929" t="s">
        <v>228</v>
      </c>
      <c r="C3929" t="s">
        <v>1276</v>
      </c>
      <c r="D3929" s="2">
        <v>2.1100000000000001E-2</v>
      </c>
      <c r="E3929" s="2">
        <v>6.2899999999999998E-2</v>
      </c>
      <c r="F3929" s="2">
        <v>1.17E-2</v>
      </c>
      <c r="G3929" s="2">
        <v>1.9599999999999999E-2</v>
      </c>
      <c r="H3929" s="2">
        <v>2.63E-2</v>
      </c>
      <c r="I3929" s="2">
        <v>7.3000000000000001E-3</v>
      </c>
      <c r="J3929" s="2">
        <v>5.8999999999999999E-3</v>
      </c>
      <c r="K3929" s="2">
        <v>1.14E-2</v>
      </c>
      <c r="L3929" s="2">
        <v>3.0000000000000001E-3</v>
      </c>
      <c r="M3929" s="2">
        <v>4.0000000000000002E-4</v>
      </c>
      <c r="N3929">
        <v>2546</v>
      </c>
    </row>
    <row r="3930" spans="1:14" x14ac:dyDescent="0.35">
      <c r="A3930" t="s">
        <v>228</v>
      </c>
      <c r="B3930" t="s">
        <v>228</v>
      </c>
      <c r="C3930" t="s">
        <v>1277</v>
      </c>
      <c r="D3930" s="2">
        <v>0.12759999999999999</v>
      </c>
      <c r="E3930" s="2">
        <v>0.1409</v>
      </c>
      <c r="F3930" s="2">
        <v>4.8899999999999999E-2</v>
      </c>
      <c r="G3930" s="2">
        <v>0.2019</v>
      </c>
      <c r="H3930" s="2">
        <v>0.2152</v>
      </c>
      <c r="I3930" s="2">
        <v>4.0599999999999997E-2</v>
      </c>
      <c r="J3930" s="2">
        <v>0.1648</v>
      </c>
      <c r="K3930" s="2">
        <v>0.2019</v>
      </c>
      <c r="L3930" s="2">
        <v>0.14050000000000001</v>
      </c>
      <c r="M3930" s="2">
        <v>9.2600000000000002E-2</v>
      </c>
      <c r="N3930">
        <v>2546</v>
      </c>
    </row>
    <row r="3931" spans="1:14" x14ac:dyDescent="0.35">
      <c r="A3931" t="s">
        <v>228</v>
      </c>
      <c r="B3931" t="s">
        <v>228</v>
      </c>
      <c r="C3931" t="s">
        <v>299</v>
      </c>
      <c r="D3931" s="2">
        <v>4.0599999999999997E-2</v>
      </c>
      <c r="E3931" s="2">
        <v>0.41199999999999998</v>
      </c>
      <c r="F3931" s="2">
        <v>0.1371</v>
      </c>
      <c r="G3931" s="2">
        <v>0.17610000000000001</v>
      </c>
      <c r="H3931" s="2">
        <v>1.8200000000000001E-2</v>
      </c>
      <c r="I3931" s="2">
        <v>0.31640000000000001</v>
      </c>
      <c r="J3931" s="2">
        <v>8.9999999999999993E-3</v>
      </c>
      <c r="K3931" s="2">
        <v>3.2000000000000002E-3</v>
      </c>
      <c r="L3931" s="2">
        <v>2.1899999999999999E-2</v>
      </c>
      <c r="M3931" s="2">
        <v>9.7000000000000003E-3</v>
      </c>
      <c r="N3931">
        <v>2546</v>
      </c>
    </row>
    <row r="3933" spans="1:14" x14ac:dyDescent="0.35">
      <c r="A3933" s="1" t="s">
        <v>1301</v>
      </c>
    </row>
    <row r="3934" spans="1:14" x14ac:dyDescent="0.35">
      <c r="A3934" t="s">
        <v>219</v>
      </c>
      <c r="B3934" t="s">
        <v>301</v>
      </c>
      <c r="C3934" t="s">
        <v>1279</v>
      </c>
      <c r="D3934" t="s">
        <v>1280</v>
      </c>
      <c r="E3934" t="s">
        <v>1281</v>
      </c>
      <c r="F3934" t="s">
        <v>1282</v>
      </c>
      <c r="G3934" t="s">
        <v>1283</v>
      </c>
      <c r="H3934" t="s">
        <v>277</v>
      </c>
      <c r="I3934" t="s">
        <v>226</v>
      </c>
    </row>
    <row r="3935" spans="1:14" x14ac:dyDescent="0.35">
      <c r="A3935" t="s">
        <v>227</v>
      </c>
      <c r="B3935" t="s">
        <v>343</v>
      </c>
      <c r="C3935" s="2">
        <v>0.4733</v>
      </c>
      <c r="D3935" s="2">
        <v>0.48309999999999997</v>
      </c>
      <c r="E3935" s="2">
        <v>0.43830000000000002</v>
      </c>
      <c r="F3935" s="2">
        <v>0.1066</v>
      </c>
      <c r="G3935" s="2">
        <v>6.7799999999999999E-2</v>
      </c>
      <c r="H3935" s="2">
        <v>3.3999999999999998E-3</v>
      </c>
      <c r="I3935">
        <v>249</v>
      </c>
    </row>
    <row r="3936" spans="1:14" x14ac:dyDescent="0.35">
      <c r="A3936" t="s">
        <v>227</v>
      </c>
      <c r="B3936" t="s">
        <v>344</v>
      </c>
      <c r="C3936" s="2">
        <v>0.45929999999999999</v>
      </c>
      <c r="D3936" s="2">
        <v>0.44979999999999998</v>
      </c>
      <c r="E3936" s="2">
        <v>0.29770000000000002</v>
      </c>
      <c r="F3936" s="2">
        <v>9.35E-2</v>
      </c>
      <c r="G3936" s="2">
        <v>0.1026</v>
      </c>
      <c r="H3936" s="2">
        <v>4.1700000000000001E-2</v>
      </c>
      <c r="I3936">
        <v>1175</v>
      </c>
    </row>
    <row r="3937" spans="1:14" x14ac:dyDescent="0.35">
      <c r="A3937" t="s">
        <v>228</v>
      </c>
      <c r="B3937" t="s">
        <v>228</v>
      </c>
      <c r="C3937" s="2">
        <v>0.46189999999999998</v>
      </c>
      <c r="D3937" s="2">
        <v>0.45610000000000001</v>
      </c>
      <c r="E3937" s="2">
        <v>0.32429999999999998</v>
      </c>
      <c r="F3937" s="2">
        <v>9.6000000000000002E-2</v>
      </c>
      <c r="G3937" s="2">
        <v>9.6000000000000002E-2</v>
      </c>
      <c r="H3937" s="2">
        <v>3.4500000000000003E-2</v>
      </c>
      <c r="I3937">
        <v>1424</v>
      </c>
    </row>
    <row r="3939" spans="1:14" x14ac:dyDescent="0.35">
      <c r="A3939" s="1" t="s">
        <v>1302</v>
      </c>
    </row>
    <row r="3940" spans="1:14" x14ac:dyDescent="0.35">
      <c r="A3940" t="s">
        <v>219</v>
      </c>
      <c r="B3940" t="s">
        <v>301</v>
      </c>
      <c r="C3940" t="s">
        <v>1264</v>
      </c>
      <c r="D3940" t="s">
        <v>1265</v>
      </c>
      <c r="E3940" t="s">
        <v>1266</v>
      </c>
      <c r="F3940" t="s">
        <v>1267</v>
      </c>
      <c r="G3940" t="s">
        <v>1268</v>
      </c>
      <c r="H3940" t="s">
        <v>1269</v>
      </c>
      <c r="I3940" t="s">
        <v>1270</v>
      </c>
      <c r="J3940" t="s">
        <v>1271</v>
      </c>
      <c r="K3940" t="s">
        <v>1272</v>
      </c>
      <c r="L3940" t="s">
        <v>1273</v>
      </c>
      <c r="M3940" t="s">
        <v>1274</v>
      </c>
      <c r="N3940" t="s">
        <v>957</v>
      </c>
    </row>
    <row r="3941" spans="1:14" x14ac:dyDescent="0.35">
      <c r="A3941" t="s">
        <v>227</v>
      </c>
      <c r="B3941" t="s">
        <v>346</v>
      </c>
      <c r="C3941" t="s">
        <v>1275</v>
      </c>
      <c r="D3941" s="2">
        <v>0.80740000000000001</v>
      </c>
      <c r="E3941" s="2">
        <v>0.37630000000000002</v>
      </c>
      <c r="F3941" s="2">
        <v>0.79710000000000003</v>
      </c>
      <c r="G3941" s="2">
        <v>0.59570000000000001</v>
      </c>
      <c r="H3941" s="2">
        <v>0.74029999999999996</v>
      </c>
      <c r="I3941" s="2">
        <v>0.63090000000000002</v>
      </c>
      <c r="J3941" s="2">
        <v>0.81830000000000003</v>
      </c>
      <c r="K3941" s="2">
        <v>0.77780000000000005</v>
      </c>
      <c r="L3941" s="2">
        <v>0.83030000000000004</v>
      </c>
      <c r="M3941" s="2">
        <v>0.89429999999999998</v>
      </c>
      <c r="N3941">
        <v>1315</v>
      </c>
    </row>
    <row r="3942" spans="1:14" x14ac:dyDescent="0.35">
      <c r="A3942" t="s">
        <v>227</v>
      </c>
      <c r="B3942" t="s">
        <v>346</v>
      </c>
      <c r="C3942" t="s">
        <v>1276</v>
      </c>
      <c r="D3942" s="2">
        <v>2.06E-2</v>
      </c>
      <c r="E3942" s="2">
        <v>6.1699999999999998E-2</v>
      </c>
      <c r="F3942" s="2">
        <v>1.21E-2</v>
      </c>
      <c r="G3942" s="2">
        <v>2.01E-2</v>
      </c>
      <c r="H3942" s="2">
        <v>2.8199999999999999E-2</v>
      </c>
      <c r="I3942" s="2">
        <v>8.0999999999999996E-3</v>
      </c>
      <c r="J3942" s="2">
        <v>6.7999999999999996E-3</v>
      </c>
      <c r="K3942" s="2">
        <v>1.26E-2</v>
      </c>
      <c r="L3942" s="2">
        <v>2.8999999999999998E-3</v>
      </c>
      <c r="M3942" s="2">
        <v>2.0000000000000001E-4</v>
      </c>
      <c r="N3942">
        <v>1315</v>
      </c>
    </row>
    <row r="3943" spans="1:14" x14ac:dyDescent="0.35">
      <c r="A3943" t="s">
        <v>227</v>
      </c>
      <c r="B3943" t="s">
        <v>346</v>
      </c>
      <c r="C3943" t="s">
        <v>1277</v>
      </c>
      <c r="D3943" s="2">
        <v>0.13220000000000001</v>
      </c>
      <c r="E3943" s="2">
        <v>0.1399</v>
      </c>
      <c r="F3943" s="2">
        <v>4.8800000000000003E-2</v>
      </c>
      <c r="G3943" s="2">
        <v>0.2031</v>
      </c>
      <c r="H3943" s="2">
        <v>0.21379999999999999</v>
      </c>
      <c r="I3943" s="2">
        <v>4.1500000000000002E-2</v>
      </c>
      <c r="J3943" s="2">
        <v>0.16650000000000001</v>
      </c>
      <c r="K3943" s="2">
        <v>0.20669999999999999</v>
      </c>
      <c r="L3943" s="2">
        <v>0.1431</v>
      </c>
      <c r="M3943" s="2">
        <v>9.5200000000000007E-2</v>
      </c>
      <c r="N3943">
        <v>1315</v>
      </c>
    </row>
    <row r="3944" spans="1:14" x14ac:dyDescent="0.35">
      <c r="A3944" t="s">
        <v>227</v>
      </c>
      <c r="B3944" t="s">
        <v>346</v>
      </c>
      <c r="C3944" t="s">
        <v>299</v>
      </c>
      <c r="D3944" s="2">
        <v>3.9800000000000002E-2</v>
      </c>
      <c r="E3944" s="2">
        <v>0.42209999999999998</v>
      </c>
      <c r="F3944" s="2">
        <v>0.1419</v>
      </c>
      <c r="G3944" s="2">
        <v>0.18110000000000001</v>
      </c>
      <c r="H3944" s="2">
        <v>1.77E-2</v>
      </c>
      <c r="I3944" s="2">
        <v>0.31950000000000001</v>
      </c>
      <c r="J3944" s="2">
        <v>8.3999999999999995E-3</v>
      </c>
      <c r="K3944" s="2">
        <v>2.8999999999999998E-3</v>
      </c>
      <c r="L3944" s="2">
        <v>2.3699999999999999E-2</v>
      </c>
      <c r="M3944" s="2">
        <v>1.0200000000000001E-2</v>
      </c>
      <c r="N3944">
        <v>1315</v>
      </c>
    </row>
    <row r="3945" spans="1:14" x14ac:dyDescent="0.35">
      <c r="A3945" t="s">
        <v>227</v>
      </c>
      <c r="B3945" t="s">
        <v>347</v>
      </c>
      <c r="C3945" t="s">
        <v>1275</v>
      </c>
      <c r="D3945" s="2">
        <v>0.81989999999999996</v>
      </c>
      <c r="E3945" s="2">
        <v>0.36859999999999998</v>
      </c>
      <c r="F3945" s="2">
        <v>0.8085</v>
      </c>
      <c r="G3945" s="2">
        <v>0.62380000000000002</v>
      </c>
      <c r="H3945" s="2">
        <v>0.74299999999999999</v>
      </c>
      <c r="I3945" s="2">
        <v>0.6129</v>
      </c>
      <c r="J3945" s="2">
        <v>0.82830000000000004</v>
      </c>
      <c r="K3945" s="2">
        <v>0.81899999999999995</v>
      </c>
      <c r="L3945" s="2">
        <v>0.88249999999999995</v>
      </c>
      <c r="M3945" s="2">
        <v>0.93430000000000002</v>
      </c>
      <c r="N3945">
        <v>523</v>
      </c>
    </row>
    <row r="3946" spans="1:14" x14ac:dyDescent="0.35">
      <c r="A3946" t="s">
        <v>227</v>
      </c>
      <c r="B3946" t="s">
        <v>347</v>
      </c>
      <c r="C3946" t="s">
        <v>1276</v>
      </c>
      <c r="D3946" s="2">
        <v>1.7600000000000001E-2</v>
      </c>
      <c r="E3946" s="2">
        <v>7.8700000000000006E-2</v>
      </c>
      <c r="F3946" s="2">
        <v>9.7999999999999997E-3</v>
      </c>
      <c r="G3946" s="2">
        <v>2.2200000000000001E-2</v>
      </c>
      <c r="H3946" s="2">
        <v>1.8599999999999998E-2</v>
      </c>
      <c r="I3946" s="2">
        <v>3.0999999999999999E-3</v>
      </c>
      <c r="J3946" s="2">
        <v>8.0000000000000004E-4</v>
      </c>
      <c r="K3946" s="2">
        <v>7.1000000000000004E-3</v>
      </c>
      <c r="M3946" s="2">
        <v>4.1999999999999997E-3</v>
      </c>
      <c r="N3946">
        <v>523</v>
      </c>
    </row>
    <row r="3947" spans="1:14" x14ac:dyDescent="0.35">
      <c r="A3947" t="s">
        <v>227</v>
      </c>
      <c r="B3947" t="s">
        <v>347</v>
      </c>
      <c r="C3947" t="s">
        <v>1277</v>
      </c>
      <c r="D3947" s="2">
        <v>9.7600000000000006E-2</v>
      </c>
      <c r="E3947" s="2">
        <v>0.15210000000000001</v>
      </c>
      <c r="F3947" s="2">
        <v>3.9E-2</v>
      </c>
      <c r="G3947" s="2">
        <v>0.20080000000000001</v>
      </c>
      <c r="H3947" s="2">
        <v>0.2172</v>
      </c>
      <c r="I3947" s="2">
        <v>3.9699999999999999E-2</v>
      </c>
      <c r="J3947" s="2">
        <v>0.14829999999999999</v>
      </c>
      <c r="K3947" s="2">
        <v>0.1575</v>
      </c>
      <c r="L3947" s="2">
        <v>9.9299999999999999E-2</v>
      </c>
      <c r="M3947" s="2">
        <v>4.82E-2</v>
      </c>
      <c r="N3947">
        <v>523</v>
      </c>
    </row>
    <row r="3948" spans="1:14" x14ac:dyDescent="0.35">
      <c r="A3948" t="s">
        <v>227</v>
      </c>
      <c r="B3948" t="s">
        <v>347</v>
      </c>
      <c r="C3948" t="s">
        <v>299</v>
      </c>
      <c r="D3948" s="2">
        <v>6.5000000000000002E-2</v>
      </c>
      <c r="E3948" s="2">
        <v>0.40060000000000001</v>
      </c>
      <c r="F3948" s="2">
        <v>0.14269999999999999</v>
      </c>
      <c r="G3948" s="2">
        <v>0.1532</v>
      </c>
      <c r="H3948" s="2">
        <v>2.12E-2</v>
      </c>
      <c r="I3948" s="2">
        <v>0.34429999999999999</v>
      </c>
      <c r="J3948" s="2">
        <v>2.2499999999999999E-2</v>
      </c>
      <c r="K3948" s="2">
        <v>1.6400000000000001E-2</v>
      </c>
      <c r="L3948" s="2">
        <v>1.8200000000000001E-2</v>
      </c>
      <c r="M3948" s="2">
        <v>1.32E-2</v>
      </c>
      <c r="N3948">
        <v>523</v>
      </c>
    </row>
    <row r="3949" spans="1:14" x14ac:dyDescent="0.35">
      <c r="A3949" t="s">
        <v>227</v>
      </c>
      <c r="B3949" t="s">
        <v>348</v>
      </c>
      <c r="C3949" t="s">
        <v>1275</v>
      </c>
      <c r="D3949" s="2">
        <v>0.83699999999999997</v>
      </c>
      <c r="E3949" s="2">
        <v>0.45850000000000002</v>
      </c>
      <c r="F3949" s="2">
        <v>0.84530000000000005</v>
      </c>
      <c r="G3949" s="2">
        <v>0.65210000000000001</v>
      </c>
      <c r="H3949" s="2">
        <v>0.7389</v>
      </c>
      <c r="I3949" s="2">
        <v>0.68589999999999995</v>
      </c>
      <c r="J3949" s="2">
        <v>0.83450000000000002</v>
      </c>
      <c r="K3949" s="2">
        <v>0.82079999999999997</v>
      </c>
      <c r="L3949" s="2">
        <v>0.85450000000000004</v>
      </c>
      <c r="M3949" s="2">
        <v>0.9093</v>
      </c>
      <c r="N3949">
        <v>708</v>
      </c>
    </row>
    <row r="3950" spans="1:14" x14ac:dyDescent="0.35">
      <c r="A3950" t="s">
        <v>227</v>
      </c>
      <c r="B3950" t="s">
        <v>348</v>
      </c>
      <c r="C3950" t="s">
        <v>1276</v>
      </c>
      <c r="D3950" s="2">
        <v>2.6800000000000001E-2</v>
      </c>
      <c r="E3950" s="2">
        <v>6.7599999999999993E-2</v>
      </c>
      <c r="F3950" s="2">
        <v>9.4000000000000004E-3</v>
      </c>
      <c r="G3950" s="2">
        <v>1.3899999999999999E-2</v>
      </c>
      <c r="H3950" s="2">
        <v>1.3100000000000001E-2</v>
      </c>
      <c r="I3950" s="2">
        <v>2.3E-3</v>
      </c>
      <c r="K3950" s="2">
        <v>2.5000000000000001E-3</v>
      </c>
      <c r="L3950" s="2">
        <v>4.8999999999999998E-3</v>
      </c>
      <c r="M3950" s="2">
        <v>5.0000000000000001E-4</v>
      </c>
      <c r="N3950">
        <v>708</v>
      </c>
    </row>
    <row r="3951" spans="1:14" x14ac:dyDescent="0.35">
      <c r="A3951" t="s">
        <v>227</v>
      </c>
      <c r="B3951" t="s">
        <v>348</v>
      </c>
      <c r="C3951" t="s">
        <v>1277</v>
      </c>
      <c r="D3951" s="2">
        <v>9.7900000000000001E-2</v>
      </c>
      <c r="E3951" s="2">
        <v>0.14580000000000001</v>
      </c>
      <c r="F3951" s="2">
        <v>5.2600000000000001E-2</v>
      </c>
      <c r="G3951" s="2">
        <v>0.1925</v>
      </c>
      <c r="H3951" s="2">
        <v>0.22720000000000001</v>
      </c>
      <c r="I3951" s="2">
        <v>3.2800000000000003E-2</v>
      </c>
      <c r="J3951" s="2">
        <v>0.15570000000000001</v>
      </c>
      <c r="K3951" s="2">
        <v>0.1757</v>
      </c>
      <c r="L3951" s="2">
        <v>0.13320000000000001</v>
      </c>
      <c r="M3951" s="2">
        <v>8.6099999999999996E-2</v>
      </c>
      <c r="N3951">
        <v>708</v>
      </c>
    </row>
    <row r="3952" spans="1:14" x14ac:dyDescent="0.35">
      <c r="A3952" t="s">
        <v>227</v>
      </c>
      <c r="B3952" t="s">
        <v>348</v>
      </c>
      <c r="C3952" t="s">
        <v>299</v>
      </c>
      <c r="D3952" s="2">
        <v>3.8300000000000001E-2</v>
      </c>
      <c r="E3952" s="2">
        <v>0.3281</v>
      </c>
      <c r="F3952" s="2">
        <v>9.2700000000000005E-2</v>
      </c>
      <c r="G3952" s="2">
        <v>0.14149999999999999</v>
      </c>
      <c r="H3952" s="2">
        <v>2.0799999999999999E-2</v>
      </c>
      <c r="I3952" s="2">
        <v>0.27889999999999998</v>
      </c>
      <c r="J3952" s="2">
        <v>9.7000000000000003E-3</v>
      </c>
      <c r="K3952" s="2">
        <v>1E-3</v>
      </c>
      <c r="L3952" s="2">
        <v>7.4000000000000003E-3</v>
      </c>
      <c r="M3952" s="2">
        <v>4.0000000000000001E-3</v>
      </c>
      <c r="N3952">
        <v>708</v>
      </c>
    </row>
    <row r="3953" spans="1:14" x14ac:dyDescent="0.35">
      <c r="A3953" t="s">
        <v>228</v>
      </c>
      <c r="B3953" t="s">
        <v>228</v>
      </c>
      <c r="C3953" t="s">
        <v>1275</v>
      </c>
      <c r="D3953" s="2">
        <v>0.81079999999999997</v>
      </c>
      <c r="E3953" s="2">
        <v>0.38419999999999999</v>
      </c>
      <c r="F3953" s="2">
        <v>0.80230000000000001</v>
      </c>
      <c r="G3953" s="2">
        <v>0.60229999999999995</v>
      </c>
      <c r="H3953" s="2">
        <v>0.74029999999999996</v>
      </c>
      <c r="I3953" s="2">
        <v>0.63570000000000004</v>
      </c>
      <c r="J3953" s="2">
        <v>0.82030000000000003</v>
      </c>
      <c r="K3953" s="2">
        <v>0.78349999999999997</v>
      </c>
      <c r="L3953" s="2">
        <v>0.83460000000000001</v>
      </c>
      <c r="M3953" s="2">
        <v>0.89729999999999999</v>
      </c>
      <c r="N3953">
        <v>2546</v>
      </c>
    </row>
    <row r="3954" spans="1:14" x14ac:dyDescent="0.35">
      <c r="A3954" t="s">
        <v>228</v>
      </c>
      <c r="B3954" t="s">
        <v>228</v>
      </c>
      <c r="C3954" t="s">
        <v>1276</v>
      </c>
      <c r="D3954" s="2">
        <v>2.1100000000000001E-2</v>
      </c>
      <c r="E3954" s="2">
        <v>6.2899999999999998E-2</v>
      </c>
      <c r="F3954" s="2">
        <v>1.17E-2</v>
      </c>
      <c r="G3954" s="2">
        <v>1.9599999999999999E-2</v>
      </c>
      <c r="H3954" s="2">
        <v>2.63E-2</v>
      </c>
      <c r="I3954" s="2">
        <v>7.3000000000000001E-3</v>
      </c>
      <c r="J3954" s="2">
        <v>5.8999999999999999E-3</v>
      </c>
      <c r="K3954" s="2">
        <v>1.14E-2</v>
      </c>
      <c r="L3954" s="2">
        <v>3.0000000000000001E-3</v>
      </c>
      <c r="M3954" s="2">
        <v>4.0000000000000002E-4</v>
      </c>
      <c r="N3954">
        <v>2546</v>
      </c>
    </row>
    <row r="3955" spans="1:14" x14ac:dyDescent="0.35">
      <c r="A3955" t="s">
        <v>228</v>
      </c>
      <c r="B3955" t="s">
        <v>228</v>
      </c>
      <c r="C3955" t="s">
        <v>1277</v>
      </c>
      <c r="D3955" s="2">
        <v>0.12759999999999999</v>
      </c>
      <c r="E3955" s="2">
        <v>0.1409</v>
      </c>
      <c r="F3955" s="2">
        <v>4.8899999999999999E-2</v>
      </c>
      <c r="G3955" s="2">
        <v>0.2019</v>
      </c>
      <c r="H3955" s="2">
        <v>0.2152</v>
      </c>
      <c r="I3955" s="2">
        <v>4.0599999999999997E-2</v>
      </c>
      <c r="J3955" s="2">
        <v>0.1648</v>
      </c>
      <c r="K3955" s="2">
        <v>0.2019</v>
      </c>
      <c r="L3955" s="2">
        <v>0.14050000000000001</v>
      </c>
      <c r="M3955" s="2">
        <v>9.2600000000000002E-2</v>
      </c>
      <c r="N3955">
        <v>2546</v>
      </c>
    </row>
    <row r="3956" spans="1:14" x14ac:dyDescent="0.35">
      <c r="A3956" t="s">
        <v>228</v>
      </c>
      <c r="B3956" t="s">
        <v>228</v>
      </c>
      <c r="C3956" t="s">
        <v>299</v>
      </c>
      <c r="D3956" s="2">
        <v>4.0599999999999997E-2</v>
      </c>
      <c r="E3956" s="2">
        <v>0.41199999999999998</v>
      </c>
      <c r="F3956" s="2">
        <v>0.1371</v>
      </c>
      <c r="G3956" s="2">
        <v>0.17610000000000001</v>
      </c>
      <c r="H3956" s="2">
        <v>1.8200000000000001E-2</v>
      </c>
      <c r="I3956" s="2">
        <v>0.31640000000000001</v>
      </c>
      <c r="J3956" s="2">
        <v>8.9999999999999993E-3</v>
      </c>
      <c r="K3956" s="2">
        <v>3.2000000000000002E-3</v>
      </c>
      <c r="L3956" s="2">
        <v>2.1899999999999999E-2</v>
      </c>
      <c r="M3956" s="2">
        <v>9.7000000000000003E-3</v>
      </c>
      <c r="N3956">
        <v>2546</v>
      </c>
    </row>
    <row r="3958" spans="1:14" x14ac:dyDescent="0.35">
      <c r="A3958" s="1" t="s">
        <v>1303</v>
      </c>
    </row>
    <row r="3959" spans="1:14" x14ac:dyDescent="0.35">
      <c r="A3959" t="s">
        <v>219</v>
      </c>
      <c r="B3959" t="s">
        <v>301</v>
      </c>
      <c r="C3959" t="s">
        <v>1279</v>
      </c>
      <c r="D3959" t="s">
        <v>1280</v>
      </c>
      <c r="E3959" t="s">
        <v>1281</v>
      </c>
      <c r="F3959" t="s">
        <v>1282</v>
      </c>
      <c r="G3959" t="s">
        <v>1283</v>
      </c>
      <c r="H3959" t="s">
        <v>277</v>
      </c>
      <c r="I3959" t="s">
        <v>226</v>
      </c>
    </row>
    <row r="3960" spans="1:14" x14ac:dyDescent="0.35">
      <c r="A3960" t="s">
        <v>227</v>
      </c>
      <c r="B3960" t="s">
        <v>346</v>
      </c>
      <c r="C3960" s="2">
        <v>0.45739999999999997</v>
      </c>
      <c r="D3960" s="2">
        <v>0.44590000000000002</v>
      </c>
      <c r="E3960" s="2">
        <v>0.32619999999999999</v>
      </c>
      <c r="F3960" s="2">
        <v>9.7500000000000003E-2</v>
      </c>
      <c r="G3960" s="2">
        <v>0.10100000000000001</v>
      </c>
      <c r="H3960" s="2">
        <v>3.5999999999999997E-2</v>
      </c>
      <c r="I3960">
        <v>734</v>
      </c>
    </row>
    <row r="3961" spans="1:14" x14ac:dyDescent="0.35">
      <c r="A3961" t="s">
        <v>227</v>
      </c>
      <c r="B3961" t="s">
        <v>347</v>
      </c>
      <c r="C3961" s="2">
        <v>0.49309999999999998</v>
      </c>
      <c r="D3961" s="2">
        <v>0.5766</v>
      </c>
      <c r="E3961" s="2">
        <v>0.31090000000000001</v>
      </c>
      <c r="F3961" s="2">
        <v>8.0699999999999994E-2</v>
      </c>
      <c r="G3961" s="2">
        <v>5.9499999999999997E-2</v>
      </c>
      <c r="H3961" s="2">
        <v>2.9499999999999998E-2</v>
      </c>
      <c r="I3961">
        <v>315</v>
      </c>
    </row>
    <row r="3962" spans="1:14" x14ac:dyDescent="0.35">
      <c r="A3962" t="s">
        <v>227</v>
      </c>
      <c r="B3962" t="s">
        <v>348</v>
      </c>
      <c r="C3962" s="2">
        <v>0.49130000000000001</v>
      </c>
      <c r="D3962" s="2">
        <v>0.50039999999999996</v>
      </c>
      <c r="E3962" s="2">
        <v>0.31290000000000001</v>
      </c>
      <c r="F3962" s="2">
        <v>8.8599999999999998E-2</v>
      </c>
      <c r="G3962" s="2">
        <v>6.4799999999999996E-2</v>
      </c>
      <c r="H3962" s="2">
        <v>2.2599999999999999E-2</v>
      </c>
      <c r="I3962">
        <v>375</v>
      </c>
    </row>
    <row r="3963" spans="1:14" x14ac:dyDescent="0.35">
      <c r="A3963" t="s">
        <v>228</v>
      </c>
      <c r="B3963" t="s">
        <v>228</v>
      </c>
      <c r="C3963" s="2">
        <v>0.46189999999999998</v>
      </c>
      <c r="D3963" s="2">
        <v>0.45610000000000001</v>
      </c>
      <c r="E3963" s="2">
        <v>0.32429999999999998</v>
      </c>
      <c r="F3963" s="2">
        <v>9.6000000000000002E-2</v>
      </c>
      <c r="G3963" s="2">
        <v>9.6000000000000002E-2</v>
      </c>
      <c r="H3963" s="2">
        <v>3.4500000000000003E-2</v>
      </c>
      <c r="I3963">
        <v>1424</v>
      </c>
    </row>
    <row r="3965" spans="1:14" x14ac:dyDescent="0.35">
      <c r="A3965" s="1" t="s">
        <v>1304</v>
      </c>
    </row>
    <row r="3966" spans="1:14" x14ac:dyDescent="0.35">
      <c r="A3966" t="s">
        <v>219</v>
      </c>
      <c r="B3966" t="s">
        <v>301</v>
      </c>
      <c r="C3966" t="s">
        <v>1264</v>
      </c>
      <c r="D3966" t="s">
        <v>1265</v>
      </c>
      <c r="E3966" t="s">
        <v>1266</v>
      </c>
      <c r="F3966" t="s">
        <v>1267</v>
      </c>
      <c r="G3966" t="s">
        <v>1268</v>
      </c>
      <c r="H3966" t="s">
        <v>1269</v>
      </c>
      <c r="I3966" t="s">
        <v>1270</v>
      </c>
      <c r="J3966" t="s">
        <v>1271</v>
      </c>
      <c r="K3966" t="s">
        <v>1272</v>
      </c>
      <c r="L3966" t="s">
        <v>1273</v>
      </c>
      <c r="M3966" t="s">
        <v>1274</v>
      </c>
      <c r="N3966" t="s">
        <v>957</v>
      </c>
    </row>
    <row r="3967" spans="1:14" x14ac:dyDescent="0.35">
      <c r="A3967" t="s">
        <v>227</v>
      </c>
      <c r="B3967" t="s">
        <v>251</v>
      </c>
      <c r="C3967" t="s">
        <v>1275</v>
      </c>
      <c r="D3967" s="2">
        <v>0.81610000000000005</v>
      </c>
      <c r="E3967" s="2">
        <v>0.40450000000000003</v>
      </c>
      <c r="F3967" s="2">
        <v>0.82850000000000001</v>
      </c>
      <c r="G3967" s="2">
        <v>0.61919999999999997</v>
      </c>
      <c r="H3967" s="2">
        <v>0.73099999999999998</v>
      </c>
      <c r="I3967" s="2">
        <v>0.63270000000000004</v>
      </c>
      <c r="J3967" s="2">
        <v>0.77910000000000001</v>
      </c>
      <c r="K3967" s="2">
        <v>0.78269999999999995</v>
      </c>
      <c r="L3967" s="2">
        <v>0.82499999999999996</v>
      </c>
      <c r="M3967" s="2">
        <v>0.89180000000000004</v>
      </c>
      <c r="N3967">
        <v>1844</v>
      </c>
    </row>
    <row r="3968" spans="1:14" x14ac:dyDescent="0.35">
      <c r="A3968" s="3" t="s">
        <v>227</v>
      </c>
      <c r="B3968" s="3" t="s">
        <v>254</v>
      </c>
      <c r="C3968" s="3" t="s">
        <v>299</v>
      </c>
      <c r="D3968" s="4">
        <v>5.8000000000000003E-2</v>
      </c>
      <c r="E3968" s="4">
        <v>0.41260000000000002</v>
      </c>
      <c r="F3968" s="4">
        <v>0.33979999999999999</v>
      </c>
      <c r="G3968" s="4">
        <v>0.44900000000000001</v>
      </c>
      <c r="H3968" s="5"/>
      <c r="I3968" s="4">
        <v>5.8000000000000003E-2</v>
      </c>
      <c r="J3968" s="5"/>
      <c r="K3968" s="5"/>
      <c r="L3968" s="5"/>
      <c r="M3968" s="5"/>
      <c r="N3968" s="5">
        <v>9</v>
      </c>
    </row>
    <row r="3969" spans="1:14" x14ac:dyDescent="0.35">
      <c r="A3969" s="3" t="s">
        <v>227</v>
      </c>
      <c r="B3969" s="3" t="s">
        <v>254</v>
      </c>
      <c r="C3969" s="3" t="s">
        <v>1277</v>
      </c>
      <c r="D3969" s="4">
        <v>9.7600000000000006E-2</v>
      </c>
      <c r="E3969" s="4">
        <v>6.0699999999999997E-2</v>
      </c>
      <c r="F3969" s="4">
        <v>9.7600000000000006E-2</v>
      </c>
      <c r="G3969" s="4">
        <v>6.1199999999999997E-2</v>
      </c>
      <c r="H3969" s="4">
        <v>6.0699999999999997E-2</v>
      </c>
      <c r="I3969" s="4">
        <v>4.6399999999999997E-2</v>
      </c>
      <c r="J3969" s="4">
        <v>9.7600000000000006E-2</v>
      </c>
      <c r="K3969" s="4">
        <v>0.3795</v>
      </c>
      <c r="L3969" s="4">
        <v>6.0699999999999997E-2</v>
      </c>
      <c r="M3969" s="4">
        <v>9.7600000000000006E-2</v>
      </c>
      <c r="N3969" s="5">
        <v>9</v>
      </c>
    </row>
    <row r="3970" spans="1:14" x14ac:dyDescent="0.35">
      <c r="A3970" s="3" t="s">
        <v>227</v>
      </c>
      <c r="B3970" s="3" t="s">
        <v>254</v>
      </c>
      <c r="C3970" s="3" t="s">
        <v>1275</v>
      </c>
      <c r="D3970" s="4">
        <v>0.84440000000000004</v>
      </c>
      <c r="E3970" s="4">
        <v>0.47549999999999998</v>
      </c>
      <c r="F3970" s="4">
        <v>0.5625</v>
      </c>
      <c r="G3970" s="4">
        <v>0.48980000000000001</v>
      </c>
      <c r="H3970" s="4">
        <v>0.8881</v>
      </c>
      <c r="I3970" s="4">
        <v>0.89559999999999995</v>
      </c>
      <c r="J3970" s="4">
        <v>0.90239999999999998</v>
      </c>
      <c r="K3970" s="4">
        <v>0.5625</v>
      </c>
      <c r="L3970" s="4">
        <v>0.93930000000000002</v>
      </c>
      <c r="M3970" s="4">
        <v>0.90239999999999998</v>
      </c>
      <c r="N3970" s="5">
        <v>9</v>
      </c>
    </row>
    <row r="3971" spans="1:14" x14ac:dyDescent="0.35">
      <c r="A3971" t="s">
        <v>227</v>
      </c>
      <c r="B3971" t="s">
        <v>253</v>
      </c>
      <c r="C3971" t="s">
        <v>299</v>
      </c>
      <c r="D3971" s="2">
        <v>2.8400000000000002E-2</v>
      </c>
      <c r="E3971" s="2">
        <v>0.4491</v>
      </c>
      <c r="F3971" s="2">
        <v>0.23719999999999999</v>
      </c>
      <c r="G3971" s="2">
        <v>0.24460000000000001</v>
      </c>
      <c r="H3971" s="2">
        <v>5.3999999999999999E-2</v>
      </c>
      <c r="I3971" s="2">
        <v>0.37180000000000002</v>
      </c>
      <c r="J3971" s="2">
        <v>4.5999999999999999E-3</v>
      </c>
      <c r="L3971" s="2">
        <v>3.2000000000000002E-3</v>
      </c>
      <c r="M3971" s="2">
        <v>1.72E-2</v>
      </c>
      <c r="N3971">
        <v>139</v>
      </c>
    </row>
    <row r="3972" spans="1:14" x14ac:dyDescent="0.35">
      <c r="A3972" t="s">
        <v>227</v>
      </c>
      <c r="B3972" t="s">
        <v>253</v>
      </c>
      <c r="C3972" t="s">
        <v>1277</v>
      </c>
      <c r="D3972" s="2">
        <v>0.2293</v>
      </c>
      <c r="E3972" s="2">
        <v>0.15790000000000001</v>
      </c>
      <c r="F3972" s="2">
        <v>4.53E-2</v>
      </c>
      <c r="G3972" s="2">
        <v>0.23780000000000001</v>
      </c>
      <c r="H3972" s="2">
        <v>0.30470000000000003</v>
      </c>
      <c r="I3972" s="2">
        <v>3.8800000000000001E-2</v>
      </c>
      <c r="J3972" s="2">
        <v>0.1019</v>
      </c>
      <c r="K3972" s="2">
        <v>0.27350000000000002</v>
      </c>
      <c r="L3972" s="2">
        <v>0.14299999999999999</v>
      </c>
      <c r="M3972" s="2">
        <v>9.7199999999999995E-2</v>
      </c>
      <c r="N3972">
        <v>139</v>
      </c>
    </row>
    <row r="3973" spans="1:14" x14ac:dyDescent="0.35">
      <c r="A3973" t="s">
        <v>227</v>
      </c>
      <c r="B3973" t="s">
        <v>253</v>
      </c>
      <c r="C3973" t="s">
        <v>1275</v>
      </c>
      <c r="D3973" s="2">
        <v>0.71799999999999997</v>
      </c>
      <c r="E3973" s="2">
        <v>0.32929999999999998</v>
      </c>
      <c r="F3973" s="2">
        <v>0.69589999999999996</v>
      </c>
      <c r="G3973" s="2">
        <v>0.51759999999999995</v>
      </c>
      <c r="H3973" s="2">
        <v>0.64119999999999999</v>
      </c>
      <c r="I3973" s="2">
        <v>0.57899999999999996</v>
      </c>
      <c r="J3973" s="2">
        <v>0.89359999999999995</v>
      </c>
      <c r="K3973" s="2">
        <v>0.72550000000000003</v>
      </c>
      <c r="L3973" s="2">
        <v>0.8538</v>
      </c>
      <c r="M3973" s="2">
        <v>0.8851</v>
      </c>
      <c r="N3973">
        <v>139</v>
      </c>
    </row>
    <row r="3974" spans="1:14" x14ac:dyDescent="0.35">
      <c r="A3974" t="s">
        <v>227</v>
      </c>
      <c r="B3974" t="s">
        <v>253</v>
      </c>
      <c r="C3974" t="s">
        <v>1276</v>
      </c>
      <c r="D3974" s="2">
        <v>2.4299999999999999E-2</v>
      </c>
      <c r="E3974" s="2">
        <v>6.3700000000000007E-2</v>
      </c>
      <c r="F3974" s="2">
        <v>2.1600000000000001E-2</v>
      </c>
      <c r="I3974" s="2">
        <v>1.04E-2</v>
      </c>
      <c r="K3974" s="2">
        <v>1E-3</v>
      </c>
      <c r="M3974" s="2">
        <v>5.0000000000000001E-4</v>
      </c>
      <c r="N3974">
        <v>139</v>
      </c>
    </row>
    <row r="3975" spans="1:14" x14ac:dyDescent="0.35">
      <c r="A3975" t="s">
        <v>227</v>
      </c>
      <c r="B3975" t="s">
        <v>252</v>
      </c>
      <c r="C3975" t="s">
        <v>1277</v>
      </c>
      <c r="D3975" s="2">
        <v>9.3100000000000002E-2</v>
      </c>
      <c r="E3975" s="2">
        <v>9.5799999999999996E-2</v>
      </c>
      <c r="F3975" s="2">
        <v>1.35E-2</v>
      </c>
      <c r="G3975" s="2">
        <v>0.10879999999999999</v>
      </c>
      <c r="H3975" s="2">
        <v>0.156</v>
      </c>
      <c r="I3975" s="2">
        <v>4.2900000000000001E-2</v>
      </c>
      <c r="J3975" s="2">
        <v>5.6399999999999999E-2</v>
      </c>
      <c r="K3975" s="2">
        <v>0.1885</v>
      </c>
      <c r="L3975" s="2">
        <v>9.9299999999999999E-2</v>
      </c>
      <c r="M3975" s="2">
        <v>7.8100000000000003E-2</v>
      </c>
      <c r="N3975">
        <v>554</v>
      </c>
    </row>
    <row r="3976" spans="1:14" x14ac:dyDescent="0.35">
      <c r="A3976" t="s">
        <v>227</v>
      </c>
      <c r="B3976" t="s">
        <v>252</v>
      </c>
      <c r="C3976" t="s">
        <v>1276</v>
      </c>
      <c r="D3976" s="2">
        <v>1.35E-2</v>
      </c>
      <c r="E3976" s="2">
        <v>6.7500000000000004E-2</v>
      </c>
      <c r="F3976" s="2">
        <v>6.8999999999999999E-3</v>
      </c>
      <c r="G3976" s="2">
        <v>1.9400000000000001E-2</v>
      </c>
      <c r="H3976" s="2">
        <v>2.2200000000000001E-2</v>
      </c>
      <c r="I3976" s="2">
        <v>1.17E-2</v>
      </c>
      <c r="K3976" s="2">
        <v>1.1000000000000001E-3</v>
      </c>
      <c r="L3976" s="2">
        <v>1.5E-3</v>
      </c>
      <c r="M3976" s="2">
        <v>4.0000000000000002E-4</v>
      </c>
      <c r="N3976">
        <v>554</v>
      </c>
    </row>
    <row r="3977" spans="1:14" x14ac:dyDescent="0.35">
      <c r="A3977" t="s">
        <v>227</v>
      </c>
      <c r="B3977" t="s">
        <v>252</v>
      </c>
      <c r="C3977" t="s">
        <v>1275</v>
      </c>
      <c r="D3977" s="2">
        <v>0.81620000000000004</v>
      </c>
      <c r="E3977" s="2">
        <v>0.33389999999999997</v>
      </c>
      <c r="F3977" s="2">
        <v>0.74919999999999998</v>
      </c>
      <c r="G3977" s="2">
        <v>0.57140000000000002</v>
      </c>
      <c r="H3977" s="2">
        <v>0.79139999999999999</v>
      </c>
      <c r="I3977" s="2">
        <v>0.65629999999999999</v>
      </c>
      <c r="J3977" s="2">
        <v>0.92920000000000003</v>
      </c>
      <c r="K3977" s="2">
        <v>0.80189999999999995</v>
      </c>
      <c r="L3977" s="2">
        <v>0.85850000000000004</v>
      </c>
      <c r="M3977" s="2">
        <v>0.91700000000000004</v>
      </c>
      <c r="N3977">
        <v>554</v>
      </c>
    </row>
    <row r="3978" spans="1:14" x14ac:dyDescent="0.35">
      <c r="A3978" t="s">
        <v>227</v>
      </c>
      <c r="B3978" t="s">
        <v>251</v>
      </c>
      <c r="C3978" t="s">
        <v>299</v>
      </c>
      <c r="D3978" s="2">
        <v>2.9600000000000001E-2</v>
      </c>
      <c r="E3978" s="2">
        <v>0.37980000000000003</v>
      </c>
      <c r="F3978" s="2">
        <v>9.8500000000000004E-2</v>
      </c>
      <c r="G3978" s="2">
        <v>0.12939999999999999</v>
      </c>
      <c r="H3978" s="2">
        <v>1.15E-2</v>
      </c>
      <c r="I3978" s="2">
        <v>0.3216</v>
      </c>
      <c r="J3978" s="2">
        <v>7.7000000000000002E-3</v>
      </c>
      <c r="K3978" s="2">
        <v>1.6999999999999999E-3</v>
      </c>
      <c r="L3978" s="2">
        <v>1.7399999999999999E-2</v>
      </c>
      <c r="M3978" s="2">
        <v>1.09E-2</v>
      </c>
      <c r="N3978">
        <v>1844</v>
      </c>
    </row>
    <row r="3979" spans="1:14" x14ac:dyDescent="0.35">
      <c r="A3979" t="s">
        <v>227</v>
      </c>
      <c r="B3979" t="s">
        <v>251</v>
      </c>
      <c r="C3979" t="s">
        <v>1277</v>
      </c>
      <c r="D3979" s="2">
        <v>0.13089999999999999</v>
      </c>
      <c r="E3979" s="2">
        <v>0.15440000000000001</v>
      </c>
      <c r="F3979" s="2">
        <v>6.0499999999999998E-2</v>
      </c>
      <c r="G3979" s="2">
        <v>0.23019999999999999</v>
      </c>
      <c r="H3979" s="2">
        <v>0.22789999999999999</v>
      </c>
      <c r="I3979" s="2">
        <v>0.04</v>
      </c>
      <c r="J3979" s="2">
        <v>0.20499999999999999</v>
      </c>
      <c r="K3979" s="2">
        <v>0.2001</v>
      </c>
      <c r="L3979" s="2">
        <v>0.15390000000000001</v>
      </c>
      <c r="M3979" s="2">
        <v>9.69E-2</v>
      </c>
      <c r="N3979">
        <v>1844</v>
      </c>
    </row>
    <row r="3980" spans="1:14" x14ac:dyDescent="0.35">
      <c r="A3980" t="s">
        <v>227</v>
      </c>
      <c r="B3980" t="s">
        <v>251</v>
      </c>
      <c r="C3980" t="s">
        <v>1276</v>
      </c>
      <c r="D3980" s="2">
        <v>2.3300000000000001E-2</v>
      </c>
      <c r="E3980" s="2">
        <v>6.1400000000000003E-2</v>
      </c>
      <c r="F3980" s="2">
        <v>1.26E-2</v>
      </c>
      <c r="G3980" s="2">
        <v>2.12E-2</v>
      </c>
      <c r="H3980" s="2">
        <v>2.9600000000000001E-2</v>
      </c>
      <c r="I3980" s="2">
        <v>5.7000000000000002E-3</v>
      </c>
      <c r="J3980" s="2">
        <v>8.3000000000000001E-3</v>
      </c>
      <c r="K3980" s="2">
        <v>1.55E-2</v>
      </c>
      <c r="L3980" s="2">
        <v>3.7000000000000002E-3</v>
      </c>
      <c r="M3980" s="2">
        <v>4.0000000000000002E-4</v>
      </c>
      <c r="N3980">
        <v>1844</v>
      </c>
    </row>
    <row r="3981" spans="1:14" x14ac:dyDescent="0.35">
      <c r="A3981" t="s">
        <v>227</v>
      </c>
      <c r="B3981" t="s">
        <v>252</v>
      </c>
      <c r="C3981" t="s">
        <v>299</v>
      </c>
      <c r="D3981" s="2">
        <v>7.7200000000000005E-2</v>
      </c>
      <c r="E3981" s="2">
        <v>0.50270000000000004</v>
      </c>
      <c r="F3981" s="2">
        <v>0.23039999999999999</v>
      </c>
      <c r="G3981" s="2">
        <v>0.3004</v>
      </c>
      <c r="H3981" s="2">
        <v>3.04E-2</v>
      </c>
      <c r="I3981" s="2">
        <v>0.28910000000000002</v>
      </c>
      <c r="J3981" s="2">
        <v>1.43E-2</v>
      </c>
      <c r="K3981" s="2">
        <v>8.5000000000000006E-3</v>
      </c>
      <c r="L3981" s="2">
        <v>4.0599999999999997E-2</v>
      </c>
      <c r="M3981" s="2">
        <v>4.4999999999999997E-3</v>
      </c>
      <c r="N3981">
        <v>554</v>
      </c>
    </row>
    <row r="3982" spans="1:14" x14ac:dyDescent="0.35">
      <c r="A3982" t="s">
        <v>228</v>
      </c>
      <c r="B3982" t="s">
        <v>228</v>
      </c>
      <c r="C3982" t="s">
        <v>1277</v>
      </c>
      <c r="D3982" s="2">
        <v>0.12759999999999999</v>
      </c>
      <c r="E3982" s="2">
        <v>0.1409</v>
      </c>
      <c r="F3982" s="2">
        <v>4.8899999999999999E-2</v>
      </c>
      <c r="G3982" s="2">
        <v>0.2019</v>
      </c>
      <c r="H3982" s="2">
        <v>0.2152</v>
      </c>
      <c r="I3982" s="2">
        <v>4.0599999999999997E-2</v>
      </c>
      <c r="J3982" s="2">
        <v>0.1648</v>
      </c>
      <c r="K3982" s="2">
        <v>0.2019</v>
      </c>
      <c r="L3982" s="2">
        <v>0.14050000000000001</v>
      </c>
      <c r="M3982" s="2">
        <v>9.2600000000000002E-2</v>
      </c>
      <c r="N3982">
        <v>2546</v>
      </c>
    </row>
    <row r="3983" spans="1:14" x14ac:dyDescent="0.35">
      <c r="A3983" t="s">
        <v>228</v>
      </c>
      <c r="B3983" t="s">
        <v>228</v>
      </c>
      <c r="C3983" t="s">
        <v>1275</v>
      </c>
      <c r="D3983" s="2">
        <v>0.81079999999999997</v>
      </c>
      <c r="E3983" s="2">
        <v>0.38419999999999999</v>
      </c>
      <c r="F3983" s="2">
        <v>0.80230000000000001</v>
      </c>
      <c r="G3983" s="2">
        <v>0.60229999999999995</v>
      </c>
      <c r="H3983" s="2">
        <v>0.74029999999999996</v>
      </c>
      <c r="I3983" s="2">
        <v>0.63570000000000004</v>
      </c>
      <c r="J3983" s="2">
        <v>0.82030000000000003</v>
      </c>
      <c r="K3983" s="2">
        <v>0.78349999999999997</v>
      </c>
      <c r="L3983" s="2">
        <v>0.83460000000000001</v>
      </c>
      <c r="M3983" s="2">
        <v>0.89729999999999999</v>
      </c>
      <c r="N3983">
        <v>2546</v>
      </c>
    </row>
    <row r="3984" spans="1:14" x14ac:dyDescent="0.35">
      <c r="A3984" t="s">
        <v>228</v>
      </c>
      <c r="B3984" t="s">
        <v>228</v>
      </c>
      <c r="C3984" t="s">
        <v>1276</v>
      </c>
      <c r="D3984" s="2">
        <v>2.1100000000000001E-2</v>
      </c>
      <c r="E3984" s="2">
        <v>6.2899999999999998E-2</v>
      </c>
      <c r="F3984" s="2">
        <v>1.17E-2</v>
      </c>
      <c r="G3984" s="2">
        <v>1.9599999999999999E-2</v>
      </c>
      <c r="H3984" s="2">
        <v>2.63E-2</v>
      </c>
      <c r="I3984" s="2">
        <v>7.3000000000000001E-3</v>
      </c>
      <c r="J3984" s="2">
        <v>5.8999999999999999E-3</v>
      </c>
      <c r="K3984" s="2">
        <v>1.14E-2</v>
      </c>
      <c r="L3984" s="2">
        <v>3.0000000000000001E-3</v>
      </c>
      <c r="M3984" s="2">
        <v>4.0000000000000002E-4</v>
      </c>
      <c r="N3984">
        <v>2546</v>
      </c>
    </row>
    <row r="3985" spans="1:14" x14ac:dyDescent="0.35">
      <c r="A3985" t="s">
        <v>228</v>
      </c>
      <c r="B3985" t="s">
        <v>228</v>
      </c>
      <c r="C3985" t="s">
        <v>299</v>
      </c>
      <c r="D3985" s="2">
        <v>4.0599999999999997E-2</v>
      </c>
      <c r="E3985" s="2">
        <v>0.41199999999999998</v>
      </c>
      <c r="F3985" s="2">
        <v>0.1371</v>
      </c>
      <c r="G3985" s="2">
        <v>0.17610000000000001</v>
      </c>
      <c r="H3985" s="2">
        <v>1.8200000000000001E-2</v>
      </c>
      <c r="I3985" s="2">
        <v>0.31640000000000001</v>
      </c>
      <c r="J3985" s="2">
        <v>8.9999999999999993E-3</v>
      </c>
      <c r="K3985" s="2">
        <v>3.2000000000000002E-3</v>
      </c>
      <c r="L3985" s="2">
        <v>2.1899999999999999E-2</v>
      </c>
      <c r="M3985" s="2">
        <v>9.7000000000000003E-3</v>
      </c>
      <c r="N3985">
        <v>2546</v>
      </c>
    </row>
    <row r="3987" spans="1:14" x14ac:dyDescent="0.35">
      <c r="A3987" s="1" t="s">
        <v>1305</v>
      </c>
    </row>
    <row r="3988" spans="1:14" x14ac:dyDescent="0.35">
      <c r="A3988" t="s">
        <v>219</v>
      </c>
      <c r="B3988" t="s">
        <v>301</v>
      </c>
      <c r="C3988" t="s">
        <v>1279</v>
      </c>
      <c r="D3988" t="s">
        <v>1280</v>
      </c>
      <c r="E3988" t="s">
        <v>1281</v>
      </c>
      <c r="F3988" t="s">
        <v>1282</v>
      </c>
      <c r="G3988" t="s">
        <v>1283</v>
      </c>
      <c r="H3988" t="s">
        <v>277</v>
      </c>
      <c r="I3988" t="s">
        <v>226</v>
      </c>
    </row>
    <row r="3989" spans="1:14" x14ac:dyDescent="0.35">
      <c r="A3989" t="s">
        <v>227</v>
      </c>
      <c r="B3989" t="s">
        <v>251</v>
      </c>
      <c r="C3989" s="2">
        <v>0.44629999999999997</v>
      </c>
      <c r="D3989" s="2">
        <v>0.4985</v>
      </c>
      <c r="E3989" s="2">
        <v>0.31740000000000002</v>
      </c>
      <c r="F3989" s="2">
        <v>9.1999999999999998E-2</v>
      </c>
      <c r="G3989" s="2">
        <v>6.0499999999999998E-2</v>
      </c>
      <c r="H3989" s="2">
        <v>3.1899999999999998E-2</v>
      </c>
      <c r="I3989">
        <v>991</v>
      </c>
    </row>
    <row r="3990" spans="1:14" x14ac:dyDescent="0.35">
      <c r="A3990" t="s">
        <v>227</v>
      </c>
      <c r="B3990" t="s">
        <v>252</v>
      </c>
      <c r="C3990" s="2">
        <v>0.4521</v>
      </c>
      <c r="D3990" s="2">
        <v>0.39600000000000002</v>
      </c>
      <c r="E3990" s="2">
        <v>0.3584</v>
      </c>
      <c r="F3990" s="2">
        <v>0.1018</v>
      </c>
      <c r="G3990" s="2">
        <v>0.1641</v>
      </c>
      <c r="H3990" s="2">
        <v>4.8599999999999997E-2</v>
      </c>
      <c r="I3990">
        <v>335</v>
      </c>
    </row>
    <row r="3991" spans="1:14" x14ac:dyDescent="0.35">
      <c r="A3991" t="s">
        <v>227</v>
      </c>
      <c r="B3991" t="s">
        <v>253</v>
      </c>
      <c r="C3991" s="2">
        <v>0.64800000000000002</v>
      </c>
      <c r="D3991" s="2">
        <v>0.28160000000000002</v>
      </c>
      <c r="E3991" s="2">
        <v>0.255</v>
      </c>
      <c r="F3991" s="2">
        <v>0.115</v>
      </c>
      <c r="G3991" s="2">
        <v>0.15540000000000001</v>
      </c>
      <c r="H3991" s="2">
        <v>2.5000000000000001E-3</v>
      </c>
      <c r="I3991">
        <v>93</v>
      </c>
    </row>
    <row r="3992" spans="1:14" x14ac:dyDescent="0.35">
      <c r="A3992" s="3" t="s">
        <v>227</v>
      </c>
      <c r="B3992" s="3" t="s">
        <v>254</v>
      </c>
      <c r="C3992" s="4">
        <v>0.96809999999999996</v>
      </c>
      <c r="D3992" s="4">
        <v>0.26729999999999998</v>
      </c>
      <c r="E3992" s="4">
        <v>0.2354</v>
      </c>
      <c r="F3992" s="5"/>
      <c r="G3992" s="4">
        <v>0.71799999999999997</v>
      </c>
      <c r="H3992" s="5"/>
      <c r="I3992" s="5" t="s">
        <v>327</v>
      </c>
    </row>
    <row r="3993" spans="1:14" x14ac:dyDescent="0.35">
      <c r="A3993" t="s">
        <v>228</v>
      </c>
      <c r="B3993" t="s">
        <v>228</v>
      </c>
      <c r="C3993" s="2">
        <v>0.46189999999999998</v>
      </c>
      <c r="D3993" s="2">
        <v>0.45610000000000001</v>
      </c>
      <c r="E3993" s="2">
        <v>0.32429999999999998</v>
      </c>
      <c r="F3993" s="2">
        <v>9.6000000000000002E-2</v>
      </c>
      <c r="G3993" s="2">
        <v>9.6000000000000002E-2</v>
      </c>
      <c r="H3993" s="2">
        <v>3.4500000000000003E-2</v>
      </c>
      <c r="I3993">
        <v>1424</v>
      </c>
    </row>
    <row r="3995" spans="1:14" x14ac:dyDescent="0.35">
      <c r="A3995" s="1" t="s">
        <v>1306</v>
      </c>
    </row>
    <row r="3996" spans="1:14" x14ac:dyDescent="0.35">
      <c r="A3996" t="s">
        <v>219</v>
      </c>
      <c r="B3996" t="s">
        <v>1307</v>
      </c>
      <c r="C3996" t="s">
        <v>1308</v>
      </c>
      <c r="D3996" t="s">
        <v>1309</v>
      </c>
      <c r="E3996" t="s">
        <v>1310</v>
      </c>
      <c r="F3996" t="s">
        <v>226</v>
      </c>
    </row>
    <row r="3997" spans="1:14" x14ac:dyDescent="0.35">
      <c r="A3997" t="s">
        <v>227</v>
      </c>
      <c r="B3997" s="2">
        <v>0.35639999999999999</v>
      </c>
      <c r="C3997" s="2">
        <v>0.31380000000000002</v>
      </c>
      <c r="D3997" s="2">
        <v>0.28320000000000001</v>
      </c>
      <c r="E3997" s="2">
        <v>4.6600000000000003E-2</v>
      </c>
      <c r="F3997">
        <v>2546</v>
      </c>
    </row>
    <row r="3998" spans="1:14" x14ac:dyDescent="0.35">
      <c r="A3998" t="s">
        <v>228</v>
      </c>
      <c r="B3998" s="2">
        <v>0.35639999999999999</v>
      </c>
      <c r="C3998" s="2">
        <v>0.31380000000000002</v>
      </c>
      <c r="D3998" s="2">
        <v>0.28320000000000001</v>
      </c>
      <c r="E3998" s="2">
        <v>4.6600000000000003E-2</v>
      </c>
      <c r="F3998">
        <v>2546</v>
      </c>
    </row>
    <row r="4000" spans="1:14" x14ac:dyDescent="0.35">
      <c r="A4000" s="1" t="s">
        <v>1311</v>
      </c>
    </row>
    <row r="4001" spans="1:7" x14ac:dyDescent="0.35">
      <c r="A4001" t="s">
        <v>219</v>
      </c>
      <c r="B4001" t="s">
        <v>301</v>
      </c>
      <c r="C4001" t="s">
        <v>1307</v>
      </c>
      <c r="D4001" t="s">
        <v>1308</v>
      </c>
      <c r="E4001" t="s">
        <v>1309</v>
      </c>
      <c r="F4001" t="s">
        <v>1310</v>
      </c>
      <c r="G4001" t="s">
        <v>226</v>
      </c>
    </row>
    <row r="4002" spans="1:7" x14ac:dyDescent="0.35">
      <c r="A4002" t="s">
        <v>227</v>
      </c>
      <c r="B4002" t="s">
        <v>238</v>
      </c>
      <c r="C4002" s="2">
        <v>0.24809999999999999</v>
      </c>
      <c r="D4002" s="2">
        <v>0.42080000000000001</v>
      </c>
      <c r="E4002" s="2">
        <v>0.26490000000000002</v>
      </c>
      <c r="F4002" s="2">
        <v>6.6100000000000006E-2</v>
      </c>
      <c r="G4002">
        <v>904</v>
      </c>
    </row>
    <row r="4003" spans="1:7" x14ac:dyDescent="0.35">
      <c r="A4003" t="s">
        <v>227</v>
      </c>
      <c r="B4003" t="s">
        <v>237</v>
      </c>
      <c r="C4003" s="2">
        <v>0.4214</v>
      </c>
      <c r="D4003" s="2">
        <v>0.24970000000000001</v>
      </c>
      <c r="E4003" s="2">
        <v>0.29409999999999997</v>
      </c>
      <c r="F4003" s="2">
        <v>3.49E-2</v>
      </c>
      <c r="G4003">
        <v>1642</v>
      </c>
    </row>
    <row r="4004" spans="1:7" x14ac:dyDescent="0.35">
      <c r="A4004" t="s">
        <v>228</v>
      </c>
      <c r="B4004" t="s">
        <v>228</v>
      </c>
      <c r="C4004" s="2">
        <v>0.35639999999999999</v>
      </c>
      <c r="D4004" s="2">
        <v>0.31380000000000002</v>
      </c>
      <c r="E4004" s="2">
        <v>0.28320000000000001</v>
      </c>
      <c r="F4004" s="2">
        <v>4.6600000000000003E-2</v>
      </c>
      <c r="G4004">
        <v>2546</v>
      </c>
    </row>
    <row r="4006" spans="1:7" x14ac:dyDescent="0.35">
      <c r="A4006" s="1" t="s">
        <v>1312</v>
      </c>
    </row>
    <row r="4007" spans="1:7" x14ac:dyDescent="0.35">
      <c r="A4007" t="s">
        <v>219</v>
      </c>
      <c r="B4007" t="s">
        <v>301</v>
      </c>
      <c r="C4007" t="s">
        <v>1307</v>
      </c>
      <c r="D4007" t="s">
        <v>1308</v>
      </c>
      <c r="E4007" t="s">
        <v>1309</v>
      </c>
      <c r="F4007" t="s">
        <v>1310</v>
      </c>
      <c r="G4007" t="s">
        <v>226</v>
      </c>
    </row>
    <row r="4008" spans="1:7" x14ac:dyDescent="0.35">
      <c r="A4008" t="s">
        <v>227</v>
      </c>
      <c r="B4008" t="s">
        <v>235</v>
      </c>
      <c r="C4008" s="2">
        <v>0.29599999999999999</v>
      </c>
      <c r="D4008" s="2">
        <v>0.32190000000000002</v>
      </c>
      <c r="E4008" s="2">
        <v>0.31669999999999998</v>
      </c>
      <c r="F4008" s="2">
        <v>6.54E-2</v>
      </c>
      <c r="G4008">
        <v>910</v>
      </c>
    </row>
    <row r="4009" spans="1:7" x14ac:dyDescent="0.35">
      <c r="A4009" t="s">
        <v>227</v>
      </c>
      <c r="B4009" t="s">
        <v>234</v>
      </c>
      <c r="C4009" s="2">
        <v>0.38229999999999997</v>
      </c>
      <c r="D4009" s="2">
        <v>0.31040000000000001</v>
      </c>
      <c r="E4009" s="2">
        <v>0.26879999999999998</v>
      </c>
      <c r="F4009" s="2">
        <v>3.85E-2</v>
      </c>
      <c r="G4009">
        <v>1636</v>
      </c>
    </row>
    <row r="4010" spans="1:7" x14ac:dyDescent="0.35">
      <c r="A4010" t="s">
        <v>228</v>
      </c>
      <c r="B4010" t="s">
        <v>228</v>
      </c>
      <c r="C4010" s="2">
        <v>0.35639999999999999</v>
      </c>
      <c r="D4010" s="2">
        <v>0.31380000000000002</v>
      </c>
      <c r="E4010" s="2">
        <v>0.28320000000000001</v>
      </c>
      <c r="F4010" s="2">
        <v>4.6600000000000003E-2</v>
      </c>
      <c r="G4010">
        <v>2546</v>
      </c>
    </row>
    <row r="4012" spans="1:7" x14ac:dyDescent="0.35">
      <c r="A4012" s="1" t="s">
        <v>1313</v>
      </c>
    </row>
    <row r="4013" spans="1:7" x14ac:dyDescent="0.35">
      <c r="A4013" t="s">
        <v>219</v>
      </c>
      <c r="B4013" t="s">
        <v>301</v>
      </c>
      <c r="C4013" t="s">
        <v>1307</v>
      </c>
      <c r="D4013" t="s">
        <v>1308</v>
      </c>
      <c r="E4013" t="s">
        <v>1309</v>
      </c>
      <c r="F4013" t="s">
        <v>1310</v>
      </c>
      <c r="G4013" t="s">
        <v>226</v>
      </c>
    </row>
    <row r="4014" spans="1:7" x14ac:dyDescent="0.35">
      <c r="A4014" t="s">
        <v>227</v>
      </c>
      <c r="B4014" t="s">
        <v>240</v>
      </c>
      <c r="C4014" s="2">
        <v>0.34</v>
      </c>
      <c r="D4014" s="2">
        <v>0.3145</v>
      </c>
      <c r="E4014" s="2">
        <v>0.29949999999999999</v>
      </c>
      <c r="F4014" s="2">
        <v>4.5999999999999999E-2</v>
      </c>
      <c r="G4014">
        <v>1592</v>
      </c>
    </row>
    <row r="4015" spans="1:7" x14ac:dyDescent="0.35">
      <c r="A4015" t="s">
        <v>227</v>
      </c>
      <c r="B4015" t="s">
        <v>241</v>
      </c>
      <c r="C4015" s="2">
        <v>0.40949999999999998</v>
      </c>
      <c r="D4015" s="2">
        <v>0.3246</v>
      </c>
      <c r="E4015" s="2">
        <v>0.22170000000000001</v>
      </c>
      <c r="F4015" s="2">
        <v>4.4200000000000003E-2</v>
      </c>
      <c r="G4015">
        <v>802</v>
      </c>
    </row>
    <row r="4016" spans="1:7" x14ac:dyDescent="0.35">
      <c r="A4016" t="s">
        <v>227</v>
      </c>
      <c r="B4016" t="s">
        <v>242</v>
      </c>
      <c r="C4016" s="2">
        <v>0.2898</v>
      </c>
      <c r="D4016" s="2">
        <v>0.26100000000000001</v>
      </c>
      <c r="E4016" s="2">
        <v>0.38619999999999999</v>
      </c>
      <c r="F4016" s="2">
        <v>6.3100000000000003E-2</v>
      </c>
      <c r="G4016">
        <v>152</v>
      </c>
    </row>
    <row r="4017" spans="1:7" x14ac:dyDescent="0.35">
      <c r="A4017" t="s">
        <v>228</v>
      </c>
      <c r="B4017" t="s">
        <v>228</v>
      </c>
      <c r="C4017" s="2">
        <v>0.35639999999999999</v>
      </c>
      <c r="D4017" s="2">
        <v>0.31380000000000002</v>
      </c>
      <c r="E4017" s="2">
        <v>0.28320000000000001</v>
      </c>
      <c r="F4017" s="2">
        <v>4.6600000000000003E-2</v>
      </c>
      <c r="G4017">
        <v>2546</v>
      </c>
    </row>
    <row r="4019" spans="1:7" x14ac:dyDescent="0.35">
      <c r="A4019" s="1" t="s">
        <v>1314</v>
      </c>
    </row>
    <row r="4020" spans="1:7" x14ac:dyDescent="0.35">
      <c r="A4020" t="s">
        <v>219</v>
      </c>
      <c r="B4020" t="s">
        <v>301</v>
      </c>
      <c r="C4020" t="s">
        <v>1307</v>
      </c>
      <c r="D4020" t="s">
        <v>1308</v>
      </c>
      <c r="E4020" t="s">
        <v>1309</v>
      </c>
      <c r="F4020" t="s">
        <v>1310</v>
      </c>
      <c r="G4020" t="s">
        <v>226</v>
      </c>
    </row>
    <row r="4021" spans="1:7" x14ac:dyDescent="0.35">
      <c r="A4021" t="s">
        <v>227</v>
      </c>
      <c r="B4021" t="s">
        <v>334</v>
      </c>
      <c r="C4021" s="2">
        <v>0.29220000000000002</v>
      </c>
      <c r="D4021" s="2">
        <v>0.37930000000000003</v>
      </c>
      <c r="E4021" s="2">
        <v>0.27339999999999998</v>
      </c>
      <c r="F4021" s="2">
        <v>5.5199999999999999E-2</v>
      </c>
      <c r="G4021">
        <v>560</v>
      </c>
    </row>
    <row r="4022" spans="1:7" x14ac:dyDescent="0.35">
      <c r="A4022" t="s">
        <v>227</v>
      </c>
      <c r="B4022" t="s">
        <v>335</v>
      </c>
      <c r="C4022" s="2">
        <v>0.46100000000000002</v>
      </c>
      <c r="D4022" s="2">
        <v>0.22500000000000001</v>
      </c>
      <c r="E4022" s="2">
        <v>0.27300000000000002</v>
      </c>
      <c r="F4022" s="2">
        <v>4.0899999999999999E-2</v>
      </c>
      <c r="G4022">
        <v>572</v>
      </c>
    </row>
    <row r="4023" spans="1:7" x14ac:dyDescent="0.35">
      <c r="A4023" t="s">
        <v>227</v>
      </c>
      <c r="B4023" t="s">
        <v>336</v>
      </c>
      <c r="C4023" s="2">
        <v>0.2651</v>
      </c>
      <c r="D4023" s="2">
        <v>0.38640000000000002</v>
      </c>
      <c r="E4023" s="2">
        <v>0.2999</v>
      </c>
      <c r="F4023" s="2">
        <v>4.8599999999999997E-2</v>
      </c>
      <c r="G4023">
        <v>561</v>
      </c>
    </row>
    <row r="4024" spans="1:7" x14ac:dyDescent="0.35">
      <c r="A4024" t="s">
        <v>227</v>
      </c>
      <c r="B4024" t="s">
        <v>337</v>
      </c>
      <c r="C4024" s="2">
        <v>0.33850000000000002</v>
      </c>
      <c r="D4024" s="2">
        <v>0.3175</v>
      </c>
      <c r="E4024" s="2">
        <v>0.29620000000000002</v>
      </c>
      <c r="F4024" s="2">
        <v>4.7699999999999999E-2</v>
      </c>
      <c r="G4024">
        <v>545</v>
      </c>
    </row>
    <row r="4025" spans="1:7" x14ac:dyDescent="0.35">
      <c r="A4025" t="s">
        <v>228</v>
      </c>
      <c r="B4025" t="s">
        <v>228</v>
      </c>
      <c r="C4025" s="2">
        <v>0.35639999999999999</v>
      </c>
      <c r="D4025" s="2">
        <v>0.31380000000000002</v>
      </c>
      <c r="E4025" s="2">
        <v>0.28320000000000001</v>
      </c>
      <c r="F4025" s="2">
        <v>4.6600000000000003E-2</v>
      </c>
      <c r="G4025">
        <v>2238</v>
      </c>
    </row>
    <row r="4027" spans="1:7" x14ac:dyDescent="0.35">
      <c r="A4027" s="1" t="s">
        <v>1315</v>
      </c>
    </row>
    <row r="4028" spans="1:7" x14ac:dyDescent="0.35">
      <c r="A4028" t="s">
        <v>219</v>
      </c>
      <c r="B4028" t="s">
        <v>301</v>
      </c>
      <c r="C4028" t="s">
        <v>1307</v>
      </c>
      <c r="D4028" t="s">
        <v>1308</v>
      </c>
      <c r="E4028" t="s">
        <v>1309</v>
      </c>
      <c r="F4028" t="s">
        <v>1310</v>
      </c>
      <c r="G4028" t="s">
        <v>226</v>
      </c>
    </row>
    <row r="4029" spans="1:7" x14ac:dyDescent="0.35">
      <c r="A4029" t="s">
        <v>227</v>
      </c>
      <c r="B4029" t="s">
        <v>263</v>
      </c>
      <c r="C4029" s="2">
        <v>0.42259999999999998</v>
      </c>
      <c r="D4029" s="2">
        <v>0.26390000000000002</v>
      </c>
      <c r="E4029" s="2">
        <v>0.26329999999999998</v>
      </c>
      <c r="F4029" s="2">
        <v>5.0200000000000002E-2</v>
      </c>
      <c r="G4029">
        <v>523</v>
      </c>
    </row>
    <row r="4030" spans="1:7" x14ac:dyDescent="0.35">
      <c r="A4030" t="s">
        <v>227</v>
      </c>
      <c r="B4030" t="s">
        <v>262</v>
      </c>
      <c r="C4030" s="2">
        <v>0.36299999999999999</v>
      </c>
      <c r="D4030" s="2">
        <v>0.35970000000000002</v>
      </c>
      <c r="E4030" s="2">
        <v>0.24429999999999999</v>
      </c>
      <c r="F4030" s="2">
        <v>3.3000000000000002E-2</v>
      </c>
      <c r="G4030">
        <v>1062</v>
      </c>
    </row>
    <row r="4031" spans="1:7" x14ac:dyDescent="0.35">
      <c r="A4031" t="s">
        <v>227</v>
      </c>
      <c r="B4031" t="s">
        <v>261</v>
      </c>
      <c r="C4031" s="2">
        <v>0.3211</v>
      </c>
      <c r="D4031" s="2">
        <v>0.29620000000000002</v>
      </c>
      <c r="E4031" s="2">
        <v>0.32600000000000001</v>
      </c>
      <c r="F4031" s="2">
        <v>5.67E-2</v>
      </c>
      <c r="G4031">
        <v>960</v>
      </c>
    </row>
    <row r="4032" spans="1:7" x14ac:dyDescent="0.35">
      <c r="A4032" s="3" t="s">
        <v>227</v>
      </c>
      <c r="B4032" s="3" t="s">
        <v>232</v>
      </c>
      <c r="C4032" s="5"/>
      <c r="D4032" s="4">
        <v>1</v>
      </c>
      <c r="E4032" s="5"/>
      <c r="F4032" s="5"/>
      <c r="G4032" s="5" t="s">
        <v>323</v>
      </c>
    </row>
    <row r="4033" spans="1:7" x14ac:dyDescent="0.35">
      <c r="A4033" t="s">
        <v>228</v>
      </c>
      <c r="B4033" t="s">
        <v>228</v>
      </c>
      <c r="C4033" s="2">
        <v>0.35639999999999999</v>
      </c>
      <c r="D4033" s="2">
        <v>0.31380000000000002</v>
      </c>
      <c r="E4033" s="2">
        <v>0.28320000000000001</v>
      </c>
      <c r="F4033" s="2">
        <v>4.6600000000000003E-2</v>
      </c>
      <c r="G4033">
        <v>2546</v>
      </c>
    </row>
    <row r="4035" spans="1:7" x14ac:dyDescent="0.35">
      <c r="A4035" s="1" t="s">
        <v>1316</v>
      </c>
    </row>
    <row r="4036" spans="1:7" x14ac:dyDescent="0.35">
      <c r="A4036" t="s">
        <v>219</v>
      </c>
      <c r="B4036" t="s">
        <v>301</v>
      </c>
      <c r="C4036" t="s">
        <v>1307</v>
      </c>
      <c r="D4036" t="s">
        <v>1308</v>
      </c>
      <c r="E4036" t="s">
        <v>1309</v>
      </c>
      <c r="F4036" t="s">
        <v>1310</v>
      </c>
      <c r="G4036" t="s">
        <v>226</v>
      </c>
    </row>
    <row r="4037" spans="1:7" x14ac:dyDescent="0.35">
      <c r="A4037" t="s">
        <v>227</v>
      </c>
      <c r="B4037" t="s">
        <v>248</v>
      </c>
      <c r="C4037" s="2">
        <v>0.34379999999999999</v>
      </c>
      <c r="D4037" s="2">
        <v>0.4017</v>
      </c>
      <c r="E4037" s="2">
        <v>0.1993</v>
      </c>
      <c r="F4037" s="2">
        <v>5.5199999999999999E-2</v>
      </c>
      <c r="G4037">
        <v>713</v>
      </c>
    </row>
    <row r="4038" spans="1:7" x14ac:dyDescent="0.35">
      <c r="A4038" t="s">
        <v>227</v>
      </c>
      <c r="B4038" t="s">
        <v>249</v>
      </c>
      <c r="C4038" s="2">
        <v>0.29260000000000003</v>
      </c>
      <c r="D4038" s="2">
        <v>0.34799999999999998</v>
      </c>
      <c r="E4038" s="2">
        <v>0.3271</v>
      </c>
      <c r="F4038" s="2">
        <v>3.2300000000000002E-2</v>
      </c>
      <c r="G4038">
        <v>494</v>
      </c>
    </row>
    <row r="4039" spans="1:7" x14ac:dyDescent="0.35">
      <c r="A4039" t="s">
        <v>227</v>
      </c>
      <c r="B4039" t="s">
        <v>247</v>
      </c>
      <c r="C4039" s="2">
        <v>0.38540000000000002</v>
      </c>
      <c r="D4039" s="2">
        <v>0.25829999999999997</v>
      </c>
      <c r="E4039" s="2">
        <v>0.30880000000000002</v>
      </c>
      <c r="F4039" s="2">
        <v>4.7399999999999998E-2</v>
      </c>
      <c r="G4039">
        <v>1339</v>
      </c>
    </row>
    <row r="4040" spans="1:7" x14ac:dyDescent="0.35">
      <c r="A4040" t="s">
        <v>228</v>
      </c>
      <c r="B4040" t="s">
        <v>228</v>
      </c>
      <c r="C4040" s="2">
        <v>0.35639999999999999</v>
      </c>
      <c r="D4040" s="2">
        <v>0.31380000000000002</v>
      </c>
      <c r="E4040" s="2">
        <v>0.28320000000000001</v>
      </c>
      <c r="F4040" s="2">
        <v>4.6600000000000003E-2</v>
      </c>
      <c r="G4040">
        <v>2546</v>
      </c>
    </row>
    <row r="4042" spans="1:7" x14ac:dyDescent="0.35">
      <c r="A4042" s="1" t="s">
        <v>1317</v>
      </c>
    </row>
    <row r="4043" spans="1:7" x14ac:dyDescent="0.35">
      <c r="A4043" t="s">
        <v>219</v>
      </c>
      <c r="B4043" t="s">
        <v>301</v>
      </c>
      <c r="C4043" t="s">
        <v>1307</v>
      </c>
      <c r="D4043" t="s">
        <v>1308</v>
      </c>
      <c r="E4043" t="s">
        <v>1309</v>
      </c>
      <c r="F4043" t="s">
        <v>1310</v>
      </c>
      <c r="G4043" t="s">
        <v>226</v>
      </c>
    </row>
    <row r="4044" spans="1:7" x14ac:dyDescent="0.35">
      <c r="A4044" t="s">
        <v>227</v>
      </c>
      <c r="B4044" t="s">
        <v>245</v>
      </c>
      <c r="C4044" s="2">
        <v>0.26889999999999997</v>
      </c>
      <c r="D4044" s="2">
        <v>0.31490000000000001</v>
      </c>
      <c r="E4044" s="2">
        <v>0.3695</v>
      </c>
      <c r="F4044" s="2">
        <v>4.6699999999999998E-2</v>
      </c>
      <c r="G4044">
        <v>702</v>
      </c>
    </row>
    <row r="4045" spans="1:7" x14ac:dyDescent="0.35">
      <c r="A4045" t="s">
        <v>227</v>
      </c>
      <c r="B4045" t="s">
        <v>244</v>
      </c>
      <c r="C4045" s="2">
        <v>0.39179999999999998</v>
      </c>
      <c r="D4045" s="2">
        <v>0.31340000000000001</v>
      </c>
      <c r="E4045" s="2">
        <v>0.24829999999999999</v>
      </c>
      <c r="F4045" s="2">
        <v>4.65E-2</v>
      </c>
      <c r="G4045">
        <v>1844</v>
      </c>
    </row>
    <row r="4046" spans="1:7" x14ac:dyDescent="0.35">
      <c r="A4046" t="s">
        <v>228</v>
      </c>
      <c r="B4046" t="s">
        <v>228</v>
      </c>
      <c r="C4046" s="2">
        <v>0.35639999999999999</v>
      </c>
      <c r="D4046" s="2">
        <v>0.31380000000000002</v>
      </c>
      <c r="E4046" s="2">
        <v>0.28320000000000001</v>
      </c>
      <c r="F4046" s="2">
        <v>4.6600000000000003E-2</v>
      </c>
      <c r="G4046">
        <v>2546</v>
      </c>
    </row>
    <row r="4048" spans="1:7" x14ac:dyDescent="0.35">
      <c r="A4048" s="1" t="s">
        <v>1318</v>
      </c>
    </row>
    <row r="4049" spans="1:7" x14ac:dyDescent="0.35">
      <c r="A4049" t="s">
        <v>219</v>
      </c>
      <c r="B4049" t="s">
        <v>301</v>
      </c>
      <c r="C4049" t="s">
        <v>1307</v>
      </c>
      <c r="D4049" t="s">
        <v>1308</v>
      </c>
      <c r="E4049" t="s">
        <v>1309</v>
      </c>
      <c r="F4049" t="s">
        <v>1310</v>
      </c>
      <c r="G4049" t="s">
        <v>226</v>
      </c>
    </row>
    <row r="4050" spans="1:7" x14ac:dyDescent="0.35">
      <c r="A4050" t="s">
        <v>227</v>
      </c>
      <c r="B4050" t="s">
        <v>259</v>
      </c>
      <c r="C4050" s="2">
        <v>0.2001</v>
      </c>
      <c r="D4050" s="2">
        <v>0.47839999999999999</v>
      </c>
      <c r="E4050" s="2">
        <v>0.32</v>
      </c>
      <c r="F4050" s="2">
        <v>1.6000000000000001E-3</v>
      </c>
      <c r="G4050">
        <v>66</v>
      </c>
    </row>
    <row r="4051" spans="1:7" x14ac:dyDescent="0.35">
      <c r="A4051" t="s">
        <v>227</v>
      </c>
      <c r="B4051" t="s">
        <v>257</v>
      </c>
      <c r="C4051" s="2">
        <v>0.27710000000000001</v>
      </c>
      <c r="D4051" s="2">
        <v>0.4496</v>
      </c>
      <c r="E4051" s="2">
        <v>0.21990000000000001</v>
      </c>
      <c r="F4051" s="2">
        <v>5.3400000000000003E-2</v>
      </c>
      <c r="G4051">
        <v>367</v>
      </c>
    </row>
    <row r="4052" spans="1:7" x14ac:dyDescent="0.35">
      <c r="A4052" t="s">
        <v>227</v>
      </c>
      <c r="B4052" t="s">
        <v>256</v>
      </c>
      <c r="C4052" s="2">
        <v>0.38829999999999998</v>
      </c>
      <c r="D4052" s="2">
        <v>0.28120000000000001</v>
      </c>
      <c r="E4052" s="2">
        <v>0.2853</v>
      </c>
      <c r="F4052" s="2">
        <v>4.5100000000000001E-2</v>
      </c>
      <c r="G4052">
        <v>1626</v>
      </c>
    </row>
    <row r="4053" spans="1:7" x14ac:dyDescent="0.35">
      <c r="A4053" s="3" t="s">
        <v>227</v>
      </c>
      <c r="B4053" s="3" t="s">
        <v>232</v>
      </c>
      <c r="C4053" s="4">
        <v>0.13569999999999999</v>
      </c>
      <c r="D4053" s="4">
        <v>0.85099999999999998</v>
      </c>
      <c r="E4053" s="5"/>
      <c r="F4053" s="4">
        <v>1.3299999999999999E-2</v>
      </c>
      <c r="G4053" s="5" t="s">
        <v>307</v>
      </c>
    </row>
    <row r="4054" spans="1:7" x14ac:dyDescent="0.35">
      <c r="A4054" t="s">
        <v>227</v>
      </c>
      <c r="B4054" t="s">
        <v>258</v>
      </c>
      <c r="C4054" s="2">
        <v>0.3261</v>
      </c>
      <c r="D4054" s="2">
        <v>0.27779999999999999</v>
      </c>
      <c r="E4054" s="2">
        <v>0.34449999999999997</v>
      </c>
      <c r="F4054" s="2">
        <v>5.16E-2</v>
      </c>
      <c r="G4054">
        <v>476</v>
      </c>
    </row>
    <row r="4055" spans="1:7" x14ac:dyDescent="0.35">
      <c r="A4055" t="s">
        <v>228</v>
      </c>
      <c r="B4055" t="s">
        <v>228</v>
      </c>
      <c r="C4055" s="2">
        <v>0.35639999999999999</v>
      </c>
      <c r="D4055" s="2">
        <v>0.31380000000000002</v>
      </c>
      <c r="E4055" s="2">
        <v>0.28320000000000001</v>
      </c>
      <c r="F4055" s="2">
        <v>4.6600000000000003E-2</v>
      </c>
      <c r="G4055">
        <v>2546</v>
      </c>
    </row>
    <row r="4057" spans="1:7" x14ac:dyDescent="0.35">
      <c r="A4057" s="1" t="s">
        <v>1319</v>
      </c>
    </row>
    <row r="4058" spans="1:7" x14ac:dyDescent="0.35">
      <c r="A4058" t="s">
        <v>219</v>
      </c>
      <c r="B4058" t="s">
        <v>301</v>
      </c>
      <c r="C4058" t="s">
        <v>1307</v>
      </c>
      <c r="D4058" t="s">
        <v>1308</v>
      </c>
      <c r="E4058" t="s">
        <v>1309</v>
      </c>
      <c r="F4058" t="s">
        <v>1310</v>
      </c>
      <c r="G4058" t="s">
        <v>226</v>
      </c>
    </row>
    <row r="4059" spans="1:7" x14ac:dyDescent="0.35">
      <c r="A4059" t="s">
        <v>227</v>
      </c>
      <c r="B4059" t="s">
        <v>343</v>
      </c>
      <c r="C4059" s="2">
        <v>0.27710000000000001</v>
      </c>
      <c r="D4059" s="2">
        <v>0.4496</v>
      </c>
      <c r="E4059" s="2">
        <v>0.21990000000000001</v>
      </c>
      <c r="F4059" s="2">
        <v>5.3400000000000003E-2</v>
      </c>
      <c r="G4059">
        <v>367</v>
      </c>
    </row>
    <row r="4060" spans="1:7" x14ac:dyDescent="0.35">
      <c r="A4060" t="s">
        <v>227</v>
      </c>
      <c r="B4060" t="s">
        <v>344</v>
      </c>
      <c r="C4060" s="2">
        <v>0.37240000000000001</v>
      </c>
      <c r="D4060" s="2">
        <v>0.28649999999999998</v>
      </c>
      <c r="E4060" s="2">
        <v>0.2959</v>
      </c>
      <c r="F4060" s="2">
        <v>4.5199999999999997E-2</v>
      </c>
      <c r="G4060">
        <v>2179</v>
      </c>
    </row>
    <row r="4061" spans="1:7" x14ac:dyDescent="0.35">
      <c r="A4061" t="s">
        <v>228</v>
      </c>
      <c r="B4061" t="s">
        <v>228</v>
      </c>
      <c r="C4061" s="2">
        <v>0.35639999999999999</v>
      </c>
      <c r="D4061" s="2">
        <v>0.31380000000000002</v>
      </c>
      <c r="E4061" s="2">
        <v>0.28320000000000001</v>
      </c>
      <c r="F4061" s="2">
        <v>4.6600000000000003E-2</v>
      </c>
      <c r="G4061">
        <v>2546</v>
      </c>
    </row>
    <row r="4063" spans="1:7" x14ac:dyDescent="0.35">
      <c r="A4063" s="1" t="s">
        <v>1320</v>
      </c>
    </row>
    <row r="4064" spans="1:7" x14ac:dyDescent="0.35">
      <c r="A4064" t="s">
        <v>219</v>
      </c>
      <c r="B4064" t="s">
        <v>301</v>
      </c>
      <c r="C4064" t="s">
        <v>1307</v>
      </c>
      <c r="D4064" t="s">
        <v>1308</v>
      </c>
      <c r="E4064" t="s">
        <v>1309</v>
      </c>
      <c r="F4064" t="s">
        <v>1310</v>
      </c>
      <c r="G4064" t="s">
        <v>226</v>
      </c>
    </row>
    <row r="4065" spans="1:7" x14ac:dyDescent="0.35">
      <c r="A4065" t="s">
        <v>227</v>
      </c>
      <c r="B4065" t="s">
        <v>346</v>
      </c>
      <c r="C4065" s="2">
        <v>0.34920000000000001</v>
      </c>
      <c r="D4065" s="2">
        <v>0.31659999999999999</v>
      </c>
      <c r="E4065" s="2">
        <v>0.2848</v>
      </c>
      <c r="F4065" s="2">
        <v>4.9299999999999997E-2</v>
      </c>
      <c r="G4065">
        <v>1315</v>
      </c>
    </row>
    <row r="4066" spans="1:7" x14ac:dyDescent="0.35">
      <c r="A4066" t="s">
        <v>227</v>
      </c>
      <c r="B4066" t="s">
        <v>347</v>
      </c>
      <c r="C4066" s="2">
        <v>0.32229999999999998</v>
      </c>
      <c r="D4066" s="2">
        <v>0.32550000000000001</v>
      </c>
      <c r="E4066" s="2">
        <v>0.29749999999999999</v>
      </c>
      <c r="F4066" s="2">
        <v>5.4699999999999999E-2</v>
      </c>
      <c r="G4066">
        <v>523</v>
      </c>
    </row>
    <row r="4067" spans="1:7" x14ac:dyDescent="0.35">
      <c r="A4067" t="s">
        <v>227</v>
      </c>
      <c r="B4067" t="s">
        <v>348</v>
      </c>
      <c r="C4067" s="2">
        <v>0.43149999999999999</v>
      </c>
      <c r="D4067" s="2">
        <v>0.28520000000000001</v>
      </c>
      <c r="E4067" s="2">
        <v>0.26350000000000001</v>
      </c>
      <c r="F4067" s="2">
        <v>1.9800000000000002E-2</v>
      </c>
      <c r="G4067">
        <v>708</v>
      </c>
    </row>
    <row r="4068" spans="1:7" x14ac:dyDescent="0.35">
      <c r="A4068" t="s">
        <v>228</v>
      </c>
      <c r="B4068" t="s">
        <v>228</v>
      </c>
      <c r="C4068" s="2">
        <v>0.35639999999999999</v>
      </c>
      <c r="D4068" s="2">
        <v>0.31380000000000002</v>
      </c>
      <c r="E4068" s="2">
        <v>0.28320000000000001</v>
      </c>
      <c r="F4068" s="2">
        <v>4.6600000000000003E-2</v>
      </c>
      <c r="G4068">
        <v>2546</v>
      </c>
    </row>
    <row r="4070" spans="1:7" x14ac:dyDescent="0.35">
      <c r="A4070" s="1" t="s">
        <v>1321</v>
      </c>
    </row>
    <row r="4071" spans="1:7" x14ac:dyDescent="0.35">
      <c r="A4071" t="s">
        <v>219</v>
      </c>
      <c r="B4071" t="s">
        <v>301</v>
      </c>
      <c r="C4071" t="s">
        <v>1307</v>
      </c>
      <c r="D4071" t="s">
        <v>1308</v>
      </c>
      <c r="E4071" t="s">
        <v>1309</v>
      </c>
      <c r="F4071" t="s">
        <v>1310</v>
      </c>
      <c r="G4071" t="s">
        <v>226</v>
      </c>
    </row>
    <row r="4072" spans="1:7" x14ac:dyDescent="0.35">
      <c r="A4072" t="s">
        <v>227</v>
      </c>
      <c r="B4072" t="s">
        <v>251</v>
      </c>
      <c r="C4072" s="2">
        <v>0.39179999999999998</v>
      </c>
      <c r="D4072" s="2">
        <v>0.31340000000000001</v>
      </c>
      <c r="E4072" s="2">
        <v>0.24829999999999999</v>
      </c>
      <c r="F4072" s="2">
        <v>4.65E-2</v>
      </c>
      <c r="G4072">
        <v>1844</v>
      </c>
    </row>
    <row r="4073" spans="1:7" x14ac:dyDescent="0.35">
      <c r="A4073" t="s">
        <v>227</v>
      </c>
      <c r="B4073" t="s">
        <v>252</v>
      </c>
      <c r="C4073" s="2">
        <v>0.25369999999999998</v>
      </c>
      <c r="D4073" s="2">
        <v>0.2898</v>
      </c>
      <c r="E4073" s="2">
        <v>0.4037</v>
      </c>
      <c r="F4073" s="2">
        <v>5.2699999999999997E-2</v>
      </c>
      <c r="G4073">
        <v>554</v>
      </c>
    </row>
    <row r="4074" spans="1:7" x14ac:dyDescent="0.35">
      <c r="A4074" t="s">
        <v>227</v>
      </c>
      <c r="B4074" t="s">
        <v>253</v>
      </c>
      <c r="C4074" s="2">
        <v>0.32240000000000002</v>
      </c>
      <c r="D4074" s="2">
        <v>0.42909999999999998</v>
      </c>
      <c r="E4074" s="2">
        <v>0.22700000000000001</v>
      </c>
      <c r="F4074" s="2">
        <v>2.1399999999999999E-2</v>
      </c>
      <c r="G4074">
        <v>139</v>
      </c>
    </row>
    <row r="4075" spans="1:7" x14ac:dyDescent="0.35">
      <c r="A4075" s="3" t="s">
        <v>227</v>
      </c>
      <c r="B4075" s="3" t="s">
        <v>254</v>
      </c>
      <c r="C4075" s="4">
        <v>0.53620000000000001</v>
      </c>
      <c r="D4075" s="4">
        <v>5.1200000000000002E-2</v>
      </c>
      <c r="E4075" s="4">
        <v>0.35460000000000003</v>
      </c>
      <c r="F4075" s="4">
        <v>5.8000000000000003E-2</v>
      </c>
      <c r="G4075" s="5" t="s">
        <v>515</v>
      </c>
    </row>
    <row r="4076" spans="1:7" x14ac:dyDescent="0.35">
      <c r="A4076" t="s">
        <v>228</v>
      </c>
      <c r="B4076" t="s">
        <v>228</v>
      </c>
      <c r="C4076" s="2">
        <v>0.35639999999999999</v>
      </c>
      <c r="D4076" s="2">
        <v>0.31380000000000002</v>
      </c>
      <c r="E4076" s="2">
        <v>0.28320000000000001</v>
      </c>
      <c r="F4076" s="2">
        <v>4.6600000000000003E-2</v>
      </c>
      <c r="G4076">
        <v>2546</v>
      </c>
    </row>
    <row r="4078" spans="1:7" x14ac:dyDescent="0.35">
      <c r="A4078" s="1" t="s">
        <v>1322</v>
      </c>
    </row>
    <row r="4079" spans="1:7" x14ac:dyDescent="0.35">
      <c r="A4079" t="s">
        <v>219</v>
      </c>
      <c r="B4079" t="s">
        <v>298</v>
      </c>
      <c r="C4079" t="s">
        <v>299</v>
      </c>
      <c r="D4079" t="s">
        <v>277</v>
      </c>
      <c r="E4079" t="s">
        <v>282</v>
      </c>
      <c r="F4079" t="s">
        <v>226</v>
      </c>
    </row>
    <row r="4080" spans="1:7" x14ac:dyDescent="0.35">
      <c r="A4080" t="s">
        <v>227</v>
      </c>
      <c r="B4080" s="2">
        <v>0.84379999999999999</v>
      </c>
      <c r="C4080" s="2">
        <v>0.14749999999999999</v>
      </c>
      <c r="D4080" s="2">
        <v>6.6E-3</v>
      </c>
      <c r="E4080" s="2">
        <v>2.0999999999999999E-3</v>
      </c>
      <c r="F4080">
        <v>2813</v>
      </c>
    </row>
    <row r="4081" spans="1:7" x14ac:dyDescent="0.35">
      <c r="A4081" t="s">
        <v>228</v>
      </c>
      <c r="B4081" s="2">
        <v>0.84379999999999999</v>
      </c>
      <c r="C4081" s="2">
        <v>0.14749999999999999</v>
      </c>
      <c r="D4081" s="2">
        <v>6.6E-3</v>
      </c>
      <c r="E4081" s="2">
        <v>2.0999999999999999E-3</v>
      </c>
      <c r="F4081">
        <v>2813</v>
      </c>
    </row>
    <row r="4083" spans="1:7" x14ac:dyDescent="0.35">
      <c r="A4083" s="1" t="s">
        <v>1323</v>
      </c>
    </row>
    <row r="4084" spans="1:7" x14ac:dyDescent="0.35">
      <c r="A4084" t="s">
        <v>219</v>
      </c>
      <c r="B4084" t="s">
        <v>301</v>
      </c>
      <c r="C4084" t="s">
        <v>298</v>
      </c>
      <c r="D4084" t="s">
        <v>299</v>
      </c>
      <c r="E4084" t="s">
        <v>277</v>
      </c>
      <c r="F4084" t="s">
        <v>282</v>
      </c>
      <c r="G4084" t="s">
        <v>226</v>
      </c>
    </row>
    <row r="4085" spans="1:7" x14ac:dyDescent="0.35">
      <c r="A4085" t="s">
        <v>227</v>
      </c>
      <c r="B4085" t="s">
        <v>238</v>
      </c>
      <c r="C4085" s="2">
        <v>0.84189999999999998</v>
      </c>
      <c r="D4085" s="2">
        <v>0.14990000000000001</v>
      </c>
      <c r="E4085" s="2">
        <v>7.6E-3</v>
      </c>
      <c r="F4085" s="2">
        <v>5.9999999999999995E-4</v>
      </c>
      <c r="G4085">
        <v>1005</v>
      </c>
    </row>
    <row r="4086" spans="1:7" x14ac:dyDescent="0.35">
      <c r="A4086" t="s">
        <v>227</v>
      </c>
      <c r="B4086" t="s">
        <v>237</v>
      </c>
      <c r="C4086" s="2">
        <v>0.84489999999999998</v>
      </c>
      <c r="D4086" s="2">
        <v>0.14610000000000001</v>
      </c>
      <c r="E4086" s="2">
        <v>6.0000000000000001E-3</v>
      </c>
      <c r="F4086" s="2">
        <v>3.0000000000000001E-3</v>
      </c>
      <c r="G4086">
        <v>1808</v>
      </c>
    </row>
    <row r="4087" spans="1:7" x14ac:dyDescent="0.35">
      <c r="A4087" t="s">
        <v>228</v>
      </c>
      <c r="B4087" t="s">
        <v>228</v>
      </c>
      <c r="C4087" s="2">
        <v>0.84379999999999999</v>
      </c>
      <c r="D4087" s="2">
        <v>0.14749999999999999</v>
      </c>
      <c r="E4087" s="2">
        <v>6.6E-3</v>
      </c>
      <c r="F4087" s="2">
        <v>2.0999999999999999E-3</v>
      </c>
      <c r="G4087">
        <v>2813</v>
      </c>
    </row>
    <row r="4089" spans="1:7" x14ac:dyDescent="0.35">
      <c r="A4089" s="1" t="s">
        <v>1324</v>
      </c>
    </row>
    <row r="4090" spans="1:7" x14ac:dyDescent="0.35">
      <c r="A4090" t="s">
        <v>219</v>
      </c>
      <c r="B4090" t="s">
        <v>301</v>
      </c>
      <c r="C4090" t="s">
        <v>298</v>
      </c>
      <c r="D4090" t="s">
        <v>299</v>
      </c>
      <c r="E4090" t="s">
        <v>277</v>
      </c>
      <c r="F4090" t="s">
        <v>282</v>
      </c>
      <c r="G4090" t="s">
        <v>226</v>
      </c>
    </row>
    <row r="4091" spans="1:7" x14ac:dyDescent="0.35">
      <c r="A4091" t="s">
        <v>227</v>
      </c>
      <c r="B4091" t="s">
        <v>235</v>
      </c>
      <c r="C4091" s="2">
        <v>0.89959999999999996</v>
      </c>
      <c r="D4091" s="2">
        <v>9.11E-2</v>
      </c>
      <c r="E4091" s="2">
        <v>9.1000000000000004E-3</v>
      </c>
      <c r="F4091" s="2">
        <v>2.0000000000000001E-4</v>
      </c>
      <c r="G4091">
        <v>992</v>
      </c>
    </row>
    <row r="4092" spans="1:7" x14ac:dyDescent="0.35">
      <c r="A4092" t="s">
        <v>227</v>
      </c>
      <c r="B4092" t="s">
        <v>234</v>
      </c>
      <c r="C4092" s="2">
        <v>0.82040000000000002</v>
      </c>
      <c r="D4092" s="2">
        <v>0.1711</v>
      </c>
      <c r="E4092" s="2">
        <v>5.4999999999999997E-3</v>
      </c>
      <c r="F4092" s="2">
        <v>2.8999999999999998E-3</v>
      </c>
      <c r="G4092">
        <v>1821</v>
      </c>
    </row>
    <row r="4093" spans="1:7" x14ac:dyDescent="0.35">
      <c r="A4093" t="s">
        <v>228</v>
      </c>
      <c r="B4093" t="s">
        <v>228</v>
      </c>
      <c r="C4093" s="2">
        <v>0.84379999999999999</v>
      </c>
      <c r="D4093" s="2">
        <v>0.14749999999999999</v>
      </c>
      <c r="E4093" s="2">
        <v>6.6E-3</v>
      </c>
      <c r="F4093" s="2">
        <v>2.0999999999999999E-3</v>
      </c>
      <c r="G4093">
        <v>2813</v>
      </c>
    </row>
    <row r="4095" spans="1:7" x14ac:dyDescent="0.35">
      <c r="A4095" s="1" t="s">
        <v>1325</v>
      </c>
    </row>
    <row r="4096" spans="1:7" x14ac:dyDescent="0.35">
      <c r="A4096" t="s">
        <v>219</v>
      </c>
      <c r="B4096" t="s">
        <v>301</v>
      </c>
      <c r="C4096" t="s">
        <v>298</v>
      </c>
      <c r="D4096" t="s">
        <v>299</v>
      </c>
      <c r="E4096" t="s">
        <v>277</v>
      </c>
      <c r="F4096" t="s">
        <v>282</v>
      </c>
      <c r="G4096" t="s">
        <v>226</v>
      </c>
    </row>
    <row r="4097" spans="1:7" x14ac:dyDescent="0.35">
      <c r="A4097" t="s">
        <v>227</v>
      </c>
      <c r="B4097" t="s">
        <v>240</v>
      </c>
      <c r="C4097" s="2">
        <v>0.83679999999999999</v>
      </c>
      <c r="D4097" s="2">
        <v>0.15490000000000001</v>
      </c>
      <c r="E4097" s="2">
        <v>5.1000000000000004E-3</v>
      </c>
      <c r="F4097" s="2">
        <v>3.2000000000000002E-3</v>
      </c>
      <c r="G4097">
        <v>1756</v>
      </c>
    </row>
    <row r="4098" spans="1:7" x14ac:dyDescent="0.35">
      <c r="A4098" t="s">
        <v>227</v>
      </c>
      <c r="B4098" t="s">
        <v>241</v>
      </c>
      <c r="C4098" s="2">
        <v>0.85019999999999996</v>
      </c>
      <c r="D4098" s="2">
        <v>0.13830000000000001</v>
      </c>
      <c r="E4098" s="2">
        <v>1.11E-2</v>
      </c>
      <c r="F4098" s="2">
        <v>4.0000000000000002E-4</v>
      </c>
      <c r="G4098">
        <v>891</v>
      </c>
    </row>
    <row r="4099" spans="1:7" x14ac:dyDescent="0.35">
      <c r="A4099" t="s">
        <v>227</v>
      </c>
      <c r="B4099" t="s">
        <v>242</v>
      </c>
      <c r="C4099" s="2">
        <v>0.88260000000000005</v>
      </c>
      <c r="D4099" s="2">
        <v>0.1167</v>
      </c>
      <c r="E4099" s="2">
        <v>6.9999999999999999E-4</v>
      </c>
      <c r="G4099">
        <v>166</v>
      </c>
    </row>
    <row r="4100" spans="1:7" x14ac:dyDescent="0.35">
      <c r="A4100" t="s">
        <v>228</v>
      </c>
      <c r="B4100" t="s">
        <v>228</v>
      </c>
      <c r="C4100" s="2">
        <v>0.84379999999999999</v>
      </c>
      <c r="D4100" s="2">
        <v>0.14749999999999999</v>
      </c>
      <c r="E4100" s="2">
        <v>6.6E-3</v>
      </c>
      <c r="F4100" s="2">
        <v>2.0999999999999999E-3</v>
      </c>
      <c r="G4100">
        <v>2813</v>
      </c>
    </row>
    <row r="4102" spans="1:7" x14ac:dyDescent="0.35">
      <c r="A4102" s="1" t="s">
        <v>1326</v>
      </c>
    </row>
    <row r="4103" spans="1:7" x14ac:dyDescent="0.35">
      <c r="A4103" t="s">
        <v>219</v>
      </c>
      <c r="B4103" t="s">
        <v>301</v>
      </c>
      <c r="C4103" t="s">
        <v>298</v>
      </c>
      <c r="D4103" t="s">
        <v>299</v>
      </c>
      <c r="E4103" t="s">
        <v>277</v>
      </c>
      <c r="F4103" t="s">
        <v>282</v>
      </c>
      <c r="G4103" t="s">
        <v>226</v>
      </c>
    </row>
    <row r="4104" spans="1:7" x14ac:dyDescent="0.35">
      <c r="A4104" t="s">
        <v>227</v>
      </c>
      <c r="B4104" t="s">
        <v>334</v>
      </c>
      <c r="C4104" s="2">
        <v>0.85819999999999996</v>
      </c>
      <c r="D4104" s="2">
        <v>0.12139999999999999</v>
      </c>
      <c r="E4104" s="2">
        <v>1.12E-2</v>
      </c>
      <c r="F4104" s="2">
        <v>9.1999999999999998E-3</v>
      </c>
      <c r="G4104">
        <v>625</v>
      </c>
    </row>
    <row r="4105" spans="1:7" x14ac:dyDescent="0.35">
      <c r="A4105" t="s">
        <v>227</v>
      </c>
      <c r="B4105" t="s">
        <v>335</v>
      </c>
      <c r="C4105" s="2">
        <v>0.82879999999999998</v>
      </c>
      <c r="D4105" s="2">
        <v>0.1701</v>
      </c>
      <c r="E4105" s="2">
        <v>8.9999999999999998E-4</v>
      </c>
      <c r="F4105" s="2">
        <v>2.0000000000000001E-4</v>
      </c>
      <c r="G4105">
        <v>628</v>
      </c>
    </row>
    <row r="4106" spans="1:7" x14ac:dyDescent="0.35">
      <c r="A4106" t="s">
        <v>227</v>
      </c>
      <c r="B4106" t="s">
        <v>336</v>
      </c>
      <c r="C4106" s="2">
        <v>0.87429999999999997</v>
      </c>
      <c r="D4106" s="2">
        <v>0.1187</v>
      </c>
      <c r="E4106" s="2">
        <v>7.0000000000000001E-3</v>
      </c>
      <c r="G4106">
        <v>621</v>
      </c>
    </row>
    <row r="4107" spans="1:7" x14ac:dyDescent="0.35">
      <c r="A4107" t="s">
        <v>227</v>
      </c>
      <c r="B4107" t="s">
        <v>337</v>
      </c>
      <c r="C4107" s="2">
        <v>0.83689999999999998</v>
      </c>
      <c r="D4107" s="2">
        <v>0.15690000000000001</v>
      </c>
      <c r="E4107" s="2">
        <v>6.1999999999999998E-3</v>
      </c>
      <c r="G4107">
        <v>602</v>
      </c>
    </row>
    <row r="4108" spans="1:7" x14ac:dyDescent="0.35">
      <c r="A4108" t="s">
        <v>228</v>
      </c>
      <c r="B4108" t="s">
        <v>228</v>
      </c>
      <c r="C4108" s="2">
        <v>0.84379999999999999</v>
      </c>
      <c r="D4108" s="2">
        <v>0.14749999999999999</v>
      </c>
      <c r="E4108" s="2">
        <v>6.6E-3</v>
      </c>
      <c r="F4108" s="2">
        <v>2.0999999999999999E-3</v>
      </c>
      <c r="G4108">
        <v>2476</v>
      </c>
    </row>
    <row r="4110" spans="1:7" x14ac:dyDescent="0.35">
      <c r="A4110" s="1" t="s">
        <v>1327</v>
      </c>
    </row>
    <row r="4111" spans="1:7" x14ac:dyDescent="0.35">
      <c r="A4111" t="s">
        <v>219</v>
      </c>
      <c r="B4111" t="s">
        <v>301</v>
      </c>
      <c r="C4111" t="s">
        <v>298</v>
      </c>
      <c r="D4111" t="s">
        <v>299</v>
      </c>
      <c r="E4111" t="s">
        <v>277</v>
      </c>
      <c r="F4111" t="s">
        <v>282</v>
      </c>
      <c r="G4111" t="s">
        <v>226</v>
      </c>
    </row>
    <row r="4112" spans="1:7" x14ac:dyDescent="0.35">
      <c r="A4112" t="s">
        <v>227</v>
      </c>
      <c r="B4112" t="s">
        <v>263</v>
      </c>
      <c r="C4112" s="2">
        <v>0.86460000000000004</v>
      </c>
      <c r="D4112" s="2">
        <v>0.1346</v>
      </c>
      <c r="F4112" s="2">
        <v>8.0000000000000004E-4</v>
      </c>
      <c r="G4112">
        <v>589</v>
      </c>
    </row>
    <row r="4113" spans="1:7" x14ac:dyDescent="0.35">
      <c r="A4113" t="s">
        <v>227</v>
      </c>
      <c r="B4113" t="s">
        <v>262</v>
      </c>
      <c r="C4113" s="2">
        <v>0.83599999999999997</v>
      </c>
      <c r="D4113" s="2">
        <v>0.1537</v>
      </c>
      <c r="E4113" s="2">
        <v>9.9000000000000008E-3</v>
      </c>
      <c r="F4113" s="2">
        <v>2.9999999999999997E-4</v>
      </c>
      <c r="G4113">
        <v>1160</v>
      </c>
    </row>
    <row r="4114" spans="1:7" x14ac:dyDescent="0.35">
      <c r="A4114" t="s">
        <v>227</v>
      </c>
      <c r="B4114" t="s">
        <v>261</v>
      </c>
      <c r="C4114" s="2">
        <v>0.84289999999999998</v>
      </c>
      <c r="D4114" s="2">
        <v>0.14580000000000001</v>
      </c>
      <c r="E4114" s="2">
        <v>6.8999999999999999E-3</v>
      </c>
      <c r="F4114" s="2">
        <v>4.4000000000000003E-3</v>
      </c>
      <c r="G4114">
        <v>1062</v>
      </c>
    </row>
    <row r="4115" spans="1:7" x14ac:dyDescent="0.35">
      <c r="A4115" s="3" t="s">
        <v>227</v>
      </c>
      <c r="B4115" s="3" t="s">
        <v>232</v>
      </c>
      <c r="C4115" s="5"/>
      <c r="D4115" s="4">
        <v>1</v>
      </c>
      <c r="E4115" s="5"/>
      <c r="F4115" s="5"/>
      <c r="G4115" s="5" t="s">
        <v>434</v>
      </c>
    </row>
    <row r="4116" spans="1:7" x14ac:dyDescent="0.35">
      <c r="A4116" t="s">
        <v>228</v>
      </c>
      <c r="B4116" t="s">
        <v>228</v>
      </c>
      <c r="C4116" s="2">
        <v>0.84379999999999999</v>
      </c>
      <c r="D4116" s="2">
        <v>0.14749999999999999</v>
      </c>
      <c r="E4116" s="2">
        <v>6.6E-3</v>
      </c>
      <c r="F4116" s="2">
        <v>2.0999999999999999E-3</v>
      </c>
      <c r="G4116">
        <v>2813</v>
      </c>
    </row>
    <row r="4118" spans="1:7" x14ac:dyDescent="0.35">
      <c r="A4118" s="1" t="s">
        <v>1328</v>
      </c>
    </row>
    <row r="4119" spans="1:7" x14ac:dyDescent="0.35">
      <c r="A4119" t="s">
        <v>219</v>
      </c>
      <c r="B4119" t="s">
        <v>301</v>
      </c>
      <c r="C4119" t="s">
        <v>298</v>
      </c>
      <c r="D4119" t="s">
        <v>299</v>
      </c>
      <c r="E4119" t="s">
        <v>277</v>
      </c>
      <c r="F4119" t="s">
        <v>282</v>
      </c>
      <c r="G4119" t="s">
        <v>226</v>
      </c>
    </row>
    <row r="4120" spans="1:7" x14ac:dyDescent="0.35">
      <c r="A4120" t="s">
        <v>227</v>
      </c>
      <c r="B4120" t="s">
        <v>248</v>
      </c>
      <c r="C4120" s="2">
        <v>0.85040000000000004</v>
      </c>
      <c r="D4120" s="2">
        <v>0.1394</v>
      </c>
      <c r="E4120" s="2">
        <v>8.9999999999999993E-3</v>
      </c>
      <c r="F4120" s="2">
        <v>1.1999999999999999E-3</v>
      </c>
      <c r="G4120">
        <v>796</v>
      </c>
    </row>
    <row r="4121" spans="1:7" x14ac:dyDescent="0.35">
      <c r="A4121" t="s">
        <v>227</v>
      </c>
      <c r="B4121" t="s">
        <v>249</v>
      </c>
      <c r="C4121" s="2">
        <v>0.82820000000000005</v>
      </c>
      <c r="D4121" s="2">
        <v>0.15890000000000001</v>
      </c>
      <c r="E4121" s="2">
        <v>1.2999999999999999E-2</v>
      </c>
      <c r="G4121">
        <v>541</v>
      </c>
    </row>
    <row r="4122" spans="1:7" x14ac:dyDescent="0.35">
      <c r="A4122" t="s">
        <v>227</v>
      </c>
      <c r="B4122" t="s">
        <v>247</v>
      </c>
      <c r="C4122" s="2">
        <v>0.84609999999999996</v>
      </c>
      <c r="D4122" s="2">
        <v>0.14749999999999999</v>
      </c>
      <c r="E4122" s="2">
        <v>3.0000000000000001E-3</v>
      </c>
      <c r="F4122" s="2">
        <v>3.3999999999999998E-3</v>
      </c>
      <c r="G4122">
        <v>1476</v>
      </c>
    </row>
    <row r="4123" spans="1:7" x14ac:dyDescent="0.35">
      <c r="A4123" t="s">
        <v>228</v>
      </c>
      <c r="B4123" t="s">
        <v>228</v>
      </c>
      <c r="C4123" s="2">
        <v>0.84379999999999999</v>
      </c>
      <c r="D4123" s="2">
        <v>0.14749999999999999</v>
      </c>
      <c r="E4123" s="2">
        <v>6.6E-3</v>
      </c>
      <c r="F4123" s="2">
        <v>2.0999999999999999E-3</v>
      </c>
      <c r="G4123">
        <v>2813</v>
      </c>
    </row>
    <row r="4125" spans="1:7" x14ac:dyDescent="0.35">
      <c r="A4125" s="1" t="s">
        <v>1329</v>
      </c>
    </row>
    <row r="4126" spans="1:7" x14ac:dyDescent="0.35">
      <c r="A4126" t="s">
        <v>219</v>
      </c>
      <c r="B4126" t="s">
        <v>301</v>
      </c>
      <c r="C4126" t="s">
        <v>298</v>
      </c>
      <c r="D4126" t="s">
        <v>299</v>
      </c>
      <c r="E4126" t="s">
        <v>277</v>
      </c>
      <c r="F4126" t="s">
        <v>282</v>
      </c>
      <c r="G4126" t="s">
        <v>226</v>
      </c>
    </row>
    <row r="4127" spans="1:7" x14ac:dyDescent="0.35">
      <c r="A4127" t="s">
        <v>227</v>
      </c>
      <c r="B4127" t="s">
        <v>245</v>
      </c>
      <c r="C4127" s="2">
        <v>0.84540000000000004</v>
      </c>
      <c r="D4127" s="2">
        <v>0.15329999999999999</v>
      </c>
      <c r="E4127" s="2">
        <v>1.2999999999999999E-3</v>
      </c>
      <c r="G4127">
        <v>783</v>
      </c>
    </row>
    <row r="4128" spans="1:7" x14ac:dyDescent="0.35">
      <c r="A4128" t="s">
        <v>227</v>
      </c>
      <c r="B4128" t="s">
        <v>244</v>
      </c>
      <c r="C4128" s="2">
        <v>0.84309999999999996</v>
      </c>
      <c r="D4128" s="2">
        <v>0.1452</v>
      </c>
      <c r="E4128" s="2">
        <v>8.6E-3</v>
      </c>
      <c r="F4128" s="2">
        <v>3.0000000000000001E-3</v>
      </c>
      <c r="G4128">
        <v>2030</v>
      </c>
    </row>
    <row r="4129" spans="1:7" x14ac:dyDescent="0.35">
      <c r="A4129" t="s">
        <v>228</v>
      </c>
      <c r="B4129" t="s">
        <v>228</v>
      </c>
      <c r="C4129" s="2">
        <v>0.84379999999999999</v>
      </c>
      <c r="D4129" s="2">
        <v>0.14749999999999999</v>
      </c>
      <c r="E4129" s="2">
        <v>6.6E-3</v>
      </c>
      <c r="F4129" s="2">
        <v>2.0999999999999999E-3</v>
      </c>
      <c r="G4129">
        <v>2813</v>
      </c>
    </row>
    <row r="4131" spans="1:7" x14ac:dyDescent="0.35">
      <c r="A4131" s="1" t="s">
        <v>1330</v>
      </c>
    </row>
    <row r="4132" spans="1:7" x14ac:dyDescent="0.35">
      <c r="A4132" t="s">
        <v>219</v>
      </c>
      <c r="B4132" t="s">
        <v>301</v>
      </c>
      <c r="C4132" t="s">
        <v>298</v>
      </c>
      <c r="D4132" t="s">
        <v>299</v>
      </c>
      <c r="E4132" t="s">
        <v>277</v>
      </c>
      <c r="F4132" t="s">
        <v>282</v>
      </c>
      <c r="G4132" t="s">
        <v>226</v>
      </c>
    </row>
    <row r="4133" spans="1:7" x14ac:dyDescent="0.35">
      <c r="A4133" t="s">
        <v>227</v>
      </c>
      <c r="B4133" t="s">
        <v>259</v>
      </c>
      <c r="C4133" s="2">
        <v>0.79890000000000005</v>
      </c>
      <c r="D4133" s="2">
        <v>0.2011</v>
      </c>
      <c r="G4133">
        <v>69</v>
      </c>
    </row>
    <row r="4134" spans="1:7" x14ac:dyDescent="0.35">
      <c r="A4134" t="s">
        <v>227</v>
      </c>
      <c r="B4134" t="s">
        <v>257</v>
      </c>
      <c r="C4134" s="2">
        <v>0.83330000000000004</v>
      </c>
      <c r="D4134" s="2">
        <v>0.16259999999999999</v>
      </c>
      <c r="E4134" s="2">
        <v>4.1000000000000003E-3</v>
      </c>
      <c r="G4134">
        <v>405</v>
      </c>
    </row>
    <row r="4135" spans="1:7" x14ac:dyDescent="0.35">
      <c r="A4135" t="s">
        <v>227</v>
      </c>
      <c r="B4135" t="s">
        <v>256</v>
      </c>
      <c r="C4135" s="2">
        <v>0.86</v>
      </c>
      <c r="D4135" s="2">
        <v>0.1288</v>
      </c>
      <c r="E4135" s="2">
        <v>8.0999999999999996E-3</v>
      </c>
      <c r="F4135" s="2">
        <v>3.0999999999999999E-3</v>
      </c>
      <c r="G4135">
        <v>1803</v>
      </c>
    </row>
    <row r="4136" spans="1:7" x14ac:dyDescent="0.35">
      <c r="A4136" s="3" t="s">
        <v>227</v>
      </c>
      <c r="B4136" s="3" t="s">
        <v>232</v>
      </c>
      <c r="C4136" s="4">
        <v>0.81330000000000002</v>
      </c>
      <c r="D4136" s="4">
        <v>0.1048</v>
      </c>
      <c r="E4136" s="4">
        <v>8.1900000000000001E-2</v>
      </c>
      <c r="F4136" s="5"/>
      <c r="G4136" s="5" t="s">
        <v>307</v>
      </c>
    </row>
    <row r="4137" spans="1:7" x14ac:dyDescent="0.35">
      <c r="A4137" t="s">
        <v>227</v>
      </c>
      <c r="B4137" t="s">
        <v>258</v>
      </c>
      <c r="C4137" s="2">
        <v>0.78800000000000003</v>
      </c>
      <c r="D4137" s="2">
        <v>0.20910000000000001</v>
      </c>
      <c r="E4137" s="2">
        <v>2.3E-3</v>
      </c>
      <c r="F4137" s="2">
        <v>5.9999999999999995E-4</v>
      </c>
      <c r="G4137">
        <v>525</v>
      </c>
    </row>
    <row r="4138" spans="1:7" x14ac:dyDescent="0.35">
      <c r="A4138" t="s">
        <v>228</v>
      </c>
      <c r="B4138" t="s">
        <v>228</v>
      </c>
      <c r="C4138" s="2">
        <v>0.84379999999999999</v>
      </c>
      <c r="D4138" s="2">
        <v>0.14749999999999999</v>
      </c>
      <c r="E4138" s="2">
        <v>6.6E-3</v>
      </c>
      <c r="F4138" s="2">
        <v>2.0999999999999999E-3</v>
      </c>
      <c r="G4138">
        <v>2813</v>
      </c>
    </row>
    <row r="4140" spans="1:7" x14ac:dyDescent="0.35">
      <c r="A4140" s="1" t="s">
        <v>1331</v>
      </c>
    </row>
    <row r="4141" spans="1:7" x14ac:dyDescent="0.35">
      <c r="A4141" t="s">
        <v>219</v>
      </c>
      <c r="B4141" t="s">
        <v>301</v>
      </c>
      <c r="C4141" t="s">
        <v>298</v>
      </c>
      <c r="D4141" t="s">
        <v>299</v>
      </c>
      <c r="E4141" t="s">
        <v>277</v>
      </c>
      <c r="F4141" t="s">
        <v>282</v>
      </c>
      <c r="G4141" t="s">
        <v>226</v>
      </c>
    </row>
    <row r="4142" spans="1:7" x14ac:dyDescent="0.35">
      <c r="A4142" t="s">
        <v>227</v>
      </c>
      <c r="B4142" t="s">
        <v>343</v>
      </c>
      <c r="C4142" s="2">
        <v>0.83330000000000004</v>
      </c>
      <c r="D4142" s="2">
        <v>0.16259999999999999</v>
      </c>
      <c r="E4142" s="2">
        <v>4.1000000000000003E-3</v>
      </c>
      <c r="G4142">
        <v>405</v>
      </c>
    </row>
    <row r="4143" spans="1:7" x14ac:dyDescent="0.35">
      <c r="A4143" t="s">
        <v>227</v>
      </c>
      <c r="B4143" t="s">
        <v>344</v>
      </c>
      <c r="C4143" s="2">
        <v>0.84589999999999999</v>
      </c>
      <c r="D4143" s="2">
        <v>0.1444</v>
      </c>
      <c r="E4143" s="2">
        <v>7.1000000000000004E-3</v>
      </c>
      <c r="F4143" s="2">
        <v>2.5999999999999999E-3</v>
      </c>
      <c r="G4143">
        <v>2408</v>
      </c>
    </row>
    <row r="4144" spans="1:7" x14ac:dyDescent="0.35">
      <c r="A4144" t="s">
        <v>228</v>
      </c>
      <c r="B4144" t="s">
        <v>228</v>
      </c>
      <c r="C4144" s="2">
        <v>0.84379999999999999</v>
      </c>
      <c r="D4144" s="2">
        <v>0.14749999999999999</v>
      </c>
      <c r="E4144" s="2">
        <v>6.6E-3</v>
      </c>
      <c r="F4144" s="2">
        <v>2.0999999999999999E-3</v>
      </c>
      <c r="G4144">
        <v>2813</v>
      </c>
    </row>
    <row r="4146" spans="1:7" x14ac:dyDescent="0.35">
      <c r="A4146" s="1" t="s">
        <v>1332</v>
      </c>
    </row>
    <row r="4147" spans="1:7" x14ac:dyDescent="0.35">
      <c r="A4147" t="s">
        <v>219</v>
      </c>
      <c r="B4147" t="s">
        <v>301</v>
      </c>
      <c r="C4147" t="s">
        <v>298</v>
      </c>
      <c r="D4147" t="s">
        <v>299</v>
      </c>
      <c r="E4147" t="s">
        <v>277</v>
      </c>
      <c r="F4147" t="s">
        <v>282</v>
      </c>
      <c r="G4147" t="s">
        <v>226</v>
      </c>
    </row>
    <row r="4148" spans="1:7" x14ac:dyDescent="0.35">
      <c r="A4148" t="s">
        <v>227</v>
      </c>
      <c r="B4148" t="s">
        <v>346</v>
      </c>
      <c r="C4148" s="2">
        <v>0.88970000000000005</v>
      </c>
      <c r="D4148" s="2">
        <v>0.10340000000000001</v>
      </c>
      <c r="E4148" s="2">
        <v>4.7999999999999996E-3</v>
      </c>
      <c r="F4148" s="2">
        <v>2.0999999999999999E-3</v>
      </c>
      <c r="G4148">
        <v>1463</v>
      </c>
    </row>
    <row r="4149" spans="1:7" x14ac:dyDescent="0.35">
      <c r="A4149" t="s">
        <v>227</v>
      </c>
      <c r="B4149" t="s">
        <v>347</v>
      </c>
      <c r="C4149" s="2">
        <v>0.4052</v>
      </c>
      <c r="D4149" s="2">
        <v>0.57930000000000004</v>
      </c>
      <c r="E4149" s="2">
        <v>1.21E-2</v>
      </c>
      <c r="F4149" s="2">
        <v>3.3E-3</v>
      </c>
      <c r="G4149">
        <v>585</v>
      </c>
    </row>
    <row r="4150" spans="1:7" x14ac:dyDescent="0.35">
      <c r="A4150" t="s">
        <v>227</v>
      </c>
      <c r="B4150" t="s">
        <v>348</v>
      </c>
      <c r="C4150" s="2">
        <v>0.5948</v>
      </c>
      <c r="D4150" s="2">
        <v>0.38350000000000001</v>
      </c>
      <c r="E4150" s="2">
        <v>2.01E-2</v>
      </c>
      <c r="F4150" s="2">
        <v>1.6999999999999999E-3</v>
      </c>
      <c r="G4150">
        <v>765</v>
      </c>
    </row>
    <row r="4151" spans="1:7" x14ac:dyDescent="0.35">
      <c r="A4151" t="s">
        <v>228</v>
      </c>
      <c r="B4151" t="s">
        <v>228</v>
      </c>
      <c r="C4151" s="2">
        <v>0.84379999999999999</v>
      </c>
      <c r="D4151" s="2">
        <v>0.14749999999999999</v>
      </c>
      <c r="E4151" s="2">
        <v>6.6E-3</v>
      </c>
      <c r="F4151" s="2">
        <v>2.0999999999999999E-3</v>
      </c>
      <c r="G4151">
        <v>2813</v>
      </c>
    </row>
    <row r="4153" spans="1:7" x14ac:dyDescent="0.35">
      <c r="A4153" s="1" t="s">
        <v>1333</v>
      </c>
    </row>
    <row r="4154" spans="1:7" x14ac:dyDescent="0.35">
      <c r="A4154" t="s">
        <v>219</v>
      </c>
      <c r="B4154" t="s">
        <v>301</v>
      </c>
      <c r="C4154" t="s">
        <v>298</v>
      </c>
      <c r="D4154" t="s">
        <v>299</v>
      </c>
      <c r="E4154" t="s">
        <v>277</v>
      </c>
      <c r="F4154" t="s">
        <v>282</v>
      </c>
      <c r="G4154" t="s">
        <v>226</v>
      </c>
    </row>
    <row r="4155" spans="1:7" x14ac:dyDescent="0.35">
      <c r="A4155" t="s">
        <v>227</v>
      </c>
      <c r="B4155" t="s">
        <v>251</v>
      </c>
      <c r="C4155" s="2">
        <v>0.84309999999999996</v>
      </c>
      <c r="D4155" s="2">
        <v>0.1452</v>
      </c>
      <c r="E4155" s="2">
        <v>8.6E-3</v>
      </c>
      <c r="F4155" s="2">
        <v>3.0000000000000001E-3</v>
      </c>
      <c r="G4155">
        <v>2030</v>
      </c>
    </row>
    <row r="4156" spans="1:7" x14ac:dyDescent="0.35">
      <c r="A4156" t="s">
        <v>227</v>
      </c>
      <c r="B4156" t="s">
        <v>252</v>
      </c>
      <c r="C4156" s="2">
        <v>0.8498</v>
      </c>
      <c r="D4156" s="2">
        <v>0.14929999999999999</v>
      </c>
      <c r="E4156" s="2">
        <v>8.9999999999999998E-4</v>
      </c>
      <c r="G4156">
        <v>621</v>
      </c>
    </row>
    <row r="4157" spans="1:7" x14ac:dyDescent="0.35">
      <c r="A4157" t="s">
        <v>227</v>
      </c>
      <c r="B4157" t="s">
        <v>253</v>
      </c>
      <c r="C4157" s="2">
        <v>0.83950000000000002</v>
      </c>
      <c r="D4157" s="2">
        <v>0.15740000000000001</v>
      </c>
      <c r="E4157" s="2">
        <v>3.0999999999999999E-3</v>
      </c>
      <c r="G4157">
        <v>153</v>
      </c>
    </row>
    <row r="4158" spans="1:7" x14ac:dyDescent="0.35">
      <c r="A4158" s="3" t="s">
        <v>227</v>
      </c>
      <c r="B4158" s="3" t="s">
        <v>254</v>
      </c>
      <c r="C4158" s="4">
        <v>0.47110000000000002</v>
      </c>
      <c r="D4158" s="4">
        <v>0.52890000000000004</v>
      </c>
      <c r="E4158" s="5"/>
      <c r="F4158" s="5"/>
      <c r="G4158" s="5" t="s">
        <v>515</v>
      </c>
    </row>
    <row r="4159" spans="1:7" x14ac:dyDescent="0.35">
      <c r="A4159" t="s">
        <v>228</v>
      </c>
      <c r="B4159" t="s">
        <v>228</v>
      </c>
      <c r="C4159" s="2">
        <v>0.84379999999999999</v>
      </c>
      <c r="D4159" s="2">
        <v>0.14749999999999999</v>
      </c>
      <c r="E4159" s="2">
        <v>6.6E-3</v>
      </c>
      <c r="F4159" s="2">
        <v>2.0999999999999999E-3</v>
      </c>
      <c r="G4159">
        <v>2813</v>
      </c>
    </row>
    <row r="4161" spans="1:7" x14ac:dyDescent="0.35">
      <c r="A4161" s="1" t="s">
        <v>1334</v>
      </c>
    </row>
    <row r="4162" spans="1:7" x14ac:dyDescent="0.35">
      <c r="A4162" t="s">
        <v>219</v>
      </c>
      <c r="B4162" t="s">
        <v>301</v>
      </c>
      <c r="C4162" t="s">
        <v>298</v>
      </c>
      <c r="D4162" t="s">
        <v>299</v>
      </c>
      <c r="E4162" t="s">
        <v>277</v>
      </c>
      <c r="F4162" t="s">
        <v>282</v>
      </c>
      <c r="G4162" t="s">
        <v>226</v>
      </c>
    </row>
    <row r="4163" spans="1:7" x14ac:dyDescent="0.35">
      <c r="A4163" t="s">
        <v>227</v>
      </c>
      <c r="B4163" t="s">
        <v>1335</v>
      </c>
      <c r="C4163" s="2">
        <v>0.86539999999999995</v>
      </c>
      <c r="D4163" s="2">
        <v>0.1239</v>
      </c>
      <c r="E4163" s="2">
        <v>5.0000000000000001E-3</v>
      </c>
      <c r="F4163" s="2">
        <v>5.7000000000000002E-3</v>
      </c>
      <c r="G4163">
        <v>848</v>
      </c>
    </row>
    <row r="4164" spans="1:7" x14ac:dyDescent="0.35">
      <c r="A4164" s="3" t="s">
        <v>227</v>
      </c>
      <c r="B4164" s="3" t="s">
        <v>1336</v>
      </c>
      <c r="C4164" s="4">
        <v>0.59340000000000004</v>
      </c>
      <c r="D4164" s="4">
        <v>0.40660000000000002</v>
      </c>
      <c r="E4164" s="5"/>
      <c r="F4164" s="5"/>
      <c r="G4164" s="5" t="s">
        <v>434</v>
      </c>
    </row>
    <row r="4165" spans="1:7" x14ac:dyDescent="0.35">
      <c r="A4165" t="s">
        <v>227</v>
      </c>
      <c r="B4165" t="s">
        <v>1337</v>
      </c>
      <c r="C4165" s="2">
        <v>0.83350000000000002</v>
      </c>
      <c r="D4165" s="2">
        <v>0.15870000000000001</v>
      </c>
      <c r="E4165" s="2">
        <v>7.4000000000000003E-3</v>
      </c>
      <c r="F4165" s="2">
        <v>4.0000000000000002E-4</v>
      </c>
      <c r="G4165">
        <v>1963</v>
      </c>
    </row>
    <row r="4166" spans="1:7" x14ac:dyDescent="0.35">
      <c r="A4166" t="s">
        <v>228</v>
      </c>
      <c r="B4166" t="s">
        <v>228</v>
      </c>
      <c r="C4166" s="2">
        <v>0.84379999999999999</v>
      </c>
      <c r="D4166" s="2">
        <v>0.14749999999999999</v>
      </c>
      <c r="E4166" s="2">
        <v>6.6E-3</v>
      </c>
      <c r="F4166" s="2">
        <v>2.0999999999999999E-3</v>
      </c>
      <c r="G4166">
        <v>2813</v>
      </c>
    </row>
    <row r="4168" spans="1:7" x14ac:dyDescent="0.35">
      <c r="A4168" s="1" t="s">
        <v>1338</v>
      </c>
    </row>
    <row r="4169" spans="1:7" x14ac:dyDescent="0.35">
      <c r="A4169" t="s">
        <v>219</v>
      </c>
      <c r="B4169" t="s">
        <v>301</v>
      </c>
      <c r="C4169" t="s">
        <v>298</v>
      </c>
      <c r="D4169" t="s">
        <v>299</v>
      </c>
      <c r="E4169" t="s">
        <v>277</v>
      </c>
      <c r="F4169" t="s">
        <v>282</v>
      </c>
      <c r="G4169" t="s">
        <v>226</v>
      </c>
    </row>
    <row r="4170" spans="1:7" x14ac:dyDescent="0.35">
      <c r="A4170" t="s">
        <v>227</v>
      </c>
      <c r="B4170" t="s">
        <v>1339</v>
      </c>
      <c r="C4170" s="2">
        <v>0.94599999999999995</v>
      </c>
      <c r="D4170" s="2">
        <v>5.3999999999999999E-2</v>
      </c>
      <c r="G4170">
        <v>51</v>
      </c>
    </row>
    <row r="4171" spans="1:7" x14ac:dyDescent="0.35">
      <c r="A4171" t="s">
        <v>227</v>
      </c>
      <c r="B4171" t="s">
        <v>1340</v>
      </c>
      <c r="C4171" s="2">
        <v>0.85899999999999999</v>
      </c>
      <c r="D4171" s="2">
        <v>0.13750000000000001</v>
      </c>
      <c r="E4171" s="2">
        <v>3.3999999999999998E-3</v>
      </c>
      <c r="F4171" s="2">
        <v>2.0000000000000001E-4</v>
      </c>
      <c r="G4171">
        <v>729</v>
      </c>
    </row>
    <row r="4172" spans="1:7" x14ac:dyDescent="0.35">
      <c r="A4172" t="s">
        <v>227</v>
      </c>
      <c r="B4172" t="s">
        <v>1341</v>
      </c>
      <c r="C4172" s="2">
        <v>0.83240000000000003</v>
      </c>
      <c r="D4172" s="2">
        <v>0.15720000000000001</v>
      </c>
      <c r="E4172" s="2">
        <v>6.6E-3</v>
      </c>
      <c r="F4172" s="2">
        <v>3.8E-3</v>
      </c>
      <c r="G4172">
        <v>1344</v>
      </c>
    </row>
    <row r="4173" spans="1:7" x14ac:dyDescent="0.35">
      <c r="A4173" t="s">
        <v>227</v>
      </c>
      <c r="B4173" t="s">
        <v>1342</v>
      </c>
      <c r="C4173" s="2">
        <v>0.84289999999999998</v>
      </c>
      <c r="D4173" s="2">
        <v>0.1459</v>
      </c>
      <c r="E4173" s="2">
        <v>1.04E-2</v>
      </c>
      <c r="F4173" s="2">
        <v>6.9999999999999999E-4</v>
      </c>
      <c r="G4173">
        <v>689</v>
      </c>
    </row>
    <row r="4174" spans="1:7" x14ac:dyDescent="0.35">
      <c r="A4174" t="s">
        <v>228</v>
      </c>
      <c r="B4174" t="s">
        <v>228</v>
      </c>
      <c r="C4174" s="2">
        <v>0.84379999999999999</v>
      </c>
      <c r="D4174" s="2">
        <v>0.14749999999999999</v>
      </c>
      <c r="E4174" s="2">
        <v>6.6E-3</v>
      </c>
      <c r="F4174" s="2">
        <v>2.0999999999999999E-3</v>
      </c>
      <c r="G4174">
        <v>2813</v>
      </c>
    </row>
    <row r="4176" spans="1:7" x14ac:dyDescent="0.35">
      <c r="A4176" s="1" t="s">
        <v>1343</v>
      </c>
    </row>
    <row r="4177" spans="1:8" x14ac:dyDescent="0.35">
      <c r="A4177" t="s">
        <v>219</v>
      </c>
      <c r="B4177" t="s">
        <v>301</v>
      </c>
      <c r="C4177" t="s">
        <v>325</v>
      </c>
      <c r="D4177" t="s">
        <v>298</v>
      </c>
      <c r="E4177" t="s">
        <v>299</v>
      </c>
      <c r="F4177" t="s">
        <v>277</v>
      </c>
      <c r="G4177" t="s">
        <v>282</v>
      </c>
      <c r="H4177" t="s">
        <v>226</v>
      </c>
    </row>
    <row r="4178" spans="1:8" x14ac:dyDescent="0.35">
      <c r="A4178" s="3" t="s">
        <v>227</v>
      </c>
      <c r="B4178" s="3" t="s">
        <v>1335</v>
      </c>
      <c r="C4178" s="3" t="s">
        <v>1339</v>
      </c>
      <c r="D4178" s="4">
        <v>0.95920000000000005</v>
      </c>
      <c r="E4178" s="4">
        <v>4.0800000000000003E-2</v>
      </c>
      <c r="F4178" s="5"/>
      <c r="G4178" s="5"/>
      <c r="H4178" s="5" t="s">
        <v>427</v>
      </c>
    </row>
    <row r="4179" spans="1:8" x14ac:dyDescent="0.35">
      <c r="A4179" t="s">
        <v>227</v>
      </c>
      <c r="B4179" t="s">
        <v>1335</v>
      </c>
      <c r="C4179" t="s">
        <v>1340</v>
      </c>
      <c r="D4179" s="2">
        <v>0.89549999999999996</v>
      </c>
      <c r="E4179" s="2">
        <v>0.1045</v>
      </c>
      <c r="H4179">
        <v>252</v>
      </c>
    </row>
    <row r="4180" spans="1:8" x14ac:dyDescent="0.35">
      <c r="A4180" t="s">
        <v>227</v>
      </c>
      <c r="B4180" t="s">
        <v>1335</v>
      </c>
      <c r="C4180" t="s">
        <v>1341</v>
      </c>
      <c r="D4180" s="2">
        <v>0.83599999999999997</v>
      </c>
      <c r="E4180" s="2">
        <v>0.1439</v>
      </c>
      <c r="F4180" s="2">
        <v>9.5999999999999992E-3</v>
      </c>
      <c r="G4180" s="2">
        <v>1.0500000000000001E-2</v>
      </c>
      <c r="H4180">
        <v>419</v>
      </c>
    </row>
    <row r="4181" spans="1:8" x14ac:dyDescent="0.35">
      <c r="A4181" t="s">
        <v>227</v>
      </c>
      <c r="B4181" t="s">
        <v>1335</v>
      </c>
      <c r="C4181" t="s">
        <v>1342</v>
      </c>
      <c r="D4181" s="2">
        <v>0.89229999999999998</v>
      </c>
      <c r="E4181" s="2">
        <v>0.1067</v>
      </c>
      <c r="G4181" s="2">
        <v>1.1000000000000001E-3</v>
      </c>
      <c r="H4181">
        <v>157</v>
      </c>
    </row>
    <row r="4182" spans="1:8" x14ac:dyDescent="0.35">
      <c r="A4182" s="3" t="s">
        <v>227</v>
      </c>
      <c r="B4182" s="3" t="s">
        <v>1336</v>
      </c>
      <c r="C4182" s="3" t="s">
        <v>1341</v>
      </c>
      <c r="D4182" s="4">
        <v>0.59340000000000004</v>
      </c>
      <c r="E4182" s="4">
        <v>0.40660000000000002</v>
      </c>
      <c r="F4182" s="5"/>
      <c r="G4182" s="5"/>
      <c r="H4182" s="5" t="s">
        <v>434</v>
      </c>
    </row>
    <row r="4183" spans="1:8" x14ac:dyDescent="0.35">
      <c r="A4183" t="s">
        <v>227</v>
      </c>
      <c r="B4183" t="s">
        <v>1337</v>
      </c>
      <c r="C4183" t="s">
        <v>1339</v>
      </c>
      <c r="D4183" s="2">
        <v>0.93840000000000001</v>
      </c>
      <c r="E4183" s="2">
        <v>6.1600000000000002E-2</v>
      </c>
      <c r="H4183">
        <v>31</v>
      </c>
    </row>
    <row r="4184" spans="1:8" x14ac:dyDescent="0.35">
      <c r="A4184" t="s">
        <v>227</v>
      </c>
      <c r="B4184" t="s">
        <v>1337</v>
      </c>
      <c r="C4184" t="s">
        <v>1340</v>
      </c>
      <c r="D4184" s="2">
        <v>0.83819999999999995</v>
      </c>
      <c r="E4184" s="2">
        <v>0.15620000000000001</v>
      </c>
      <c r="F4184" s="2">
        <v>5.3E-3</v>
      </c>
      <c r="G4184" s="2">
        <v>2.9999999999999997E-4</v>
      </c>
      <c r="H4184">
        <v>477</v>
      </c>
    </row>
    <row r="4185" spans="1:8" x14ac:dyDescent="0.35">
      <c r="A4185" t="s">
        <v>227</v>
      </c>
      <c r="B4185" t="s">
        <v>1337</v>
      </c>
      <c r="C4185" t="s">
        <v>1341</v>
      </c>
      <c r="D4185" s="2">
        <v>0.83169999999999999</v>
      </c>
      <c r="E4185" s="2">
        <v>0.16300000000000001</v>
      </c>
      <c r="F4185" s="2">
        <v>5.0000000000000001E-3</v>
      </c>
      <c r="G4185" s="2">
        <v>2.9999999999999997E-4</v>
      </c>
      <c r="H4185">
        <v>923</v>
      </c>
    </row>
    <row r="4186" spans="1:8" x14ac:dyDescent="0.35">
      <c r="A4186" t="s">
        <v>227</v>
      </c>
      <c r="B4186" t="s">
        <v>1337</v>
      </c>
      <c r="C4186" t="s">
        <v>1342</v>
      </c>
      <c r="D4186" s="2">
        <v>0.82399999999999995</v>
      </c>
      <c r="E4186" s="2">
        <v>0.161</v>
      </c>
      <c r="F4186" s="2">
        <v>1.44E-2</v>
      </c>
      <c r="G4186" s="2">
        <v>5.9999999999999995E-4</v>
      </c>
      <c r="H4186">
        <v>532</v>
      </c>
    </row>
    <row r="4187" spans="1:8" x14ac:dyDescent="0.35">
      <c r="A4187" t="s">
        <v>228</v>
      </c>
      <c r="B4187" t="s">
        <v>228</v>
      </c>
      <c r="C4187" t="s">
        <v>228</v>
      </c>
      <c r="D4187" s="2">
        <v>0.84379999999999999</v>
      </c>
      <c r="E4187" s="2">
        <v>0.14749999999999999</v>
      </c>
      <c r="F4187" s="2">
        <v>6.6E-3</v>
      </c>
      <c r="G4187" s="2">
        <v>2.0999999999999999E-3</v>
      </c>
      <c r="H4187">
        <v>2813</v>
      </c>
    </row>
    <row r="4189" spans="1:8" x14ac:dyDescent="0.35">
      <c r="A4189" s="1" t="s">
        <v>1344</v>
      </c>
    </row>
    <row r="4190" spans="1:8" x14ac:dyDescent="0.35">
      <c r="A4190" t="s">
        <v>219</v>
      </c>
      <c r="B4190" t="s">
        <v>1345</v>
      </c>
      <c r="C4190" t="s">
        <v>1346</v>
      </c>
      <c r="D4190" t="s">
        <v>1347</v>
      </c>
      <c r="E4190" t="s">
        <v>1348</v>
      </c>
      <c r="F4190" t="s">
        <v>226</v>
      </c>
    </row>
    <row r="4191" spans="1:8" x14ac:dyDescent="0.35">
      <c r="A4191" t="s">
        <v>227</v>
      </c>
      <c r="B4191" s="2">
        <v>0.51800000000000002</v>
      </c>
      <c r="C4191" s="2">
        <v>0.26350000000000001</v>
      </c>
      <c r="D4191" s="2">
        <v>0.14080000000000001</v>
      </c>
      <c r="E4191" s="2">
        <v>7.7700000000000005E-2</v>
      </c>
      <c r="F4191">
        <v>864</v>
      </c>
    </row>
    <row r="4192" spans="1:8" x14ac:dyDescent="0.35">
      <c r="A4192" t="s">
        <v>228</v>
      </c>
      <c r="B4192" s="2">
        <v>0.51800000000000002</v>
      </c>
      <c r="C4192" s="2">
        <v>0.26350000000000001</v>
      </c>
      <c r="D4192" s="2">
        <v>0.14080000000000001</v>
      </c>
      <c r="E4192" s="2">
        <v>7.7700000000000005E-2</v>
      </c>
      <c r="F4192">
        <v>864</v>
      </c>
    </row>
    <row r="4194" spans="1:7" x14ac:dyDescent="0.35">
      <c r="A4194" s="1" t="s">
        <v>1349</v>
      </c>
    </row>
    <row r="4195" spans="1:7" x14ac:dyDescent="0.35">
      <c r="A4195" t="s">
        <v>219</v>
      </c>
      <c r="B4195" t="s">
        <v>301</v>
      </c>
      <c r="C4195" t="s">
        <v>1345</v>
      </c>
      <c r="D4195" t="s">
        <v>1346</v>
      </c>
      <c r="E4195" t="s">
        <v>1347</v>
      </c>
      <c r="F4195" t="s">
        <v>1348</v>
      </c>
      <c r="G4195" t="s">
        <v>226</v>
      </c>
    </row>
    <row r="4196" spans="1:7" x14ac:dyDescent="0.35">
      <c r="A4196" t="s">
        <v>227</v>
      </c>
      <c r="B4196" t="s">
        <v>238</v>
      </c>
      <c r="C4196" s="2">
        <v>0.60670000000000002</v>
      </c>
      <c r="D4196" s="2">
        <v>0.22389999999999999</v>
      </c>
      <c r="E4196" s="2">
        <v>0.1027</v>
      </c>
      <c r="F4196" s="2">
        <v>6.6600000000000006E-2</v>
      </c>
      <c r="G4196">
        <v>342</v>
      </c>
    </row>
    <row r="4197" spans="1:7" x14ac:dyDescent="0.35">
      <c r="A4197" t="s">
        <v>227</v>
      </c>
      <c r="B4197" t="s">
        <v>237</v>
      </c>
      <c r="C4197" s="2">
        <v>0.46500000000000002</v>
      </c>
      <c r="D4197" s="2">
        <v>0.28710000000000002</v>
      </c>
      <c r="E4197" s="2">
        <v>0.1636</v>
      </c>
      <c r="F4197" s="2">
        <v>8.43E-2</v>
      </c>
      <c r="G4197">
        <v>522</v>
      </c>
    </row>
    <row r="4198" spans="1:7" x14ac:dyDescent="0.35">
      <c r="A4198" t="s">
        <v>228</v>
      </c>
      <c r="B4198" t="s">
        <v>228</v>
      </c>
      <c r="C4198" s="2">
        <v>0.51800000000000002</v>
      </c>
      <c r="D4198" s="2">
        <v>0.26350000000000001</v>
      </c>
      <c r="E4198" s="2">
        <v>0.14080000000000001</v>
      </c>
      <c r="F4198" s="2">
        <v>7.7700000000000005E-2</v>
      </c>
      <c r="G4198">
        <v>864</v>
      </c>
    </row>
    <row r="4200" spans="1:7" x14ac:dyDescent="0.35">
      <c r="A4200" s="1" t="s">
        <v>1350</v>
      </c>
    </row>
    <row r="4201" spans="1:7" x14ac:dyDescent="0.35">
      <c r="A4201" t="s">
        <v>219</v>
      </c>
      <c r="B4201" t="s">
        <v>301</v>
      </c>
      <c r="C4201" t="s">
        <v>1345</v>
      </c>
      <c r="D4201" t="s">
        <v>1346</v>
      </c>
      <c r="E4201" t="s">
        <v>1347</v>
      </c>
      <c r="F4201" t="s">
        <v>1348</v>
      </c>
      <c r="G4201" t="s">
        <v>226</v>
      </c>
    </row>
    <row r="4202" spans="1:7" x14ac:dyDescent="0.35">
      <c r="A4202" t="s">
        <v>227</v>
      </c>
      <c r="B4202" t="s">
        <v>235</v>
      </c>
      <c r="C4202" s="2">
        <v>0.48309999999999997</v>
      </c>
      <c r="D4202" s="2">
        <v>0.2571</v>
      </c>
      <c r="E4202" s="2">
        <v>0.15709999999999999</v>
      </c>
      <c r="F4202" s="2">
        <v>0.1027</v>
      </c>
      <c r="G4202">
        <v>239</v>
      </c>
    </row>
    <row r="4203" spans="1:7" x14ac:dyDescent="0.35">
      <c r="A4203" t="s">
        <v>227</v>
      </c>
      <c r="B4203" t="s">
        <v>234</v>
      </c>
      <c r="C4203" s="2">
        <v>0.52580000000000005</v>
      </c>
      <c r="D4203" s="2">
        <v>0.26490000000000002</v>
      </c>
      <c r="E4203" s="2">
        <v>0.13719999999999999</v>
      </c>
      <c r="F4203" s="2">
        <v>7.2099999999999997E-2</v>
      </c>
      <c r="G4203">
        <v>625</v>
      </c>
    </row>
    <row r="4204" spans="1:7" x14ac:dyDescent="0.35">
      <c r="A4204" t="s">
        <v>228</v>
      </c>
      <c r="B4204" t="s">
        <v>228</v>
      </c>
      <c r="C4204" s="2">
        <v>0.51800000000000002</v>
      </c>
      <c r="D4204" s="2">
        <v>0.26350000000000001</v>
      </c>
      <c r="E4204" s="2">
        <v>0.14080000000000001</v>
      </c>
      <c r="F4204" s="2">
        <v>7.7700000000000005E-2</v>
      </c>
      <c r="G4204">
        <v>864</v>
      </c>
    </row>
    <row r="4206" spans="1:7" x14ac:dyDescent="0.35">
      <c r="A4206" s="1" t="s">
        <v>1351</v>
      </c>
    </row>
    <row r="4207" spans="1:7" x14ac:dyDescent="0.35">
      <c r="A4207" t="s">
        <v>219</v>
      </c>
      <c r="B4207" t="s">
        <v>301</v>
      </c>
      <c r="C4207" t="s">
        <v>1345</v>
      </c>
      <c r="D4207" t="s">
        <v>1346</v>
      </c>
      <c r="E4207" t="s">
        <v>1347</v>
      </c>
      <c r="F4207" t="s">
        <v>1348</v>
      </c>
      <c r="G4207" t="s">
        <v>226</v>
      </c>
    </row>
    <row r="4208" spans="1:7" x14ac:dyDescent="0.35">
      <c r="A4208" t="s">
        <v>227</v>
      </c>
      <c r="B4208" t="s">
        <v>240</v>
      </c>
      <c r="C4208" s="2">
        <v>0.52300000000000002</v>
      </c>
      <c r="D4208" s="2">
        <v>0.25779999999999997</v>
      </c>
      <c r="E4208" s="2">
        <v>0.12470000000000001</v>
      </c>
      <c r="F4208" s="2">
        <v>9.4600000000000004E-2</v>
      </c>
      <c r="G4208">
        <v>529</v>
      </c>
    </row>
    <row r="4209" spans="1:7" x14ac:dyDescent="0.35">
      <c r="A4209" t="s">
        <v>227</v>
      </c>
      <c r="B4209" t="s">
        <v>241</v>
      </c>
      <c r="C4209" s="2">
        <v>0.52170000000000005</v>
      </c>
      <c r="D4209" s="2">
        <v>0.24779999999999999</v>
      </c>
      <c r="E4209" s="2">
        <v>0.1812</v>
      </c>
      <c r="F4209" s="2">
        <v>4.9299999999999997E-2</v>
      </c>
      <c r="G4209">
        <v>290</v>
      </c>
    </row>
    <row r="4210" spans="1:7" x14ac:dyDescent="0.35">
      <c r="A4210" t="s">
        <v>227</v>
      </c>
      <c r="B4210" t="s">
        <v>242</v>
      </c>
      <c r="C4210" s="2">
        <v>0.43540000000000001</v>
      </c>
      <c r="D4210" s="2">
        <v>0.41920000000000002</v>
      </c>
      <c r="E4210" s="2">
        <v>0.1351</v>
      </c>
      <c r="F4210" s="2">
        <v>1.04E-2</v>
      </c>
      <c r="G4210">
        <v>45</v>
      </c>
    </row>
    <row r="4211" spans="1:7" x14ac:dyDescent="0.35">
      <c r="A4211" t="s">
        <v>228</v>
      </c>
      <c r="B4211" t="s">
        <v>228</v>
      </c>
      <c r="C4211" s="2">
        <v>0.51800000000000002</v>
      </c>
      <c r="D4211" s="2">
        <v>0.26350000000000001</v>
      </c>
      <c r="E4211" s="2">
        <v>0.14080000000000001</v>
      </c>
      <c r="F4211" s="2">
        <v>7.7700000000000005E-2</v>
      </c>
      <c r="G4211">
        <v>864</v>
      </c>
    </row>
    <row r="4213" spans="1:7" x14ac:dyDescent="0.35">
      <c r="A4213" s="1" t="s">
        <v>1352</v>
      </c>
    </row>
    <row r="4214" spans="1:7" x14ac:dyDescent="0.35">
      <c r="A4214" t="s">
        <v>219</v>
      </c>
      <c r="B4214" t="s">
        <v>301</v>
      </c>
      <c r="C4214" t="s">
        <v>1345</v>
      </c>
      <c r="D4214" t="s">
        <v>1346</v>
      </c>
      <c r="E4214" t="s">
        <v>1347</v>
      </c>
      <c r="F4214" t="s">
        <v>1348</v>
      </c>
      <c r="G4214" t="s">
        <v>226</v>
      </c>
    </row>
    <row r="4215" spans="1:7" x14ac:dyDescent="0.35">
      <c r="A4215" t="s">
        <v>227</v>
      </c>
      <c r="B4215" t="s">
        <v>334</v>
      </c>
      <c r="C4215" s="2">
        <v>0.57699999999999996</v>
      </c>
      <c r="D4215" s="2">
        <v>0.28810000000000002</v>
      </c>
      <c r="E4215" s="2">
        <v>7.6499999999999999E-2</v>
      </c>
      <c r="F4215" s="2">
        <v>5.8400000000000001E-2</v>
      </c>
      <c r="G4215">
        <v>206</v>
      </c>
    </row>
    <row r="4216" spans="1:7" x14ac:dyDescent="0.35">
      <c r="A4216" t="s">
        <v>227</v>
      </c>
      <c r="B4216" t="s">
        <v>335</v>
      </c>
      <c r="C4216" s="2">
        <v>0.5</v>
      </c>
      <c r="D4216" s="2">
        <v>0.30819999999999997</v>
      </c>
      <c r="E4216" s="2">
        <v>0.10929999999999999</v>
      </c>
      <c r="F4216" s="2">
        <v>8.2500000000000004E-2</v>
      </c>
      <c r="G4216">
        <v>183</v>
      </c>
    </row>
    <row r="4217" spans="1:7" x14ac:dyDescent="0.35">
      <c r="A4217" t="s">
        <v>227</v>
      </c>
      <c r="B4217" t="s">
        <v>336</v>
      </c>
      <c r="C4217" s="2">
        <v>0.6492</v>
      </c>
      <c r="D4217" s="2">
        <v>0.14940000000000001</v>
      </c>
      <c r="E4217" s="2">
        <v>0.1009</v>
      </c>
      <c r="F4217" s="2">
        <v>0.1004</v>
      </c>
      <c r="G4217">
        <v>189</v>
      </c>
    </row>
    <row r="4218" spans="1:7" x14ac:dyDescent="0.35">
      <c r="A4218" t="s">
        <v>227</v>
      </c>
      <c r="B4218" t="s">
        <v>337</v>
      </c>
      <c r="C4218" s="2">
        <v>0.4496</v>
      </c>
      <c r="D4218" s="2">
        <v>0.2293</v>
      </c>
      <c r="E4218" s="2">
        <v>0.22370000000000001</v>
      </c>
      <c r="F4218" s="2">
        <v>9.74E-2</v>
      </c>
      <c r="G4218">
        <v>183</v>
      </c>
    </row>
    <row r="4219" spans="1:7" x14ac:dyDescent="0.35">
      <c r="A4219" t="s">
        <v>228</v>
      </c>
      <c r="B4219" t="s">
        <v>228</v>
      </c>
      <c r="C4219" s="2">
        <v>0.51800000000000002</v>
      </c>
      <c r="D4219" s="2">
        <v>0.26350000000000001</v>
      </c>
      <c r="E4219" s="2">
        <v>0.14080000000000001</v>
      </c>
      <c r="F4219" s="2">
        <v>7.7700000000000005E-2</v>
      </c>
      <c r="G4219">
        <v>761</v>
      </c>
    </row>
    <row r="4221" spans="1:7" x14ac:dyDescent="0.35">
      <c r="A4221" s="1" t="s">
        <v>1353</v>
      </c>
    </row>
    <row r="4222" spans="1:7" x14ac:dyDescent="0.35">
      <c r="A4222" t="s">
        <v>219</v>
      </c>
      <c r="B4222" t="s">
        <v>301</v>
      </c>
      <c r="C4222" t="s">
        <v>1345</v>
      </c>
      <c r="D4222" t="s">
        <v>1346</v>
      </c>
      <c r="E4222" t="s">
        <v>1347</v>
      </c>
      <c r="F4222" t="s">
        <v>1348</v>
      </c>
      <c r="G4222" t="s">
        <v>226</v>
      </c>
    </row>
    <row r="4223" spans="1:7" x14ac:dyDescent="0.35">
      <c r="A4223" t="s">
        <v>227</v>
      </c>
      <c r="B4223" t="s">
        <v>263</v>
      </c>
      <c r="C4223" s="2">
        <v>0.4738</v>
      </c>
      <c r="D4223" s="2">
        <v>0.34639999999999999</v>
      </c>
      <c r="E4223" s="2">
        <v>0.12959999999999999</v>
      </c>
      <c r="F4223" s="2">
        <v>5.0099999999999999E-2</v>
      </c>
      <c r="G4223">
        <v>170</v>
      </c>
    </row>
    <row r="4224" spans="1:7" x14ac:dyDescent="0.35">
      <c r="A4224" t="s">
        <v>227</v>
      </c>
      <c r="B4224" t="s">
        <v>262</v>
      </c>
      <c r="C4224" s="2">
        <v>0.49919999999999998</v>
      </c>
      <c r="D4224" s="2">
        <v>0.25240000000000001</v>
      </c>
      <c r="E4224" s="2">
        <v>0.1757</v>
      </c>
      <c r="F4224" s="2">
        <v>7.2800000000000004E-2</v>
      </c>
      <c r="G4224">
        <v>386</v>
      </c>
    </row>
    <row r="4225" spans="1:7" x14ac:dyDescent="0.35">
      <c r="A4225" t="s">
        <v>227</v>
      </c>
      <c r="B4225" t="s">
        <v>261</v>
      </c>
      <c r="C4225" s="2">
        <v>0.54520000000000002</v>
      </c>
      <c r="D4225" s="2">
        <v>0.24160000000000001</v>
      </c>
      <c r="E4225" s="2">
        <v>0.11700000000000001</v>
      </c>
      <c r="F4225" s="2">
        <v>9.6199999999999994E-2</v>
      </c>
      <c r="G4225">
        <v>306</v>
      </c>
    </row>
    <row r="4226" spans="1:7" x14ac:dyDescent="0.35">
      <c r="A4226" s="3" t="s">
        <v>227</v>
      </c>
      <c r="B4226" s="3" t="s">
        <v>232</v>
      </c>
      <c r="C4226" s="4">
        <v>1</v>
      </c>
      <c r="D4226" s="5"/>
      <c r="E4226" s="5"/>
      <c r="F4226" s="5"/>
      <c r="G4226" s="5" t="s">
        <v>434</v>
      </c>
    </row>
    <row r="4227" spans="1:7" x14ac:dyDescent="0.35">
      <c r="A4227" t="s">
        <v>228</v>
      </c>
      <c r="B4227" t="s">
        <v>228</v>
      </c>
      <c r="C4227" s="2">
        <v>0.51800000000000002</v>
      </c>
      <c r="D4227" s="2">
        <v>0.26350000000000001</v>
      </c>
      <c r="E4227" s="2">
        <v>0.14080000000000001</v>
      </c>
      <c r="F4227" s="2">
        <v>7.7700000000000005E-2</v>
      </c>
      <c r="G4227">
        <v>864</v>
      </c>
    </row>
    <row r="4229" spans="1:7" x14ac:dyDescent="0.35">
      <c r="A4229" s="1" t="s">
        <v>1354</v>
      </c>
    </row>
    <row r="4230" spans="1:7" x14ac:dyDescent="0.35">
      <c r="A4230" t="s">
        <v>219</v>
      </c>
      <c r="B4230" t="s">
        <v>301</v>
      </c>
      <c r="C4230" t="s">
        <v>1345</v>
      </c>
      <c r="D4230" t="s">
        <v>1346</v>
      </c>
      <c r="E4230" t="s">
        <v>1347</v>
      </c>
      <c r="F4230" t="s">
        <v>1348</v>
      </c>
      <c r="G4230" t="s">
        <v>226</v>
      </c>
    </row>
    <row r="4231" spans="1:7" x14ac:dyDescent="0.35">
      <c r="A4231" t="s">
        <v>227</v>
      </c>
      <c r="B4231" t="s">
        <v>248</v>
      </c>
      <c r="C4231" s="2">
        <v>0.64910000000000001</v>
      </c>
      <c r="D4231" s="2">
        <v>0.17760000000000001</v>
      </c>
      <c r="E4231" s="2">
        <v>0.11070000000000001</v>
      </c>
      <c r="F4231" s="2">
        <v>6.2700000000000006E-2</v>
      </c>
      <c r="G4231">
        <v>271</v>
      </c>
    </row>
    <row r="4232" spans="1:7" x14ac:dyDescent="0.35">
      <c r="A4232" t="s">
        <v>227</v>
      </c>
      <c r="B4232" t="s">
        <v>249</v>
      </c>
      <c r="C4232" s="2">
        <v>0.50349999999999995</v>
      </c>
      <c r="D4232" s="2">
        <v>0.35830000000000001</v>
      </c>
      <c r="E4232" s="2">
        <v>9.0899999999999995E-2</v>
      </c>
      <c r="F4232" s="2">
        <v>4.7399999999999998E-2</v>
      </c>
      <c r="G4232">
        <v>186</v>
      </c>
    </row>
    <row r="4233" spans="1:7" x14ac:dyDescent="0.35">
      <c r="A4233" t="s">
        <v>227</v>
      </c>
      <c r="B4233" t="s">
        <v>247</v>
      </c>
      <c r="C4233" s="2">
        <v>0.45979999999999999</v>
      </c>
      <c r="D4233" s="2">
        <v>0.26819999999999999</v>
      </c>
      <c r="E4233" s="2">
        <v>0.17510000000000001</v>
      </c>
      <c r="F4233" s="2">
        <v>9.69E-2</v>
      </c>
      <c r="G4233">
        <v>407</v>
      </c>
    </row>
    <row r="4234" spans="1:7" x14ac:dyDescent="0.35">
      <c r="A4234" t="s">
        <v>228</v>
      </c>
      <c r="B4234" t="s">
        <v>228</v>
      </c>
      <c r="C4234" s="2">
        <v>0.51800000000000002</v>
      </c>
      <c r="D4234" s="2">
        <v>0.26350000000000001</v>
      </c>
      <c r="E4234" s="2">
        <v>0.14080000000000001</v>
      </c>
      <c r="F4234" s="2">
        <v>7.7700000000000005E-2</v>
      </c>
      <c r="G4234">
        <v>864</v>
      </c>
    </row>
    <row r="4236" spans="1:7" x14ac:dyDescent="0.35">
      <c r="A4236" s="1" t="s">
        <v>1355</v>
      </c>
    </row>
    <row r="4237" spans="1:7" x14ac:dyDescent="0.35">
      <c r="A4237" t="s">
        <v>219</v>
      </c>
      <c r="B4237" t="s">
        <v>301</v>
      </c>
      <c r="C4237" t="s">
        <v>1345</v>
      </c>
      <c r="D4237" t="s">
        <v>1346</v>
      </c>
      <c r="E4237" t="s">
        <v>1347</v>
      </c>
      <c r="F4237" t="s">
        <v>1348</v>
      </c>
      <c r="G4237" t="s">
        <v>226</v>
      </c>
    </row>
    <row r="4238" spans="1:7" x14ac:dyDescent="0.35">
      <c r="A4238" t="s">
        <v>227</v>
      </c>
      <c r="B4238" t="s">
        <v>245</v>
      </c>
      <c r="C4238" s="2">
        <v>0.45290000000000002</v>
      </c>
      <c r="D4238" s="2">
        <v>0.28839999999999999</v>
      </c>
      <c r="E4238" s="2">
        <v>0.157</v>
      </c>
      <c r="F4238" s="2">
        <v>0.1017</v>
      </c>
      <c r="G4238">
        <v>214</v>
      </c>
    </row>
    <row r="4239" spans="1:7" x14ac:dyDescent="0.35">
      <c r="A4239" t="s">
        <v>227</v>
      </c>
      <c r="B4239" t="s">
        <v>244</v>
      </c>
      <c r="C4239" s="2">
        <v>0.54530000000000001</v>
      </c>
      <c r="D4239" s="2">
        <v>0.253</v>
      </c>
      <c r="E4239" s="2">
        <v>0.13400000000000001</v>
      </c>
      <c r="F4239" s="2">
        <v>6.7699999999999996E-2</v>
      </c>
      <c r="G4239">
        <v>650</v>
      </c>
    </row>
    <row r="4240" spans="1:7" x14ac:dyDescent="0.35">
      <c r="A4240" t="s">
        <v>228</v>
      </c>
      <c r="B4240" t="s">
        <v>228</v>
      </c>
      <c r="C4240" s="2">
        <v>0.51800000000000002</v>
      </c>
      <c r="D4240" s="2">
        <v>0.26350000000000001</v>
      </c>
      <c r="E4240" s="2">
        <v>0.14080000000000001</v>
      </c>
      <c r="F4240" s="2">
        <v>7.7700000000000005E-2</v>
      </c>
      <c r="G4240">
        <v>864</v>
      </c>
    </row>
    <row r="4242" spans="1:7" x14ac:dyDescent="0.35">
      <c r="A4242" s="1" t="s">
        <v>1356</v>
      </c>
    </row>
    <row r="4243" spans="1:7" x14ac:dyDescent="0.35">
      <c r="A4243" t="s">
        <v>219</v>
      </c>
      <c r="B4243" t="s">
        <v>301</v>
      </c>
      <c r="C4243" t="s">
        <v>1345</v>
      </c>
      <c r="D4243" t="s">
        <v>1346</v>
      </c>
      <c r="E4243" t="s">
        <v>1347</v>
      </c>
      <c r="F4243" t="s">
        <v>1348</v>
      </c>
      <c r="G4243" t="s">
        <v>226</v>
      </c>
    </row>
    <row r="4244" spans="1:7" x14ac:dyDescent="0.35">
      <c r="A4244" t="s">
        <v>227</v>
      </c>
      <c r="B4244" t="s">
        <v>259</v>
      </c>
      <c r="C4244" s="2">
        <v>0.5544</v>
      </c>
      <c r="D4244" s="2">
        <v>0.30330000000000001</v>
      </c>
      <c r="E4244" s="2">
        <v>0.1346</v>
      </c>
      <c r="F4244" s="2">
        <v>7.7000000000000002E-3</v>
      </c>
      <c r="G4244">
        <v>40</v>
      </c>
    </row>
    <row r="4245" spans="1:7" x14ac:dyDescent="0.35">
      <c r="A4245" t="s">
        <v>227</v>
      </c>
      <c r="B4245" t="s">
        <v>257</v>
      </c>
      <c r="C4245" s="2">
        <v>0.62749999999999995</v>
      </c>
      <c r="D4245" s="2">
        <v>0.2286</v>
      </c>
      <c r="E4245" s="2">
        <v>9.8900000000000002E-2</v>
      </c>
      <c r="F4245" s="2">
        <v>4.4999999999999998E-2</v>
      </c>
      <c r="G4245">
        <v>135</v>
      </c>
    </row>
    <row r="4246" spans="1:7" x14ac:dyDescent="0.35">
      <c r="A4246" t="s">
        <v>227</v>
      </c>
      <c r="B4246" t="s">
        <v>256</v>
      </c>
      <c r="C4246" s="2">
        <v>0.49309999999999998</v>
      </c>
      <c r="D4246" s="2">
        <v>0.2412</v>
      </c>
      <c r="E4246" s="2">
        <v>0.1779</v>
      </c>
      <c r="F4246" s="2">
        <v>8.7900000000000006E-2</v>
      </c>
      <c r="G4246">
        <v>488</v>
      </c>
    </row>
    <row r="4247" spans="1:7" x14ac:dyDescent="0.35">
      <c r="A4247" s="3" t="s">
        <v>227</v>
      </c>
      <c r="B4247" s="3" t="s">
        <v>232</v>
      </c>
      <c r="C4247" s="4">
        <v>0.35470000000000002</v>
      </c>
      <c r="D4247" s="4">
        <v>0.41220000000000001</v>
      </c>
      <c r="E4247" s="4">
        <v>0.2331</v>
      </c>
      <c r="F4247" s="5"/>
      <c r="G4247" s="5" t="s">
        <v>341</v>
      </c>
    </row>
    <row r="4248" spans="1:7" x14ac:dyDescent="0.35">
      <c r="A4248" t="s">
        <v>227</v>
      </c>
      <c r="B4248" t="s">
        <v>258</v>
      </c>
      <c r="C4248" s="2">
        <v>0.4869</v>
      </c>
      <c r="D4248" s="2">
        <v>0.35110000000000002</v>
      </c>
      <c r="E4248" s="2">
        <v>7.51E-2</v>
      </c>
      <c r="F4248" s="2">
        <v>8.6800000000000002E-2</v>
      </c>
      <c r="G4248">
        <v>197</v>
      </c>
    </row>
    <row r="4249" spans="1:7" x14ac:dyDescent="0.35">
      <c r="A4249" t="s">
        <v>228</v>
      </c>
      <c r="B4249" t="s">
        <v>228</v>
      </c>
      <c r="C4249" s="2">
        <v>0.51800000000000002</v>
      </c>
      <c r="D4249" s="2">
        <v>0.26350000000000001</v>
      </c>
      <c r="E4249" s="2">
        <v>0.14080000000000001</v>
      </c>
      <c r="F4249" s="2">
        <v>7.7700000000000005E-2</v>
      </c>
      <c r="G4249">
        <v>864</v>
      </c>
    </row>
    <row r="4251" spans="1:7" x14ac:dyDescent="0.35">
      <c r="A4251" s="1" t="s">
        <v>1357</v>
      </c>
    </row>
    <row r="4252" spans="1:7" x14ac:dyDescent="0.35">
      <c r="A4252" t="s">
        <v>219</v>
      </c>
      <c r="B4252" t="s">
        <v>301</v>
      </c>
      <c r="C4252" t="s">
        <v>1345</v>
      </c>
      <c r="D4252" t="s">
        <v>1346</v>
      </c>
      <c r="E4252" t="s">
        <v>1347</v>
      </c>
      <c r="F4252" t="s">
        <v>1348</v>
      </c>
      <c r="G4252" t="s">
        <v>226</v>
      </c>
    </row>
    <row r="4253" spans="1:7" x14ac:dyDescent="0.35">
      <c r="A4253" t="s">
        <v>227</v>
      </c>
      <c r="B4253" t="s">
        <v>343</v>
      </c>
      <c r="C4253" s="2">
        <v>0.62749999999999995</v>
      </c>
      <c r="D4253" s="2">
        <v>0.2286</v>
      </c>
      <c r="E4253" s="2">
        <v>9.8900000000000002E-2</v>
      </c>
      <c r="F4253" s="2">
        <v>4.4999999999999998E-2</v>
      </c>
      <c r="G4253">
        <v>135</v>
      </c>
    </row>
    <row r="4254" spans="1:7" x14ac:dyDescent="0.35">
      <c r="A4254" t="s">
        <v>227</v>
      </c>
      <c r="B4254" t="s">
        <v>344</v>
      </c>
      <c r="C4254" s="2">
        <v>0.49299999999999999</v>
      </c>
      <c r="D4254" s="2">
        <v>0.27139999999999997</v>
      </c>
      <c r="E4254" s="2">
        <v>0.15040000000000001</v>
      </c>
      <c r="F4254" s="2">
        <v>8.5199999999999998E-2</v>
      </c>
      <c r="G4254">
        <v>729</v>
      </c>
    </row>
    <row r="4255" spans="1:7" x14ac:dyDescent="0.35">
      <c r="A4255" t="s">
        <v>228</v>
      </c>
      <c r="B4255" t="s">
        <v>228</v>
      </c>
      <c r="C4255" s="2">
        <v>0.51800000000000002</v>
      </c>
      <c r="D4255" s="2">
        <v>0.26350000000000001</v>
      </c>
      <c r="E4255" s="2">
        <v>0.14080000000000001</v>
      </c>
      <c r="F4255" s="2">
        <v>7.7700000000000005E-2</v>
      </c>
      <c r="G4255">
        <v>864</v>
      </c>
    </row>
    <row r="4257" spans="1:7" x14ac:dyDescent="0.35">
      <c r="A4257" s="1" t="s">
        <v>1358</v>
      </c>
    </row>
    <row r="4258" spans="1:7" x14ac:dyDescent="0.35">
      <c r="A4258" t="s">
        <v>219</v>
      </c>
      <c r="B4258" t="s">
        <v>301</v>
      </c>
      <c r="C4258" t="s">
        <v>1345</v>
      </c>
      <c r="D4258" t="s">
        <v>1346</v>
      </c>
      <c r="E4258" t="s">
        <v>1347</v>
      </c>
      <c r="F4258" t="s">
        <v>1348</v>
      </c>
      <c r="G4258" t="s">
        <v>226</v>
      </c>
    </row>
    <row r="4259" spans="1:7" x14ac:dyDescent="0.35">
      <c r="A4259" t="s">
        <v>227</v>
      </c>
      <c r="B4259" t="s">
        <v>346</v>
      </c>
      <c r="C4259" s="2">
        <v>0.46350000000000002</v>
      </c>
      <c r="D4259" s="2">
        <v>0.28689999999999999</v>
      </c>
      <c r="E4259" s="2">
        <v>0.15060000000000001</v>
      </c>
      <c r="F4259" s="2">
        <v>9.9000000000000005E-2</v>
      </c>
      <c r="G4259">
        <v>215</v>
      </c>
    </row>
    <row r="4260" spans="1:7" x14ac:dyDescent="0.35">
      <c r="A4260" t="s">
        <v>227</v>
      </c>
      <c r="B4260" t="s">
        <v>347</v>
      </c>
      <c r="C4260" s="2">
        <v>0.72829999999999995</v>
      </c>
      <c r="D4260" s="2">
        <v>0.1663</v>
      </c>
      <c r="E4260" s="2">
        <v>7.3300000000000004E-2</v>
      </c>
      <c r="F4260" s="2">
        <v>3.2000000000000001E-2</v>
      </c>
      <c r="G4260">
        <v>356</v>
      </c>
    </row>
    <row r="4261" spans="1:7" x14ac:dyDescent="0.35">
      <c r="A4261" t="s">
        <v>227</v>
      </c>
      <c r="B4261" t="s">
        <v>348</v>
      </c>
      <c r="C4261" s="2">
        <v>0.53090000000000004</v>
      </c>
      <c r="D4261" s="2">
        <v>0.26179999999999998</v>
      </c>
      <c r="E4261" s="2">
        <v>0.15540000000000001</v>
      </c>
      <c r="F4261" s="2">
        <v>5.1900000000000002E-2</v>
      </c>
      <c r="G4261">
        <v>293</v>
      </c>
    </row>
    <row r="4262" spans="1:7" x14ac:dyDescent="0.35">
      <c r="A4262" t="s">
        <v>228</v>
      </c>
      <c r="B4262" t="s">
        <v>228</v>
      </c>
      <c r="C4262" s="2">
        <v>0.51800000000000002</v>
      </c>
      <c r="D4262" s="2">
        <v>0.26350000000000001</v>
      </c>
      <c r="E4262" s="2">
        <v>0.14080000000000001</v>
      </c>
      <c r="F4262" s="2">
        <v>7.7700000000000005E-2</v>
      </c>
      <c r="G4262">
        <v>864</v>
      </c>
    </row>
    <row r="4264" spans="1:7" x14ac:dyDescent="0.35">
      <c r="A4264" s="1" t="s">
        <v>1359</v>
      </c>
    </row>
    <row r="4265" spans="1:7" x14ac:dyDescent="0.35">
      <c r="A4265" t="s">
        <v>219</v>
      </c>
      <c r="B4265" t="s">
        <v>301</v>
      </c>
      <c r="C4265" t="s">
        <v>1345</v>
      </c>
      <c r="D4265" t="s">
        <v>1346</v>
      </c>
      <c r="E4265" t="s">
        <v>1347</v>
      </c>
      <c r="F4265" t="s">
        <v>1348</v>
      </c>
      <c r="G4265" t="s">
        <v>226</v>
      </c>
    </row>
    <row r="4266" spans="1:7" x14ac:dyDescent="0.35">
      <c r="A4266" t="s">
        <v>227</v>
      </c>
      <c r="B4266" t="s">
        <v>251</v>
      </c>
      <c r="C4266" s="2">
        <v>0.54530000000000001</v>
      </c>
      <c r="D4266" s="2">
        <v>0.253</v>
      </c>
      <c r="E4266" s="2">
        <v>0.13400000000000001</v>
      </c>
      <c r="F4266" s="2">
        <v>6.7699999999999996E-2</v>
      </c>
      <c r="G4266">
        <v>650</v>
      </c>
    </row>
    <row r="4267" spans="1:7" x14ac:dyDescent="0.35">
      <c r="A4267" t="s">
        <v>227</v>
      </c>
      <c r="B4267" t="s">
        <v>252</v>
      </c>
      <c r="C4267" s="2">
        <v>0.46389999999999998</v>
      </c>
      <c r="D4267" s="2">
        <v>0.27710000000000001</v>
      </c>
      <c r="E4267" s="2">
        <v>0.1321</v>
      </c>
      <c r="F4267" s="2">
        <v>0.12690000000000001</v>
      </c>
      <c r="G4267">
        <v>167</v>
      </c>
    </row>
    <row r="4268" spans="1:7" x14ac:dyDescent="0.35">
      <c r="A4268" t="s">
        <v>227</v>
      </c>
      <c r="B4268" t="s">
        <v>253</v>
      </c>
      <c r="C4268" s="2">
        <v>0.44750000000000001</v>
      </c>
      <c r="D4268" s="2">
        <v>0.26790000000000003</v>
      </c>
      <c r="E4268" s="2">
        <v>0.27550000000000002</v>
      </c>
      <c r="F4268" s="2">
        <v>9.1000000000000004E-3</v>
      </c>
      <c r="G4268">
        <v>42</v>
      </c>
    </row>
    <row r="4269" spans="1:7" x14ac:dyDescent="0.35">
      <c r="A4269" s="3" t="s">
        <v>227</v>
      </c>
      <c r="B4269" s="3" t="s">
        <v>254</v>
      </c>
      <c r="C4269" s="4">
        <v>0.1096</v>
      </c>
      <c r="D4269" s="4">
        <v>0.86240000000000006</v>
      </c>
      <c r="E4269" s="4">
        <v>2.7900000000000001E-2</v>
      </c>
      <c r="F4269" s="5"/>
      <c r="G4269" s="5" t="s">
        <v>327</v>
      </c>
    </row>
    <row r="4270" spans="1:7" x14ac:dyDescent="0.35">
      <c r="A4270" t="s">
        <v>228</v>
      </c>
      <c r="B4270" t="s">
        <v>228</v>
      </c>
      <c r="C4270" s="2">
        <v>0.51800000000000002</v>
      </c>
      <c r="D4270" s="2">
        <v>0.26350000000000001</v>
      </c>
      <c r="E4270" s="2">
        <v>0.14080000000000001</v>
      </c>
      <c r="F4270" s="2">
        <v>7.7700000000000005E-2</v>
      </c>
      <c r="G4270">
        <v>864</v>
      </c>
    </row>
    <row r="4272" spans="1:7" x14ac:dyDescent="0.35">
      <c r="A4272" s="1" t="s">
        <v>1360</v>
      </c>
    </row>
    <row r="4273" spans="1:8" x14ac:dyDescent="0.35">
      <c r="A4273" t="s">
        <v>219</v>
      </c>
      <c r="B4273" t="s">
        <v>301</v>
      </c>
      <c r="C4273" t="s">
        <v>1345</v>
      </c>
      <c r="D4273" t="s">
        <v>1346</v>
      </c>
      <c r="E4273" t="s">
        <v>1347</v>
      </c>
      <c r="F4273" t="s">
        <v>1348</v>
      </c>
      <c r="G4273" t="s">
        <v>226</v>
      </c>
    </row>
    <row r="4274" spans="1:8" x14ac:dyDescent="0.35">
      <c r="A4274" t="s">
        <v>227</v>
      </c>
      <c r="B4274" t="s">
        <v>1335</v>
      </c>
      <c r="C4274" s="2">
        <v>0.52400000000000002</v>
      </c>
      <c r="D4274" s="2">
        <v>0.29160000000000003</v>
      </c>
      <c r="E4274" s="2">
        <v>9.9099999999999994E-2</v>
      </c>
      <c r="F4274" s="2">
        <v>8.5199999999999998E-2</v>
      </c>
      <c r="G4274">
        <v>238</v>
      </c>
    </row>
    <row r="4275" spans="1:8" x14ac:dyDescent="0.35">
      <c r="A4275" s="3" t="s">
        <v>227</v>
      </c>
      <c r="B4275" s="3" t="s">
        <v>1336</v>
      </c>
      <c r="C4275" s="4">
        <v>1</v>
      </c>
      <c r="D4275" s="5"/>
      <c r="E4275" s="5"/>
      <c r="F4275" s="5"/>
      <c r="G4275" s="5" t="s">
        <v>323</v>
      </c>
    </row>
    <row r="4276" spans="1:8" x14ac:dyDescent="0.35">
      <c r="A4276" t="s">
        <v>227</v>
      </c>
      <c r="B4276" t="s">
        <v>1337</v>
      </c>
      <c r="C4276" s="2">
        <v>0.51280000000000003</v>
      </c>
      <c r="D4276" s="2">
        <v>0.254</v>
      </c>
      <c r="E4276" s="2">
        <v>0.158</v>
      </c>
      <c r="F4276" s="2">
        <v>7.5200000000000003E-2</v>
      </c>
      <c r="G4276">
        <v>625</v>
      </c>
    </row>
    <row r="4277" spans="1:8" x14ac:dyDescent="0.35">
      <c r="A4277" t="s">
        <v>228</v>
      </c>
      <c r="B4277" t="s">
        <v>228</v>
      </c>
      <c r="C4277" s="2">
        <v>0.51800000000000002</v>
      </c>
      <c r="D4277" s="2">
        <v>0.26350000000000001</v>
      </c>
      <c r="E4277" s="2">
        <v>0.14080000000000001</v>
      </c>
      <c r="F4277" s="2">
        <v>7.7700000000000005E-2</v>
      </c>
      <c r="G4277">
        <v>864</v>
      </c>
    </row>
    <row r="4279" spans="1:8" x14ac:dyDescent="0.35">
      <c r="A4279" s="1" t="s">
        <v>1361</v>
      </c>
    </row>
    <row r="4280" spans="1:8" x14ac:dyDescent="0.35">
      <c r="A4280" t="s">
        <v>219</v>
      </c>
      <c r="B4280" t="s">
        <v>301</v>
      </c>
      <c r="C4280" t="s">
        <v>1345</v>
      </c>
      <c r="D4280" t="s">
        <v>1346</v>
      </c>
      <c r="E4280" t="s">
        <v>1347</v>
      </c>
      <c r="F4280" t="s">
        <v>1348</v>
      </c>
      <c r="G4280" t="s">
        <v>226</v>
      </c>
    </row>
    <row r="4281" spans="1:8" x14ac:dyDescent="0.35">
      <c r="A4281" s="3" t="s">
        <v>227</v>
      </c>
      <c r="B4281" s="3" t="s">
        <v>1339</v>
      </c>
      <c r="C4281" s="4">
        <v>7.6600000000000001E-2</v>
      </c>
      <c r="D4281" s="4">
        <v>0.27679999999999999</v>
      </c>
      <c r="E4281" s="4">
        <v>0.62519999999999998</v>
      </c>
      <c r="F4281" s="4">
        <v>2.1399999999999999E-2</v>
      </c>
      <c r="G4281" s="5" t="s">
        <v>326</v>
      </c>
    </row>
    <row r="4282" spans="1:8" x14ac:dyDescent="0.35">
      <c r="A4282" t="s">
        <v>227</v>
      </c>
      <c r="B4282" t="s">
        <v>1340</v>
      </c>
      <c r="C4282" s="2">
        <v>0.43519999999999998</v>
      </c>
      <c r="D4282" s="2">
        <v>0.32900000000000001</v>
      </c>
      <c r="E4282" s="2">
        <v>0.19589999999999999</v>
      </c>
      <c r="F4282" s="2">
        <v>3.9899999999999998E-2</v>
      </c>
      <c r="G4282">
        <v>191</v>
      </c>
    </row>
    <row r="4283" spans="1:8" x14ac:dyDescent="0.35">
      <c r="A4283" t="s">
        <v>227</v>
      </c>
      <c r="B4283" t="s">
        <v>1341</v>
      </c>
      <c r="C4283" s="2">
        <v>0.52580000000000005</v>
      </c>
      <c r="D4283" s="2">
        <v>0.26500000000000001</v>
      </c>
      <c r="E4283" s="2">
        <v>0.1072</v>
      </c>
      <c r="F4283" s="2">
        <v>0.10199999999999999</v>
      </c>
      <c r="G4283">
        <v>424</v>
      </c>
    </row>
    <row r="4284" spans="1:8" x14ac:dyDescent="0.35">
      <c r="A4284" t="s">
        <v>227</v>
      </c>
      <c r="B4284" t="s">
        <v>1342</v>
      </c>
      <c r="C4284" s="2">
        <v>0.59540000000000004</v>
      </c>
      <c r="D4284" s="2">
        <v>0.1966</v>
      </c>
      <c r="E4284" s="2">
        <v>0.14860000000000001</v>
      </c>
      <c r="F4284" s="2">
        <v>5.9400000000000001E-2</v>
      </c>
      <c r="G4284">
        <v>241</v>
      </c>
    </row>
    <row r="4285" spans="1:8" x14ac:dyDescent="0.35">
      <c r="A4285" t="s">
        <v>228</v>
      </c>
      <c r="B4285" t="s">
        <v>228</v>
      </c>
      <c r="C4285" s="2">
        <v>0.51800000000000002</v>
      </c>
      <c r="D4285" s="2">
        <v>0.26350000000000001</v>
      </c>
      <c r="E4285" s="2">
        <v>0.14080000000000001</v>
      </c>
      <c r="F4285" s="2">
        <v>7.7700000000000005E-2</v>
      </c>
      <c r="G4285">
        <v>864</v>
      </c>
    </row>
    <row r="4287" spans="1:8" x14ac:dyDescent="0.35">
      <c r="A4287" s="1" t="s">
        <v>1362</v>
      </c>
    </row>
    <row r="4288" spans="1:8" x14ac:dyDescent="0.35">
      <c r="A4288" t="s">
        <v>219</v>
      </c>
      <c r="B4288" t="s">
        <v>301</v>
      </c>
      <c r="C4288" t="s">
        <v>325</v>
      </c>
      <c r="D4288" t="s">
        <v>1345</v>
      </c>
      <c r="E4288" t="s">
        <v>1346</v>
      </c>
      <c r="F4288" t="s">
        <v>1347</v>
      </c>
      <c r="G4288" t="s">
        <v>1348</v>
      </c>
      <c r="H4288" t="s">
        <v>226</v>
      </c>
    </row>
    <row r="4289" spans="1:8" x14ac:dyDescent="0.35">
      <c r="A4289" s="3" t="s">
        <v>227</v>
      </c>
      <c r="B4289" s="3" t="s">
        <v>1335</v>
      </c>
      <c r="C4289" s="3" t="s">
        <v>1339</v>
      </c>
      <c r="D4289" s="5"/>
      <c r="E4289" s="4">
        <v>1</v>
      </c>
      <c r="F4289" s="5"/>
      <c r="G4289" s="5"/>
      <c r="H4289" s="5" t="s">
        <v>438</v>
      </c>
    </row>
    <row r="4290" spans="1:8" x14ac:dyDescent="0.35">
      <c r="A4290" t="s">
        <v>227</v>
      </c>
      <c r="B4290" t="s">
        <v>1335</v>
      </c>
      <c r="C4290" t="s">
        <v>1340</v>
      </c>
      <c r="D4290" s="2">
        <v>0.39629999999999999</v>
      </c>
      <c r="E4290" s="2">
        <v>0.35699999999999998</v>
      </c>
      <c r="F4290" s="2">
        <v>0.13800000000000001</v>
      </c>
      <c r="G4290" s="2">
        <v>0.1087</v>
      </c>
      <c r="H4290">
        <v>61</v>
      </c>
    </row>
    <row r="4291" spans="1:8" x14ac:dyDescent="0.35">
      <c r="A4291" t="s">
        <v>227</v>
      </c>
      <c r="B4291" t="s">
        <v>1335</v>
      </c>
      <c r="C4291" t="s">
        <v>1341</v>
      </c>
      <c r="D4291" s="2">
        <v>0.54290000000000005</v>
      </c>
      <c r="E4291" s="2">
        <v>0.29039999999999999</v>
      </c>
      <c r="F4291" s="2">
        <v>7.0599999999999996E-2</v>
      </c>
      <c r="G4291" s="2">
        <v>9.6100000000000005E-2</v>
      </c>
      <c r="H4291">
        <v>128</v>
      </c>
    </row>
    <row r="4292" spans="1:8" x14ac:dyDescent="0.35">
      <c r="A4292" t="s">
        <v>227</v>
      </c>
      <c r="B4292" t="s">
        <v>1335</v>
      </c>
      <c r="C4292" t="s">
        <v>1342</v>
      </c>
      <c r="D4292" s="2">
        <v>0.64780000000000004</v>
      </c>
      <c r="E4292" s="2">
        <v>0.1762</v>
      </c>
      <c r="F4292" s="2">
        <v>0.15679999999999999</v>
      </c>
      <c r="G4292" s="2">
        <v>1.9199999999999998E-2</v>
      </c>
      <c r="H4292">
        <v>46</v>
      </c>
    </row>
    <row r="4293" spans="1:8" x14ac:dyDescent="0.35">
      <c r="A4293" s="3" t="s">
        <v>227</v>
      </c>
      <c r="B4293" s="3" t="s">
        <v>1336</v>
      </c>
      <c r="C4293" s="3" t="s">
        <v>1341</v>
      </c>
      <c r="D4293" s="4">
        <v>1</v>
      </c>
      <c r="E4293" s="5"/>
      <c r="F4293" s="5"/>
      <c r="G4293" s="5"/>
      <c r="H4293" s="5" t="s">
        <v>323</v>
      </c>
    </row>
    <row r="4294" spans="1:8" x14ac:dyDescent="0.35">
      <c r="A4294" s="3" t="s">
        <v>227</v>
      </c>
      <c r="B4294" s="3" t="s">
        <v>1337</v>
      </c>
      <c r="C4294" s="3" t="s">
        <v>1339</v>
      </c>
      <c r="D4294" s="4">
        <v>0.10589999999999999</v>
      </c>
      <c r="E4294" s="5"/>
      <c r="F4294" s="4">
        <v>0.86450000000000005</v>
      </c>
      <c r="G4294" s="4">
        <v>2.9600000000000001E-2</v>
      </c>
      <c r="H4294" s="5" t="s">
        <v>327</v>
      </c>
    </row>
    <row r="4295" spans="1:8" x14ac:dyDescent="0.35">
      <c r="A4295" t="s">
        <v>227</v>
      </c>
      <c r="B4295" t="s">
        <v>1337</v>
      </c>
      <c r="C4295" t="s">
        <v>1340</v>
      </c>
      <c r="D4295" s="2">
        <v>0.45</v>
      </c>
      <c r="E4295" s="2">
        <v>0.31840000000000002</v>
      </c>
      <c r="F4295" s="2">
        <v>0.21779999999999999</v>
      </c>
      <c r="G4295" s="2">
        <v>1.37E-2</v>
      </c>
      <c r="H4295">
        <v>130</v>
      </c>
    </row>
    <row r="4296" spans="1:8" x14ac:dyDescent="0.35">
      <c r="A4296" t="s">
        <v>227</v>
      </c>
      <c r="B4296" t="s">
        <v>1337</v>
      </c>
      <c r="C4296" t="s">
        <v>1341</v>
      </c>
      <c r="D4296" s="2">
        <v>0.5121</v>
      </c>
      <c r="E4296" s="2">
        <v>0.25619999999999998</v>
      </c>
      <c r="F4296" s="2">
        <v>0.12570000000000001</v>
      </c>
      <c r="G4296" s="2">
        <v>0.106</v>
      </c>
      <c r="H4296">
        <v>295</v>
      </c>
    </row>
    <row r="4297" spans="1:8" x14ac:dyDescent="0.35">
      <c r="A4297" t="s">
        <v>227</v>
      </c>
      <c r="B4297" t="s">
        <v>1337</v>
      </c>
      <c r="C4297" t="s">
        <v>1342</v>
      </c>
      <c r="D4297" s="2">
        <v>0.58199999999999996</v>
      </c>
      <c r="E4297" s="2">
        <v>0.20180000000000001</v>
      </c>
      <c r="F4297" s="2">
        <v>0.14660000000000001</v>
      </c>
      <c r="G4297" s="2">
        <v>6.9599999999999995E-2</v>
      </c>
      <c r="H4297">
        <v>195</v>
      </c>
    </row>
    <row r="4298" spans="1:8" x14ac:dyDescent="0.35">
      <c r="A4298" t="s">
        <v>228</v>
      </c>
      <c r="B4298" t="s">
        <v>228</v>
      </c>
      <c r="C4298" t="s">
        <v>228</v>
      </c>
      <c r="D4298" s="2">
        <v>0.51800000000000002</v>
      </c>
      <c r="E4298" s="2">
        <v>0.26350000000000001</v>
      </c>
      <c r="F4298" s="2">
        <v>0.14080000000000001</v>
      </c>
      <c r="G4298" s="2">
        <v>7.7700000000000005E-2</v>
      </c>
      <c r="H4298">
        <v>864</v>
      </c>
    </row>
    <row r="4300" spans="1:8" x14ac:dyDescent="0.35">
      <c r="A4300" s="1" t="s">
        <v>1363</v>
      </c>
    </row>
    <row r="4301" spans="1:8" x14ac:dyDescent="0.35">
      <c r="A4301" t="s">
        <v>219</v>
      </c>
      <c r="B4301" t="s">
        <v>299</v>
      </c>
      <c r="C4301" t="s">
        <v>298</v>
      </c>
      <c r="D4301" t="s">
        <v>277</v>
      </c>
      <c r="E4301" t="s">
        <v>282</v>
      </c>
      <c r="F4301" t="s">
        <v>226</v>
      </c>
    </row>
    <row r="4302" spans="1:8" x14ac:dyDescent="0.35">
      <c r="A4302" t="s">
        <v>227</v>
      </c>
      <c r="B4302" s="2">
        <v>0.61570000000000003</v>
      </c>
      <c r="C4302" s="2">
        <v>0.3795</v>
      </c>
      <c r="D4302" s="2">
        <v>4.4000000000000003E-3</v>
      </c>
      <c r="E4302" s="2">
        <v>4.0000000000000002E-4</v>
      </c>
      <c r="F4302">
        <v>2735</v>
      </c>
    </row>
    <row r="4303" spans="1:8" x14ac:dyDescent="0.35">
      <c r="A4303" t="s">
        <v>228</v>
      </c>
      <c r="B4303" s="2">
        <v>0.61570000000000003</v>
      </c>
      <c r="C4303" s="2">
        <v>0.3795</v>
      </c>
      <c r="D4303" s="2">
        <v>4.4000000000000003E-3</v>
      </c>
      <c r="E4303" s="2">
        <v>4.0000000000000002E-4</v>
      </c>
      <c r="F4303">
        <v>2735</v>
      </c>
    </row>
    <row r="4305" spans="1:7" x14ac:dyDescent="0.35">
      <c r="A4305" s="1" t="s">
        <v>1364</v>
      </c>
    </row>
    <row r="4306" spans="1:7" x14ac:dyDescent="0.35">
      <c r="A4306" t="s">
        <v>219</v>
      </c>
      <c r="B4306" t="s">
        <v>301</v>
      </c>
      <c r="C4306" t="s">
        <v>299</v>
      </c>
      <c r="D4306" t="s">
        <v>298</v>
      </c>
      <c r="E4306" t="s">
        <v>277</v>
      </c>
      <c r="F4306" t="s">
        <v>282</v>
      </c>
      <c r="G4306" t="s">
        <v>226</v>
      </c>
    </row>
    <row r="4307" spans="1:7" x14ac:dyDescent="0.35">
      <c r="A4307" t="s">
        <v>227</v>
      </c>
      <c r="B4307" t="s">
        <v>238</v>
      </c>
      <c r="C4307" s="2">
        <v>0.58709999999999996</v>
      </c>
      <c r="D4307" s="2">
        <v>0.40770000000000001</v>
      </c>
      <c r="E4307" s="2">
        <v>5.0000000000000001E-3</v>
      </c>
      <c r="F4307" s="2">
        <v>2.0000000000000001E-4</v>
      </c>
      <c r="G4307">
        <v>977</v>
      </c>
    </row>
    <row r="4308" spans="1:7" x14ac:dyDescent="0.35">
      <c r="A4308" t="s">
        <v>227</v>
      </c>
      <c r="B4308" t="s">
        <v>237</v>
      </c>
      <c r="C4308" s="2">
        <v>0.63249999999999995</v>
      </c>
      <c r="D4308" s="2">
        <v>0.36299999999999999</v>
      </c>
      <c r="E4308" s="2">
        <v>4.0000000000000001E-3</v>
      </c>
      <c r="F4308" s="2">
        <v>5.9999999999999995E-4</v>
      </c>
      <c r="G4308">
        <v>1758</v>
      </c>
    </row>
    <row r="4309" spans="1:7" x14ac:dyDescent="0.35">
      <c r="A4309" t="s">
        <v>228</v>
      </c>
      <c r="B4309" t="s">
        <v>228</v>
      </c>
      <c r="C4309" s="2">
        <v>0.61570000000000003</v>
      </c>
      <c r="D4309" s="2">
        <v>0.3795</v>
      </c>
      <c r="E4309" s="2">
        <v>4.4000000000000003E-3</v>
      </c>
      <c r="F4309" s="2">
        <v>4.0000000000000002E-4</v>
      </c>
      <c r="G4309">
        <v>2735</v>
      </c>
    </row>
    <row r="4311" spans="1:7" x14ac:dyDescent="0.35">
      <c r="A4311" s="1" t="s">
        <v>1365</v>
      </c>
    </row>
    <row r="4312" spans="1:7" x14ac:dyDescent="0.35">
      <c r="A4312" t="s">
        <v>219</v>
      </c>
      <c r="B4312" t="s">
        <v>301</v>
      </c>
      <c r="C4312" t="s">
        <v>299</v>
      </c>
      <c r="D4312" t="s">
        <v>298</v>
      </c>
      <c r="E4312" t="s">
        <v>277</v>
      </c>
      <c r="F4312" t="s">
        <v>282</v>
      </c>
      <c r="G4312" t="s">
        <v>226</v>
      </c>
    </row>
    <row r="4313" spans="1:7" x14ac:dyDescent="0.35">
      <c r="A4313" t="s">
        <v>227</v>
      </c>
      <c r="B4313" t="s">
        <v>235</v>
      </c>
      <c r="C4313" s="2">
        <v>0.44240000000000002</v>
      </c>
      <c r="D4313" s="2">
        <v>0.55610000000000004</v>
      </c>
      <c r="E4313" s="2">
        <v>1.2999999999999999E-3</v>
      </c>
      <c r="F4313" s="2">
        <v>2.9999999999999997E-4</v>
      </c>
      <c r="G4313">
        <v>971</v>
      </c>
    </row>
    <row r="4314" spans="1:7" x14ac:dyDescent="0.35">
      <c r="A4314" t="s">
        <v>227</v>
      </c>
      <c r="B4314" t="s">
        <v>234</v>
      </c>
      <c r="C4314" s="2">
        <v>0.68920000000000003</v>
      </c>
      <c r="D4314" s="2">
        <v>0.30470000000000003</v>
      </c>
      <c r="E4314" s="2">
        <v>5.5999999999999999E-3</v>
      </c>
      <c r="F4314" s="2">
        <v>5.0000000000000001E-4</v>
      </c>
      <c r="G4314">
        <v>1764</v>
      </c>
    </row>
    <row r="4315" spans="1:7" x14ac:dyDescent="0.35">
      <c r="A4315" t="s">
        <v>228</v>
      </c>
      <c r="B4315" t="s">
        <v>228</v>
      </c>
      <c r="C4315" s="2">
        <v>0.61570000000000003</v>
      </c>
      <c r="D4315" s="2">
        <v>0.3795</v>
      </c>
      <c r="E4315" s="2">
        <v>4.4000000000000003E-3</v>
      </c>
      <c r="F4315" s="2">
        <v>4.0000000000000002E-4</v>
      </c>
      <c r="G4315">
        <v>2735</v>
      </c>
    </row>
    <row r="4317" spans="1:7" x14ac:dyDescent="0.35">
      <c r="A4317" s="1" t="s">
        <v>1366</v>
      </c>
    </row>
    <row r="4318" spans="1:7" x14ac:dyDescent="0.35">
      <c r="A4318" t="s">
        <v>219</v>
      </c>
      <c r="B4318" t="s">
        <v>301</v>
      </c>
      <c r="C4318" t="s">
        <v>299</v>
      </c>
      <c r="D4318" t="s">
        <v>298</v>
      </c>
      <c r="E4318" t="s">
        <v>277</v>
      </c>
      <c r="F4318" t="s">
        <v>282</v>
      </c>
      <c r="G4318" t="s">
        <v>226</v>
      </c>
    </row>
    <row r="4319" spans="1:7" x14ac:dyDescent="0.35">
      <c r="A4319" t="s">
        <v>227</v>
      </c>
      <c r="B4319" t="s">
        <v>240</v>
      </c>
      <c r="C4319" s="2">
        <v>0.64880000000000004</v>
      </c>
      <c r="D4319" s="2">
        <v>0.34610000000000002</v>
      </c>
      <c r="E4319" s="2">
        <v>4.5999999999999999E-3</v>
      </c>
      <c r="F4319" s="2">
        <v>5.9999999999999995E-4</v>
      </c>
      <c r="G4319">
        <v>1706</v>
      </c>
    </row>
    <row r="4320" spans="1:7" x14ac:dyDescent="0.35">
      <c r="A4320" t="s">
        <v>227</v>
      </c>
      <c r="B4320" t="s">
        <v>241</v>
      </c>
      <c r="C4320" s="2">
        <v>0.58050000000000002</v>
      </c>
      <c r="D4320" s="2">
        <v>0.41449999999999998</v>
      </c>
      <c r="E4320" s="2">
        <v>4.7999999999999996E-3</v>
      </c>
      <c r="F4320" s="2">
        <v>2.0000000000000001E-4</v>
      </c>
      <c r="G4320">
        <v>869</v>
      </c>
    </row>
    <row r="4321" spans="1:7" x14ac:dyDescent="0.35">
      <c r="A4321" t="s">
        <v>227</v>
      </c>
      <c r="B4321" t="s">
        <v>242</v>
      </c>
      <c r="C4321" s="2">
        <v>0.44900000000000001</v>
      </c>
      <c r="D4321" s="2">
        <v>0.55100000000000005</v>
      </c>
      <c r="G4321">
        <v>160</v>
      </c>
    </row>
    <row r="4322" spans="1:7" x14ac:dyDescent="0.35">
      <c r="A4322" t="s">
        <v>228</v>
      </c>
      <c r="B4322" t="s">
        <v>228</v>
      </c>
      <c r="C4322" s="2">
        <v>0.61570000000000003</v>
      </c>
      <c r="D4322" s="2">
        <v>0.3795</v>
      </c>
      <c r="E4322" s="2">
        <v>4.4000000000000003E-3</v>
      </c>
      <c r="F4322" s="2">
        <v>4.0000000000000002E-4</v>
      </c>
      <c r="G4322">
        <v>2735</v>
      </c>
    </row>
    <row r="4324" spans="1:7" x14ac:dyDescent="0.35">
      <c r="A4324" s="1" t="s">
        <v>1367</v>
      </c>
    </row>
    <row r="4325" spans="1:7" x14ac:dyDescent="0.35">
      <c r="A4325" t="s">
        <v>219</v>
      </c>
      <c r="B4325" t="s">
        <v>301</v>
      </c>
      <c r="C4325" t="s">
        <v>299</v>
      </c>
      <c r="D4325" t="s">
        <v>298</v>
      </c>
      <c r="E4325" t="s">
        <v>277</v>
      </c>
      <c r="F4325" t="s">
        <v>282</v>
      </c>
      <c r="G4325" t="s">
        <v>226</v>
      </c>
    </row>
    <row r="4326" spans="1:7" x14ac:dyDescent="0.35">
      <c r="A4326" t="s">
        <v>227</v>
      </c>
      <c r="B4326" t="s">
        <v>334</v>
      </c>
      <c r="C4326" s="2">
        <v>0.48830000000000001</v>
      </c>
      <c r="D4326" s="2">
        <v>0.50970000000000004</v>
      </c>
      <c r="E4326" s="2">
        <v>1.5E-3</v>
      </c>
      <c r="F4326" s="2">
        <v>5.0000000000000001E-4</v>
      </c>
      <c r="G4326">
        <v>611</v>
      </c>
    </row>
    <row r="4327" spans="1:7" x14ac:dyDescent="0.35">
      <c r="A4327" t="s">
        <v>227</v>
      </c>
      <c r="B4327" t="s">
        <v>335</v>
      </c>
      <c r="C4327" s="2">
        <v>0.71579999999999999</v>
      </c>
      <c r="D4327" s="2">
        <v>0.28360000000000002</v>
      </c>
      <c r="E4327" s="2">
        <v>4.0000000000000002E-4</v>
      </c>
      <c r="F4327" s="2">
        <v>2.0000000000000001E-4</v>
      </c>
      <c r="G4327">
        <v>606</v>
      </c>
    </row>
    <row r="4328" spans="1:7" x14ac:dyDescent="0.35">
      <c r="A4328" t="s">
        <v>227</v>
      </c>
      <c r="B4328" t="s">
        <v>336</v>
      </c>
      <c r="C4328" s="2">
        <v>0.52390000000000003</v>
      </c>
      <c r="D4328" s="2">
        <v>0.47499999999999998</v>
      </c>
      <c r="E4328" s="2">
        <v>1E-3</v>
      </c>
      <c r="G4328">
        <v>603</v>
      </c>
    </row>
    <row r="4329" spans="1:7" x14ac:dyDescent="0.35">
      <c r="A4329" t="s">
        <v>227</v>
      </c>
      <c r="B4329" t="s">
        <v>337</v>
      </c>
      <c r="C4329" s="2">
        <v>0.65529999999999999</v>
      </c>
      <c r="D4329" s="2">
        <v>0.34350000000000003</v>
      </c>
      <c r="E4329" s="2">
        <v>1.1999999999999999E-3</v>
      </c>
      <c r="G4329">
        <v>585</v>
      </c>
    </row>
    <row r="4330" spans="1:7" x14ac:dyDescent="0.35">
      <c r="A4330" t="s">
        <v>228</v>
      </c>
      <c r="B4330" t="s">
        <v>228</v>
      </c>
      <c r="C4330" s="2">
        <v>0.61570000000000003</v>
      </c>
      <c r="D4330" s="2">
        <v>0.3795</v>
      </c>
      <c r="E4330" s="2">
        <v>4.4000000000000003E-3</v>
      </c>
      <c r="F4330" s="2">
        <v>4.0000000000000002E-4</v>
      </c>
      <c r="G4330">
        <v>2405</v>
      </c>
    </row>
    <row r="4332" spans="1:7" x14ac:dyDescent="0.35">
      <c r="A4332" s="1" t="s">
        <v>1368</v>
      </c>
    </row>
    <row r="4333" spans="1:7" x14ac:dyDescent="0.35">
      <c r="A4333" t="s">
        <v>219</v>
      </c>
      <c r="B4333" t="s">
        <v>301</v>
      </c>
      <c r="C4333" t="s">
        <v>299</v>
      </c>
      <c r="D4333" t="s">
        <v>298</v>
      </c>
      <c r="E4333" t="s">
        <v>277</v>
      </c>
      <c r="F4333" t="s">
        <v>282</v>
      </c>
      <c r="G4333" t="s">
        <v>226</v>
      </c>
    </row>
    <row r="4334" spans="1:7" x14ac:dyDescent="0.35">
      <c r="A4334" t="s">
        <v>227</v>
      </c>
      <c r="B4334" t="s">
        <v>263</v>
      </c>
      <c r="C4334" s="2">
        <v>0.59550000000000003</v>
      </c>
      <c r="D4334" s="2">
        <v>0.40450000000000003</v>
      </c>
      <c r="G4334">
        <v>570</v>
      </c>
    </row>
    <row r="4335" spans="1:7" x14ac:dyDescent="0.35">
      <c r="A4335" t="s">
        <v>227</v>
      </c>
      <c r="B4335" t="s">
        <v>262</v>
      </c>
      <c r="C4335" s="2">
        <v>0.6048</v>
      </c>
      <c r="D4335" s="2">
        <v>0.38519999999999999</v>
      </c>
      <c r="E4335" s="2">
        <v>9.9000000000000008E-3</v>
      </c>
      <c r="F4335" s="2">
        <v>1E-4</v>
      </c>
      <c r="G4335">
        <v>1130</v>
      </c>
    </row>
    <row r="4336" spans="1:7" x14ac:dyDescent="0.35">
      <c r="A4336" t="s">
        <v>227</v>
      </c>
      <c r="B4336" t="s">
        <v>261</v>
      </c>
      <c r="C4336" s="2">
        <v>0.63319999999999999</v>
      </c>
      <c r="D4336" s="2">
        <v>0.36420000000000002</v>
      </c>
      <c r="E4336" s="2">
        <v>1.6999999999999999E-3</v>
      </c>
      <c r="F4336" s="2">
        <v>8.9999999999999998E-4</v>
      </c>
      <c r="G4336">
        <v>1033</v>
      </c>
    </row>
    <row r="4337" spans="1:7" x14ac:dyDescent="0.35">
      <c r="A4337" s="3" t="s">
        <v>227</v>
      </c>
      <c r="B4337" s="3" t="s">
        <v>232</v>
      </c>
      <c r="C4337" s="4">
        <v>1</v>
      </c>
      <c r="D4337" s="5"/>
      <c r="E4337" s="5"/>
      <c r="F4337" s="5"/>
      <c r="G4337" s="5" t="s">
        <v>434</v>
      </c>
    </row>
    <row r="4338" spans="1:7" x14ac:dyDescent="0.35">
      <c r="A4338" t="s">
        <v>228</v>
      </c>
      <c r="B4338" t="s">
        <v>228</v>
      </c>
      <c r="C4338" s="2">
        <v>0.61570000000000003</v>
      </c>
      <c r="D4338" s="2">
        <v>0.3795</v>
      </c>
      <c r="E4338" s="2">
        <v>4.4000000000000003E-3</v>
      </c>
      <c r="F4338" s="2">
        <v>4.0000000000000002E-4</v>
      </c>
      <c r="G4338">
        <v>2735</v>
      </c>
    </row>
    <row r="4340" spans="1:7" x14ac:dyDescent="0.35">
      <c r="A4340" s="1" t="s">
        <v>1369</v>
      </c>
    </row>
    <row r="4341" spans="1:7" x14ac:dyDescent="0.35">
      <c r="A4341" t="s">
        <v>219</v>
      </c>
      <c r="B4341" t="s">
        <v>301</v>
      </c>
      <c r="C4341" t="s">
        <v>299</v>
      </c>
      <c r="D4341" t="s">
        <v>298</v>
      </c>
      <c r="E4341" t="s">
        <v>277</v>
      </c>
      <c r="F4341" t="s">
        <v>282</v>
      </c>
      <c r="G4341" t="s">
        <v>226</v>
      </c>
    </row>
    <row r="4342" spans="1:7" x14ac:dyDescent="0.35">
      <c r="A4342" t="s">
        <v>227</v>
      </c>
      <c r="B4342" t="s">
        <v>248</v>
      </c>
      <c r="C4342" s="2">
        <v>0.51049999999999995</v>
      </c>
      <c r="D4342" s="2">
        <v>0.48480000000000001</v>
      </c>
      <c r="E4342" s="2">
        <v>4.0000000000000001E-3</v>
      </c>
      <c r="F4342" s="2">
        <v>6.9999999999999999E-4</v>
      </c>
      <c r="G4342">
        <v>775</v>
      </c>
    </row>
    <row r="4343" spans="1:7" x14ac:dyDescent="0.35">
      <c r="A4343" t="s">
        <v>227</v>
      </c>
      <c r="B4343" t="s">
        <v>249</v>
      </c>
      <c r="C4343" s="2">
        <v>0.62039999999999995</v>
      </c>
      <c r="D4343" s="2">
        <v>0.37680000000000002</v>
      </c>
      <c r="E4343" s="2">
        <v>2.8E-3</v>
      </c>
      <c r="G4343">
        <v>526</v>
      </c>
    </row>
    <row r="4344" spans="1:7" x14ac:dyDescent="0.35">
      <c r="A4344" t="s">
        <v>227</v>
      </c>
      <c r="B4344" t="s">
        <v>247</v>
      </c>
      <c r="C4344" s="2">
        <v>0.66830000000000001</v>
      </c>
      <c r="D4344" s="2">
        <v>0.3261</v>
      </c>
      <c r="E4344" s="2">
        <v>5.1000000000000004E-3</v>
      </c>
      <c r="F4344" s="2">
        <v>5.0000000000000001E-4</v>
      </c>
      <c r="G4344">
        <v>1434</v>
      </c>
    </row>
    <row r="4345" spans="1:7" x14ac:dyDescent="0.35">
      <c r="A4345" t="s">
        <v>228</v>
      </c>
      <c r="B4345" t="s">
        <v>228</v>
      </c>
      <c r="C4345" s="2">
        <v>0.61570000000000003</v>
      </c>
      <c r="D4345" s="2">
        <v>0.3795</v>
      </c>
      <c r="E4345" s="2">
        <v>4.4000000000000003E-3</v>
      </c>
      <c r="F4345" s="2">
        <v>4.0000000000000002E-4</v>
      </c>
      <c r="G4345">
        <v>2735</v>
      </c>
    </row>
    <row r="4347" spans="1:7" x14ac:dyDescent="0.35">
      <c r="A4347" s="1" t="s">
        <v>1370</v>
      </c>
    </row>
    <row r="4348" spans="1:7" x14ac:dyDescent="0.35">
      <c r="A4348" t="s">
        <v>219</v>
      </c>
      <c r="B4348" t="s">
        <v>301</v>
      </c>
      <c r="C4348" t="s">
        <v>299</v>
      </c>
      <c r="D4348" t="s">
        <v>298</v>
      </c>
      <c r="E4348" t="s">
        <v>277</v>
      </c>
      <c r="F4348" t="s">
        <v>282</v>
      </c>
      <c r="G4348" t="s">
        <v>226</v>
      </c>
    </row>
    <row r="4349" spans="1:7" x14ac:dyDescent="0.35">
      <c r="A4349" t="s">
        <v>227</v>
      </c>
      <c r="B4349" t="s">
        <v>245</v>
      </c>
      <c r="C4349" s="2">
        <v>0.6623</v>
      </c>
      <c r="D4349" s="2">
        <v>0.32950000000000002</v>
      </c>
      <c r="E4349" s="2">
        <v>8.0999999999999996E-3</v>
      </c>
      <c r="G4349">
        <v>758</v>
      </c>
    </row>
    <row r="4350" spans="1:7" x14ac:dyDescent="0.35">
      <c r="A4350" t="s">
        <v>227</v>
      </c>
      <c r="B4350" t="s">
        <v>244</v>
      </c>
      <c r="C4350" s="2">
        <v>0.59740000000000004</v>
      </c>
      <c r="D4350" s="2">
        <v>0.39910000000000001</v>
      </c>
      <c r="E4350" s="2">
        <v>2.8999999999999998E-3</v>
      </c>
      <c r="F4350" s="2">
        <v>5.9999999999999995E-4</v>
      </c>
      <c r="G4350">
        <v>1977</v>
      </c>
    </row>
    <row r="4351" spans="1:7" x14ac:dyDescent="0.35">
      <c r="A4351" t="s">
        <v>228</v>
      </c>
      <c r="B4351" t="s">
        <v>228</v>
      </c>
      <c r="C4351" s="2">
        <v>0.61570000000000003</v>
      </c>
      <c r="D4351" s="2">
        <v>0.3795</v>
      </c>
      <c r="E4351" s="2">
        <v>4.4000000000000003E-3</v>
      </c>
      <c r="F4351" s="2">
        <v>4.0000000000000002E-4</v>
      </c>
      <c r="G4351">
        <v>2735</v>
      </c>
    </row>
    <row r="4353" spans="1:7" x14ac:dyDescent="0.35">
      <c r="A4353" s="1" t="s">
        <v>1371</v>
      </c>
    </row>
    <row r="4354" spans="1:7" x14ac:dyDescent="0.35">
      <c r="A4354" t="s">
        <v>219</v>
      </c>
      <c r="B4354" t="s">
        <v>301</v>
      </c>
      <c r="C4354" t="s">
        <v>299</v>
      </c>
      <c r="D4354" t="s">
        <v>298</v>
      </c>
      <c r="E4354" t="s">
        <v>277</v>
      </c>
      <c r="F4354" t="s">
        <v>282</v>
      </c>
      <c r="G4354" t="s">
        <v>226</v>
      </c>
    </row>
    <row r="4355" spans="1:7" x14ac:dyDescent="0.35">
      <c r="A4355" t="s">
        <v>227</v>
      </c>
      <c r="B4355" t="s">
        <v>259</v>
      </c>
      <c r="C4355" s="2">
        <v>0.72270000000000001</v>
      </c>
      <c r="D4355" s="2">
        <v>0.27729999999999999</v>
      </c>
      <c r="G4355">
        <v>69</v>
      </c>
    </row>
    <row r="4356" spans="1:7" x14ac:dyDescent="0.35">
      <c r="A4356" t="s">
        <v>227</v>
      </c>
      <c r="B4356" t="s">
        <v>257</v>
      </c>
      <c r="C4356" s="2">
        <v>0.62680000000000002</v>
      </c>
      <c r="D4356" s="2">
        <v>0.37190000000000001</v>
      </c>
      <c r="E4356" s="2">
        <v>6.9999999999999999E-4</v>
      </c>
      <c r="F4356" s="2">
        <v>5.0000000000000001E-4</v>
      </c>
      <c r="G4356">
        <v>389</v>
      </c>
    </row>
    <row r="4357" spans="1:7" x14ac:dyDescent="0.35">
      <c r="A4357" t="s">
        <v>227</v>
      </c>
      <c r="B4357" t="s">
        <v>256</v>
      </c>
      <c r="C4357" s="2">
        <v>0.56089999999999995</v>
      </c>
      <c r="D4357" s="2">
        <v>0.43280000000000002</v>
      </c>
      <c r="E4357" s="2">
        <v>5.8999999999999999E-3</v>
      </c>
      <c r="F4357" s="2">
        <v>4.0000000000000002E-4</v>
      </c>
      <c r="G4357">
        <v>1746</v>
      </c>
    </row>
    <row r="4358" spans="1:7" x14ac:dyDescent="0.35">
      <c r="A4358" s="3" t="s">
        <v>227</v>
      </c>
      <c r="B4358" s="3" t="s">
        <v>232</v>
      </c>
      <c r="C4358" s="4">
        <v>0.41060000000000002</v>
      </c>
      <c r="D4358" s="4">
        <v>0.58940000000000003</v>
      </c>
      <c r="E4358" s="5"/>
      <c r="F4358" s="5"/>
      <c r="G4358" s="5" t="s">
        <v>307</v>
      </c>
    </row>
    <row r="4359" spans="1:7" x14ac:dyDescent="0.35">
      <c r="A4359" t="s">
        <v>227</v>
      </c>
      <c r="B4359" t="s">
        <v>258</v>
      </c>
      <c r="C4359" s="2">
        <v>0.82689999999999997</v>
      </c>
      <c r="D4359" s="2">
        <v>0.1704</v>
      </c>
      <c r="E4359" s="2">
        <v>2E-3</v>
      </c>
      <c r="F4359" s="2">
        <v>6.9999999999999999E-4</v>
      </c>
      <c r="G4359">
        <v>520</v>
      </c>
    </row>
    <row r="4360" spans="1:7" x14ac:dyDescent="0.35">
      <c r="A4360" t="s">
        <v>228</v>
      </c>
      <c r="B4360" t="s">
        <v>228</v>
      </c>
      <c r="C4360" s="2">
        <v>0.61570000000000003</v>
      </c>
      <c r="D4360" s="2">
        <v>0.3795</v>
      </c>
      <c r="E4360" s="2">
        <v>4.4000000000000003E-3</v>
      </c>
      <c r="F4360" s="2">
        <v>4.0000000000000002E-4</v>
      </c>
      <c r="G4360">
        <v>2735</v>
      </c>
    </row>
    <row r="4362" spans="1:7" x14ac:dyDescent="0.35">
      <c r="A4362" s="1" t="s">
        <v>1372</v>
      </c>
    </row>
    <row r="4363" spans="1:7" x14ac:dyDescent="0.35">
      <c r="A4363" t="s">
        <v>219</v>
      </c>
      <c r="B4363" t="s">
        <v>301</v>
      </c>
      <c r="C4363" t="s">
        <v>299</v>
      </c>
      <c r="D4363" t="s">
        <v>298</v>
      </c>
      <c r="E4363" t="s">
        <v>277</v>
      </c>
      <c r="F4363" t="s">
        <v>282</v>
      </c>
      <c r="G4363" t="s">
        <v>226</v>
      </c>
    </row>
    <row r="4364" spans="1:7" x14ac:dyDescent="0.35">
      <c r="A4364" t="s">
        <v>227</v>
      </c>
      <c r="B4364" t="s">
        <v>343</v>
      </c>
      <c r="C4364" s="2">
        <v>0.62680000000000002</v>
      </c>
      <c r="D4364" s="2">
        <v>0.37190000000000001</v>
      </c>
      <c r="E4364" s="2">
        <v>6.9999999999999999E-4</v>
      </c>
      <c r="F4364" s="2">
        <v>5.0000000000000001E-4</v>
      </c>
      <c r="G4364">
        <v>389</v>
      </c>
    </row>
    <row r="4365" spans="1:7" x14ac:dyDescent="0.35">
      <c r="A4365" t="s">
        <v>227</v>
      </c>
      <c r="B4365" t="s">
        <v>344</v>
      </c>
      <c r="C4365" s="2">
        <v>0.61350000000000005</v>
      </c>
      <c r="D4365" s="2">
        <v>0.38109999999999999</v>
      </c>
      <c r="E4365" s="2">
        <v>5.1000000000000004E-3</v>
      </c>
      <c r="F4365" s="2">
        <v>4.0000000000000002E-4</v>
      </c>
      <c r="G4365">
        <v>2346</v>
      </c>
    </row>
    <row r="4366" spans="1:7" x14ac:dyDescent="0.35">
      <c r="A4366" t="s">
        <v>228</v>
      </c>
      <c r="B4366" t="s">
        <v>228</v>
      </c>
      <c r="C4366" s="2">
        <v>0.61570000000000003</v>
      </c>
      <c r="D4366" s="2">
        <v>0.3795</v>
      </c>
      <c r="E4366" s="2">
        <v>4.4000000000000003E-3</v>
      </c>
      <c r="F4366" s="2">
        <v>4.0000000000000002E-4</v>
      </c>
      <c r="G4366">
        <v>2735</v>
      </c>
    </row>
    <row r="4368" spans="1:7" x14ac:dyDescent="0.35">
      <c r="A4368" s="1" t="s">
        <v>1373</v>
      </c>
    </row>
    <row r="4369" spans="1:7" x14ac:dyDescent="0.35">
      <c r="A4369" t="s">
        <v>219</v>
      </c>
      <c r="B4369" t="s">
        <v>301</v>
      </c>
      <c r="C4369" t="s">
        <v>299</v>
      </c>
      <c r="D4369" t="s">
        <v>298</v>
      </c>
      <c r="E4369" t="s">
        <v>277</v>
      </c>
      <c r="F4369" t="s">
        <v>282</v>
      </c>
      <c r="G4369" t="s">
        <v>226</v>
      </c>
    </row>
    <row r="4370" spans="1:7" x14ac:dyDescent="0.35">
      <c r="A4370" t="s">
        <v>227</v>
      </c>
      <c r="B4370" t="s">
        <v>346</v>
      </c>
      <c r="C4370" s="2">
        <v>0.57850000000000001</v>
      </c>
      <c r="D4370" s="2">
        <v>0.41789999999999999</v>
      </c>
      <c r="E4370" s="2">
        <v>3.3999999999999998E-3</v>
      </c>
      <c r="F4370" s="2">
        <v>2.0000000000000001E-4</v>
      </c>
      <c r="G4370">
        <v>1385</v>
      </c>
    </row>
    <row r="4371" spans="1:7" x14ac:dyDescent="0.35">
      <c r="A4371" t="s">
        <v>227</v>
      </c>
      <c r="B4371" t="s">
        <v>347</v>
      </c>
      <c r="C4371" s="2">
        <v>0.84309999999999996</v>
      </c>
      <c r="D4371" s="2">
        <v>0.1507</v>
      </c>
      <c r="E4371" s="2">
        <v>3.7000000000000002E-3</v>
      </c>
      <c r="F4371" s="2">
        <v>2.5999999999999999E-3</v>
      </c>
      <c r="G4371">
        <v>585</v>
      </c>
    </row>
    <row r="4372" spans="1:7" x14ac:dyDescent="0.35">
      <c r="A4372" t="s">
        <v>227</v>
      </c>
      <c r="B4372" t="s">
        <v>348</v>
      </c>
      <c r="C4372" s="2">
        <v>0.82799999999999996</v>
      </c>
      <c r="D4372" s="2">
        <v>0.1583</v>
      </c>
      <c r="E4372" s="2">
        <v>1.2E-2</v>
      </c>
      <c r="F4372" s="2">
        <v>1.8E-3</v>
      </c>
      <c r="G4372">
        <v>765</v>
      </c>
    </row>
    <row r="4373" spans="1:7" x14ac:dyDescent="0.35">
      <c r="A4373" t="s">
        <v>228</v>
      </c>
      <c r="B4373" t="s">
        <v>228</v>
      </c>
      <c r="C4373" s="2">
        <v>0.61570000000000003</v>
      </c>
      <c r="D4373" s="2">
        <v>0.3795</v>
      </c>
      <c r="E4373" s="2">
        <v>4.4000000000000003E-3</v>
      </c>
      <c r="F4373" s="2">
        <v>4.0000000000000002E-4</v>
      </c>
      <c r="G4373">
        <v>2735</v>
      </c>
    </row>
    <row r="4375" spans="1:7" x14ac:dyDescent="0.35">
      <c r="A4375" s="1" t="s">
        <v>1374</v>
      </c>
    </row>
    <row r="4376" spans="1:7" x14ac:dyDescent="0.35">
      <c r="A4376" t="s">
        <v>219</v>
      </c>
      <c r="B4376" t="s">
        <v>301</v>
      </c>
      <c r="C4376" t="s">
        <v>299</v>
      </c>
      <c r="D4376" t="s">
        <v>298</v>
      </c>
      <c r="E4376" t="s">
        <v>277</v>
      </c>
      <c r="F4376" t="s">
        <v>282</v>
      </c>
      <c r="G4376" t="s">
        <v>226</v>
      </c>
    </row>
    <row r="4377" spans="1:7" x14ac:dyDescent="0.35">
      <c r="A4377" t="s">
        <v>227</v>
      </c>
      <c r="B4377" t="s">
        <v>251</v>
      </c>
      <c r="C4377" s="2">
        <v>0.59740000000000004</v>
      </c>
      <c r="D4377" s="2">
        <v>0.39910000000000001</v>
      </c>
      <c r="E4377" s="2">
        <v>2.8999999999999998E-3</v>
      </c>
      <c r="F4377" s="2">
        <v>5.9999999999999995E-4</v>
      </c>
      <c r="G4377">
        <v>1977</v>
      </c>
    </row>
    <row r="4378" spans="1:7" x14ac:dyDescent="0.35">
      <c r="A4378" t="s">
        <v>227</v>
      </c>
      <c r="B4378" t="s">
        <v>252</v>
      </c>
      <c r="C4378" s="2">
        <v>0.68730000000000002</v>
      </c>
      <c r="D4378" s="2">
        <v>0.30420000000000003</v>
      </c>
      <c r="E4378" s="2">
        <v>8.5000000000000006E-3</v>
      </c>
      <c r="G4378">
        <v>600</v>
      </c>
    </row>
    <row r="4379" spans="1:7" x14ac:dyDescent="0.35">
      <c r="A4379" t="s">
        <v>227</v>
      </c>
      <c r="B4379" t="s">
        <v>253</v>
      </c>
      <c r="C4379" s="2">
        <v>0.5675</v>
      </c>
      <c r="D4379" s="2">
        <v>0.42570000000000002</v>
      </c>
      <c r="E4379" s="2">
        <v>6.7000000000000002E-3</v>
      </c>
      <c r="G4379">
        <v>149</v>
      </c>
    </row>
    <row r="4380" spans="1:7" x14ac:dyDescent="0.35">
      <c r="A4380" s="3" t="s">
        <v>227</v>
      </c>
      <c r="B4380" s="3" t="s">
        <v>254</v>
      </c>
      <c r="C4380" s="4">
        <v>0.3664</v>
      </c>
      <c r="D4380" s="4">
        <v>0.63360000000000005</v>
      </c>
      <c r="E4380" s="5"/>
      <c r="F4380" s="5"/>
      <c r="G4380" s="5" t="s">
        <v>515</v>
      </c>
    </row>
    <row r="4381" spans="1:7" x14ac:dyDescent="0.35">
      <c r="A4381" t="s">
        <v>228</v>
      </c>
      <c r="B4381" t="s">
        <v>228</v>
      </c>
      <c r="C4381" s="2">
        <v>0.61570000000000003</v>
      </c>
      <c r="D4381" s="2">
        <v>0.3795</v>
      </c>
      <c r="E4381" s="2">
        <v>4.4000000000000003E-3</v>
      </c>
      <c r="F4381" s="2">
        <v>4.0000000000000002E-4</v>
      </c>
      <c r="G4381">
        <v>2735</v>
      </c>
    </row>
    <row r="4383" spans="1:7" x14ac:dyDescent="0.35">
      <c r="A4383" s="1" t="s">
        <v>1375</v>
      </c>
    </row>
    <row r="4384" spans="1:7" x14ac:dyDescent="0.35">
      <c r="A4384" t="s">
        <v>219</v>
      </c>
      <c r="B4384" t="s">
        <v>301</v>
      </c>
      <c r="C4384" t="s">
        <v>299</v>
      </c>
      <c r="D4384" t="s">
        <v>298</v>
      </c>
      <c r="E4384" t="s">
        <v>277</v>
      </c>
      <c r="F4384" t="s">
        <v>282</v>
      </c>
      <c r="G4384" t="s">
        <v>226</v>
      </c>
    </row>
    <row r="4385" spans="1:8" x14ac:dyDescent="0.35">
      <c r="A4385" t="s">
        <v>227</v>
      </c>
      <c r="B4385" t="s">
        <v>1335</v>
      </c>
      <c r="C4385" s="2">
        <v>0.59240000000000004</v>
      </c>
      <c r="D4385" s="2">
        <v>0.40649999999999997</v>
      </c>
      <c r="E4385" s="2">
        <v>2.9999999999999997E-4</v>
      </c>
      <c r="F4385" s="2">
        <v>8.0000000000000004E-4</v>
      </c>
      <c r="G4385">
        <v>823</v>
      </c>
    </row>
    <row r="4386" spans="1:8" x14ac:dyDescent="0.35">
      <c r="A4386" s="3" t="s">
        <v>227</v>
      </c>
      <c r="B4386" s="3" t="s">
        <v>1336</v>
      </c>
      <c r="C4386" s="4">
        <v>0.40660000000000002</v>
      </c>
      <c r="D4386" s="4">
        <v>0.59340000000000004</v>
      </c>
      <c r="E4386" s="5"/>
      <c r="F4386" s="5"/>
      <c r="G4386" s="5" t="s">
        <v>434</v>
      </c>
    </row>
    <row r="4387" spans="1:8" x14ac:dyDescent="0.35">
      <c r="A4387" t="s">
        <v>227</v>
      </c>
      <c r="B4387" t="s">
        <v>1337</v>
      </c>
      <c r="C4387" s="2">
        <v>0.628</v>
      </c>
      <c r="D4387" s="2">
        <v>0.3654</v>
      </c>
      <c r="E4387" s="2">
        <v>6.4000000000000003E-3</v>
      </c>
      <c r="F4387" s="2">
        <v>2.0000000000000001E-4</v>
      </c>
      <c r="G4387">
        <v>1910</v>
      </c>
    </row>
    <row r="4388" spans="1:8" x14ac:dyDescent="0.35">
      <c r="A4388" t="s">
        <v>228</v>
      </c>
      <c r="B4388" t="s">
        <v>228</v>
      </c>
      <c r="C4388" s="2">
        <v>0.61570000000000003</v>
      </c>
      <c r="D4388" s="2">
        <v>0.3795</v>
      </c>
      <c r="E4388" s="2">
        <v>4.4000000000000003E-3</v>
      </c>
      <c r="F4388" s="2">
        <v>4.0000000000000002E-4</v>
      </c>
      <c r="G4388">
        <v>2735</v>
      </c>
    </row>
    <row r="4390" spans="1:8" x14ac:dyDescent="0.35">
      <c r="A4390" s="1" t="s">
        <v>1376</v>
      </c>
    </row>
    <row r="4391" spans="1:8" x14ac:dyDescent="0.35">
      <c r="A4391" t="s">
        <v>219</v>
      </c>
      <c r="B4391" t="s">
        <v>301</v>
      </c>
      <c r="C4391" t="s">
        <v>299</v>
      </c>
      <c r="D4391" t="s">
        <v>298</v>
      </c>
      <c r="E4391" t="s">
        <v>277</v>
      </c>
      <c r="F4391" t="s">
        <v>282</v>
      </c>
      <c r="G4391" t="s">
        <v>226</v>
      </c>
    </row>
    <row r="4392" spans="1:8" x14ac:dyDescent="0.35">
      <c r="A4392" t="s">
        <v>227</v>
      </c>
      <c r="B4392" t="s">
        <v>1339</v>
      </c>
      <c r="C4392" s="2">
        <v>0.64590000000000003</v>
      </c>
      <c r="D4392" s="2">
        <v>0.35410000000000003</v>
      </c>
      <c r="G4392">
        <v>50</v>
      </c>
    </row>
    <row r="4393" spans="1:8" x14ac:dyDescent="0.35">
      <c r="A4393" t="s">
        <v>227</v>
      </c>
      <c r="B4393" t="s">
        <v>1340</v>
      </c>
      <c r="C4393" s="2">
        <v>0.67610000000000003</v>
      </c>
      <c r="D4393" s="2">
        <v>0.3135</v>
      </c>
      <c r="E4393" s="2">
        <v>9.7999999999999997E-3</v>
      </c>
      <c r="F4393" s="2">
        <v>5.9999999999999995E-4</v>
      </c>
      <c r="G4393">
        <v>710</v>
      </c>
    </row>
    <row r="4394" spans="1:8" x14ac:dyDescent="0.35">
      <c r="A4394" t="s">
        <v>227</v>
      </c>
      <c r="B4394" t="s">
        <v>1341</v>
      </c>
      <c r="C4394" s="2">
        <v>0.6452</v>
      </c>
      <c r="D4394" s="2">
        <v>0.35289999999999999</v>
      </c>
      <c r="E4394" s="2">
        <v>1.5E-3</v>
      </c>
      <c r="F4394" s="2">
        <v>4.0000000000000002E-4</v>
      </c>
      <c r="G4394">
        <v>1301</v>
      </c>
    </row>
    <row r="4395" spans="1:8" x14ac:dyDescent="0.35">
      <c r="A4395" t="s">
        <v>227</v>
      </c>
      <c r="B4395" t="s">
        <v>1342</v>
      </c>
      <c r="C4395" s="2">
        <v>0.49020000000000002</v>
      </c>
      <c r="D4395" s="2">
        <v>0.50409999999999999</v>
      </c>
      <c r="E4395" s="2">
        <v>5.3E-3</v>
      </c>
      <c r="F4395" s="2">
        <v>2.9999999999999997E-4</v>
      </c>
      <c r="G4395">
        <v>674</v>
      </c>
    </row>
    <row r="4396" spans="1:8" x14ac:dyDescent="0.35">
      <c r="A4396" t="s">
        <v>228</v>
      </c>
      <c r="B4396" t="s">
        <v>228</v>
      </c>
      <c r="C4396" s="2">
        <v>0.61570000000000003</v>
      </c>
      <c r="D4396" s="2">
        <v>0.3795</v>
      </c>
      <c r="E4396" s="2">
        <v>4.4000000000000003E-3</v>
      </c>
      <c r="F4396" s="2">
        <v>4.0000000000000002E-4</v>
      </c>
      <c r="G4396">
        <v>2735</v>
      </c>
    </row>
    <row r="4398" spans="1:8" x14ac:dyDescent="0.35">
      <c r="A4398" s="1" t="s">
        <v>1377</v>
      </c>
    </row>
    <row r="4399" spans="1:8" x14ac:dyDescent="0.35">
      <c r="A4399" t="s">
        <v>219</v>
      </c>
      <c r="B4399" t="s">
        <v>301</v>
      </c>
      <c r="C4399" t="s">
        <v>325</v>
      </c>
      <c r="D4399" t="s">
        <v>299</v>
      </c>
      <c r="E4399" t="s">
        <v>298</v>
      </c>
      <c r="F4399" t="s">
        <v>277</v>
      </c>
      <c r="G4399" t="s">
        <v>282</v>
      </c>
      <c r="H4399" t="s">
        <v>226</v>
      </c>
    </row>
    <row r="4400" spans="1:8" x14ac:dyDescent="0.35">
      <c r="A4400" s="3" t="s">
        <v>227</v>
      </c>
      <c r="B4400" s="3" t="s">
        <v>1335</v>
      </c>
      <c r="C4400" s="3" t="s">
        <v>1339</v>
      </c>
      <c r="D4400" s="4">
        <v>0.78349999999999997</v>
      </c>
      <c r="E4400" s="4">
        <v>0.2165</v>
      </c>
      <c r="F4400" s="5"/>
      <c r="G4400" s="5"/>
      <c r="H4400" s="5" t="s">
        <v>429</v>
      </c>
    </row>
    <row r="4401" spans="1:8" x14ac:dyDescent="0.35">
      <c r="A4401" t="s">
        <v>227</v>
      </c>
      <c r="B4401" t="s">
        <v>1335</v>
      </c>
      <c r="C4401" t="s">
        <v>1340</v>
      </c>
      <c r="D4401" s="2">
        <v>0.67390000000000005</v>
      </c>
      <c r="E4401" s="2">
        <v>0.3251</v>
      </c>
      <c r="G4401" s="2">
        <v>1E-3</v>
      </c>
      <c r="H4401">
        <v>248</v>
      </c>
    </row>
    <row r="4402" spans="1:8" x14ac:dyDescent="0.35">
      <c r="A4402" t="s">
        <v>227</v>
      </c>
      <c r="B4402" t="s">
        <v>1335</v>
      </c>
      <c r="C4402" t="s">
        <v>1341</v>
      </c>
      <c r="D4402" s="2">
        <v>0.61750000000000005</v>
      </c>
      <c r="E4402" s="2">
        <v>0.38190000000000002</v>
      </c>
      <c r="G4402" s="2">
        <v>5.9999999999999995E-4</v>
      </c>
      <c r="H4402">
        <v>403</v>
      </c>
    </row>
    <row r="4403" spans="1:8" x14ac:dyDescent="0.35">
      <c r="A4403" t="s">
        <v>227</v>
      </c>
      <c r="B4403" t="s">
        <v>1335</v>
      </c>
      <c r="C4403" t="s">
        <v>1342</v>
      </c>
      <c r="D4403" s="2">
        <v>0.39610000000000001</v>
      </c>
      <c r="E4403" s="2">
        <v>0.60119999999999996</v>
      </c>
      <c r="F4403" s="2">
        <v>1.6000000000000001E-3</v>
      </c>
      <c r="G4403" s="2">
        <v>1.1999999999999999E-3</v>
      </c>
      <c r="H4403">
        <v>153</v>
      </c>
    </row>
    <row r="4404" spans="1:8" x14ac:dyDescent="0.35">
      <c r="A4404" s="3" t="s">
        <v>227</v>
      </c>
      <c r="B4404" s="3" t="s">
        <v>1336</v>
      </c>
      <c r="C4404" s="3" t="s">
        <v>1341</v>
      </c>
      <c r="D4404" s="4">
        <v>0.40660000000000002</v>
      </c>
      <c r="E4404" s="4">
        <v>0.59340000000000004</v>
      </c>
      <c r="F4404" s="5"/>
      <c r="G4404" s="5"/>
      <c r="H4404" s="5" t="s">
        <v>434</v>
      </c>
    </row>
    <row r="4405" spans="1:8" x14ac:dyDescent="0.35">
      <c r="A4405" t="s">
        <v>227</v>
      </c>
      <c r="B4405" t="s">
        <v>1337</v>
      </c>
      <c r="C4405" t="s">
        <v>1339</v>
      </c>
      <c r="D4405" s="2">
        <v>0.58250000000000002</v>
      </c>
      <c r="E4405" s="2">
        <v>0.41749999999999998</v>
      </c>
      <c r="H4405">
        <v>31</v>
      </c>
    </row>
    <row r="4406" spans="1:8" x14ac:dyDescent="0.35">
      <c r="A4406" t="s">
        <v>227</v>
      </c>
      <c r="B4406" t="s">
        <v>1337</v>
      </c>
      <c r="C4406" t="s">
        <v>1340</v>
      </c>
      <c r="D4406" s="2">
        <v>0.67730000000000001</v>
      </c>
      <c r="E4406" s="2">
        <v>0.30659999999999998</v>
      </c>
      <c r="F4406" s="2">
        <v>1.5699999999999999E-2</v>
      </c>
      <c r="G4406" s="2">
        <v>4.0000000000000002E-4</v>
      </c>
      <c r="H4406">
        <v>462</v>
      </c>
    </row>
    <row r="4407" spans="1:8" x14ac:dyDescent="0.35">
      <c r="A4407" t="s">
        <v>227</v>
      </c>
      <c r="B4407" t="s">
        <v>1337</v>
      </c>
      <c r="C4407" t="s">
        <v>1341</v>
      </c>
      <c r="D4407" s="2">
        <v>0.66110000000000002</v>
      </c>
      <c r="E4407" s="2">
        <v>0.33629999999999999</v>
      </c>
      <c r="F4407" s="2">
        <v>2.3E-3</v>
      </c>
      <c r="G4407" s="2">
        <v>2.9999999999999997E-4</v>
      </c>
      <c r="H4407">
        <v>896</v>
      </c>
    </row>
    <row r="4408" spans="1:8" x14ac:dyDescent="0.35">
      <c r="A4408" t="s">
        <v>227</v>
      </c>
      <c r="B4408" t="s">
        <v>1337</v>
      </c>
      <c r="C4408" t="s">
        <v>1342</v>
      </c>
      <c r="D4408" s="2">
        <v>0.52639999999999998</v>
      </c>
      <c r="E4408" s="2">
        <v>0.46679999999999999</v>
      </c>
      <c r="F4408" s="2">
        <v>6.7999999999999996E-3</v>
      </c>
      <c r="H4408">
        <v>521</v>
      </c>
    </row>
    <row r="4409" spans="1:8" x14ac:dyDescent="0.35">
      <c r="A4409" t="s">
        <v>228</v>
      </c>
      <c r="B4409" t="s">
        <v>228</v>
      </c>
      <c r="C4409" t="s">
        <v>228</v>
      </c>
      <c r="D4409" s="2">
        <v>0.61570000000000003</v>
      </c>
      <c r="E4409" s="2">
        <v>0.3795</v>
      </c>
      <c r="F4409" s="2">
        <v>4.4000000000000003E-3</v>
      </c>
      <c r="G4409" s="2">
        <v>4.0000000000000002E-4</v>
      </c>
      <c r="H4409">
        <v>2735</v>
      </c>
    </row>
    <row r="4411" spans="1:8" x14ac:dyDescent="0.35">
      <c r="A4411" s="1" t="s">
        <v>1378</v>
      </c>
    </row>
    <row r="4412" spans="1:8" x14ac:dyDescent="0.35">
      <c r="A4412" t="s">
        <v>219</v>
      </c>
      <c r="B4412" t="s">
        <v>1345</v>
      </c>
      <c r="C4412" t="s">
        <v>1346</v>
      </c>
      <c r="D4412" t="s">
        <v>1347</v>
      </c>
      <c r="E4412" t="s">
        <v>1348</v>
      </c>
      <c r="F4412" t="s">
        <v>226</v>
      </c>
    </row>
    <row r="4413" spans="1:8" x14ac:dyDescent="0.35">
      <c r="A4413" t="s">
        <v>227</v>
      </c>
      <c r="B4413" s="2">
        <v>0.4476</v>
      </c>
      <c r="C4413" s="2">
        <v>0.215</v>
      </c>
      <c r="D4413" s="2">
        <v>0.19309999999999999</v>
      </c>
      <c r="E4413" s="2">
        <v>0.14430000000000001</v>
      </c>
      <c r="F4413">
        <v>2004</v>
      </c>
    </row>
    <row r="4414" spans="1:8" x14ac:dyDescent="0.35">
      <c r="A4414" t="s">
        <v>228</v>
      </c>
      <c r="B4414" s="2">
        <v>0.4476</v>
      </c>
      <c r="C4414" s="2">
        <v>0.215</v>
      </c>
      <c r="D4414" s="2">
        <v>0.19309999999999999</v>
      </c>
      <c r="E4414" s="2">
        <v>0.14430000000000001</v>
      </c>
      <c r="F4414">
        <v>2004</v>
      </c>
    </row>
    <row r="4416" spans="1:8" x14ac:dyDescent="0.35">
      <c r="A4416" s="1" t="s">
        <v>1379</v>
      </c>
    </row>
    <row r="4417" spans="1:7" x14ac:dyDescent="0.35">
      <c r="A4417" t="s">
        <v>219</v>
      </c>
      <c r="B4417" t="s">
        <v>301</v>
      </c>
      <c r="C4417" t="s">
        <v>1345</v>
      </c>
      <c r="D4417" t="s">
        <v>1346</v>
      </c>
      <c r="E4417" t="s">
        <v>1347</v>
      </c>
      <c r="F4417" t="s">
        <v>1348</v>
      </c>
      <c r="G4417" t="s">
        <v>226</v>
      </c>
    </row>
    <row r="4418" spans="1:7" x14ac:dyDescent="0.35">
      <c r="A4418" t="s">
        <v>227</v>
      </c>
      <c r="B4418" t="s">
        <v>238</v>
      </c>
      <c r="C4418" s="2">
        <v>0.50980000000000003</v>
      </c>
      <c r="D4418" s="2">
        <v>0.188</v>
      </c>
      <c r="E4418" s="2">
        <v>0.1537</v>
      </c>
      <c r="F4418" s="2">
        <v>0.14860000000000001</v>
      </c>
      <c r="G4418">
        <v>711</v>
      </c>
    </row>
    <row r="4419" spans="1:7" x14ac:dyDescent="0.35">
      <c r="A4419" t="s">
        <v>227</v>
      </c>
      <c r="B4419" t="s">
        <v>237</v>
      </c>
      <c r="C4419" s="2">
        <v>0.41360000000000002</v>
      </c>
      <c r="D4419" s="2">
        <v>0.2298</v>
      </c>
      <c r="E4419" s="2">
        <v>0.2147</v>
      </c>
      <c r="F4419" s="2">
        <v>0.1419</v>
      </c>
      <c r="G4419">
        <v>1293</v>
      </c>
    </row>
    <row r="4420" spans="1:7" x14ac:dyDescent="0.35">
      <c r="A4420" t="s">
        <v>228</v>
      </c>
      <c r="B4420" t="s">
        <v>228</v>
      </c>
      <c r="C4420" s="2">
        <v>0.4476</v>
      </c>
      <c r="D4420" s="2">
        <v>0.215</v>
      </c>
      <c r="E4420" s="2">
        <v>0.19309999999999999</v>
      </c>
      <c r="F4420" s="2">
        <v>0.14430000000000001</v>
      </c>
      <c r="G4420">
        <v>2004</v>
      </c>
    </row>
    <row r="4422" spans="1:7" x14ac:dyDescent="0.35">
      <c r="A4422" s="1" t="s">
        <v>1380</v>
      </c>
    </row>
    <row r="4423" spans="1:7" x14ac:dyDescent="0.35">
      <c r="A4423" t="s">
        <v>219</v>
      </c>
      <c r="B4423" t="s">
        <v>301</v>
      </c>
      <c r="C4423" t="s">
        <v>1345</v>
      </c>
      <c r="D4423" t="s">
        <v>1346</v>
      </c>
      <c r="E4423" t="s">
        <v>1347</v>
      </c>
      <c r="F4423" t="s">
        <v>1348</v>
      </c>
      <c r="G4423" t="s">
        <v>226</v>
      </c>
    </row>
    <row r="4424" spans="1:7" x14ac:dyDescent="0.35">
      <c r="A4424" t="s">
        <v>227</v>
      </c>
      <c r="B4424" t="s">
        <v>235</v>
      </c>
      <c r="C4424" s="2">
        <v>0.38169999999999998</v>
      </c>
      <c r="D4424" s="2">
        <v>0.22850000000000001</v>
      </c>
      <c r="E4424" s="2">
        <v>0.23</v>
      </c>
      <c r="F4424" s="2">
        <v>0.1598</v>
      </c>
      <c r="G4424">
        <v>613</v>
      </c>
    </row>
    <row r="4425" spans="1:7" x14ac:dyDescent="0.35">
      <c r="A4425" t="s">
        <v>227</v>
      </c>
      <c r="B4425" t="s">
        <v>234</v>
      </c>
      <c r="C4425" s="2">
        <v>0.46550000000000002</v>
      </c>
      <c r="D4425" s="2">
        <v>0.2114</v>
      </c>
      <c r="E4425" s="2">
        <v>0.18310000000000001</v>
      </c>
      <c r="F4425" s="2">
        <v>0.1401</v>
      </c>
      <c r="G4425">
        <v>1391</v>
      </c>
    </row>
    <row r="4426" spans="1:7" x14ac:dyDescent="0.35">
      <c r="A4426" t="s">
        <v>228</v>
      </c>
      <c r="B4426" t="s">
        <v>228</v>
      </c>
      <c r="C4426" s="2">
        <v>0.4476</v>
      </c>
      <c r="D4426" s="2">
        <v>0.215</v>
      </c>
      <c r="E4426" s="2">
        <v>0.19309999999999999</v>
      </c>
      <c r="F4426" s="2">
        <v>0.14430000000000001</v>
      </c>
      <c r="G4426">
        <v>2004</v>
      </c>
    </row>
    <row r="4428" spans="1:7" x14ac:dyDescent="0.35">
      <c r="A4428" s="1" t="s">
        <v>1381</v>
      </c>
    </row>
    <row r="4429" spans="1:7" x14ac:dyDescent="0.35">
      <c r="A4429" t="s">
        <v>219</v>
      </c>
      <c r="B4429" t="s">
        <v>301</v>
      </c>
      <c r="C4429" t="s">
        <v>1345</v>
      </c>
      <c r="D4429" t="s">
        <v>1346</v>
      </c>
      <c r="E4429" t="s">
        <v>1347</v>
      </c>
      <c r="F4429" t="s">
        <v>1348</v>
      </c>
      <c r="G4429" t="s">
        <v>226</v>
      </c>
    </row>
    <row r="4430" spans="1:7" x14ac:dyDescent="0.35">
      <c r="A4430" t="s">
        <v>227</v>
      </c>
      <c r="B4430" t="s">
        <v>240</v>
      </c>
      <c r="C4430" s="2">
        <v>0.46229999999999999</v>
      </c>
      <c r="D4430" s="2">
        <v>0.21820000000000001</v>
      </c>
      <c r="E4430" s="2">
        <v>0.1804</v>
      </c>
      <c r="F4430" s="2">
        <v>0.1391</v>
      </c>
      <c r="G4430">
        <v>1265</v>
      </c>
    </row>
    <row r="4431" spans="1:7" x14ac:dyDescent="0.35">
      <c r="A4431" t="s">
        <v>227</v>
      </c>
      <c r="B4431" t="s">
        <v>241</v>
      </c>
      <c r="C4431" s="2">
        <v>0.40860000000000002</v>
      </c>
      <c r="D4431" s="2">
        <v>0.20580000000000001</v>
      </c>
      <c r="E4431" s="2">
        <v>0.2208</v>
      </c>
      <c r="F4431" s="2">
        <v>0.1648</v>
      </c>
      <c r="G4431">
        <v>637</v>
      </c>
    </row>
    <row r="4432" spans="1:7" x14ac:dyDescent="0.35">
      <c r="A4432" t="s">
        <v>227</v>
      </c>
      <c r="B4432" t="s">
        <v>242</v>
      </c>
      <c r="C4432" s="2">
        <v>0.46660000000000001</v>
      </c>
      <c r="D4432" s="2">
        <v>0.2248</v>
      </c>
      <c r="E4432" s="2">
        <v>0.21199999999999999</v>
      </c>
      <c r="F4432" s="2">
        <v>9.6600000000000005E-2</v>
      </c>
      <c r="G4432">
        <v>102</v>
      </c>
    </row>
    <row r="4433" spans="1:7" x14ac:dyDescent="0.35">
      <c r="A4433" t="s">
        <v>228</v>
      </c>
      <c r="B4433" t="s">
        <v>228</v>
      </c>
      <c r="C4433" s="2">
        <v>0.4476</v>
      </c>
      <c r="D4433" s="2">
        <v>0.215</v>
      </c>
      <c r="E4433" s="2">
        <v>0.19309999999999999</v>
      </c>
      <c r="F4433" s="2">
        <v>0.14430000000000001</v>
      </c>
      <c r="G4433">
        <v>2004</v>
      </c>
    </row>
    <row r="4435" spans="1:7" x14ac:dyDescent="0.35">
      <c r="A4435" s="1" t="s">
        <v>1382</v>
      </c>
    </row>
    <row r="4436" spans="1:7" x14ac:dyDescent="0.35">
      <c r="A4436" t="s">
        <v>219</v>
      </c>
      <c r="B4436" t="s">
        <v>301</v>
      </c>
      <c r="C4436" t="s">
        <v>1345</v>
      </c>
      <c r="D4436" t="s">
        <v>1346</v>
      </c>
      <c r="E4436" t="s">
        <v>1347</v>
      </c>
      <c r="F4436" t="s">
        <v>1348</v>
      </c>
      <c r="G4436" t="s">
        <v>226</v>
      </c>
    </row>
    <row r="4437" spans="1:7" x14ac:dyDescent="0.35">
      <c r="A4437" t="s">
        <v>227</v>
      </c>
      <c r="B4437" t="s">
        <v>334</v>
      </c>
      <c r="C4437" s="2">
        <v>0.39650000000000002</v>
      </c>
      <c r="D4437" s="2">
        <v>0.20480000000000001</v>
      </c>
      <c r="E4437" s="2">
        <v>0.20710000000000001</v>
      </c>
      <c r="F4437" s="2">
        <v>0.19159999999999999</v>
      </c>
      <c r="G4437">
        <v>417</v>
      </c>
    </row>
    <row r="4438" spans="1:7" x14ac:dyDescent="0.35">
      <c r="A4438" t="s">
        <v>227</v>
      </c>
      <c r="B4438" t="s">
        <v>335</v>
      </c>
      <c r="C4438" s="2">
        <v>0.44440000000000002</v>
      </c>
      <c r="D4438" s="2">
        <v>0.2324</v>
      </c>
      <c r="E4438" s="2">
        <v>0.14879999999999999</v>
      </c>
      <c r="F4438" s="2">
        <v>0.1744</v>
      </c>
      <c r="G4438">
        <v>487</v>
      </c>
    </row>
    <row r="4439" spans="1:7" x14ac:dyDescent="0.35">
      <c r="A4439" t="s">
        <v>227</v>
      </c>
      <c r="B4439" t="s">
        <v>336</v>
      </c>
      <c r="C4439" s="2">
        <v>0.47670000000000001</v>
      </c>
      <c r="D4439" s="2">
        <v>0.21479999999999999</v>
      </c>
      <c r="E4439" s="2">
        <v>0.2447</v>
      </c>
      <c r="F4439" s="2">
        <v>6.3899999999999998E-2</v>
      </c>
      <c r="G4439">
        <v>427</v>
      </c>
    </row>
    <row r="4440" spans="1:7" x14ac:dyDescent="0.35">
      <c r="A4440" t="s">
        <v>227</v>
      </c>
      <c r="B4440" t="s">
        <v>337</v>
      </c>
      <c r="C4440" s="2">
        <v>0.42709999999999998</v>
      </c>
      <c r="D4440" s="2">
        <v>0.20480000000000001</v>
      </c>
      <c r="E4440" s="2">
        <v>0.23119999999999999</v>
      </c>
      <c r="F4440" s="2">
        <v>0.13689999999999999</v>
      </c>
      <c r="G4440">
        <v>439</v>
      </c>
    </row>
    <row r="4441" spans="1:7" x14ac:dyDescent="0.35">
      <c r="A4441" t="s">
        <v>228</v>
      </c>
      <c r="B4441" t="s">
        <v>228</v>
      </c>
      <c r="C4441" s="2">
        <v>0.4476</v>
      </c>
      <c r="D4441" s="2">
        <v>0.215</v>
      </c>
      <c r="E4441" s="2">
        <v>0.19309999999999999</v>
      </c>
      <c r="F4441" s="2">
        <v>0.14430000000000001</v>
      </c>
      <c r="G4441">
        <v>1770</v>
      </c>
    </row>
    <row r="4443" spans="1:7" x14ac:dyDescent="0.35">
      <c r="A4443" s="1" t="s">
        <v>1383</v>
      </c>
    </row>
    <row r="4444" spans="1:7" x14ac:dyDescent="0.35">
      <c r="A4444" t="s">
        <v>219</v>
      </c>
      <c r="B4444" t="s">
        <v>301</v>
      </c>
      <c r="C4444" t="s">
        <v>1345</v>
      </c>
      <c r="D4444" t="s">
        <v>1346</v>
      </c>
      <c r="E4444" t="s">
        <v>1347</v>
      </c>
      <c r="F4444" t="s">
        <v>1348</v>
      </c>
      <c r="G4444" t="s">
        <v>226</v>
      </c>
    </row>
    <row r="4445" spans="1:7" x14ac:dyDescent="0.35">
      <c r="A4445" t="s">
        <v>227</v>
      </c>
      <c r="B4445" t="s">
        <v>263</v>
      </c>
      <c r="C4445" s="2">
        <v>0.45939999999999998</v>
      </c>
      <c r="D4445" s="2">
        <v>0.20349999999999999</v>
      </c>
      <c r="E4445" s="2">
        <v>0.21840000000000001</v>
      </c>
      <c r="F4445" s="2">
        <v>0.1186</v>
      </c>
      <c r="G4445">
        <v>422</v>
      </c>
    </row>
    <row r="4446" spans="1:7" x14ac:dyDescent="0.35">
      <c r="A4446" t="s">
        <v>227</v>
      </c>
      <c r="B4446" t="s">
        <v>262</v>
      </c>
      <c r="C4446" s="2">
        <v>0.4073</v>
      </c>
      <c r="D4446" s="2">
        <v>0.2475</v>
      </c>
      <c r="E4446" s="2">
        <v>0.1903</v>
      </c>
      <c r="F4446" s="2">
        <v>0.15490000000000001</v>
      </c>
      <c r="G4446">
        <v>834</v>
      </c>
    </row>
    <row r="4447" spans="1:7" x14ac:dyDescent="0.35">
      <c r="A4447" t="s">
        <v>227</v>
      </c>
      <c r="B4447" t="s">
        <v>261</v>
      </c>
      <c r="C4447" s="2">
        <v>0.47210000000000002</v>
      </c>
      <c r="D4447" s="2">
        <v>0.19489999999999999</v>
      </c>
      <c r="E4447" s="2">
        <v>0.1852</v>
      </c>
      <c r="F4447" s="2">
        <v>0.14779999999999999</v>
      </c>
      <c r="G4447">
        <v>746</v>
      </c>
    </row>
    <row r="4448" spans="1:7" x14ac:dyDescent="0.35">
      <c r="A4448" s="3" t="s">
        <v>227</v>
      </c>
      <c r="B4448" s="3" t="s">
        <v>232</v>
      </c>
      <c r="C4448" s="4">
        <v>1</v>
      </c>
      <c r="D4448" s="5"/>
      <c r="E4448" s="5"/>
      <c r="F4448" s="5"/>
      <c r="G4448" s="5" t="s">
        <v>434</v>
      </c>
    </row>
    <row r="4449" spans="1:7" x14ac:dyDescent="0.35">
      <c r="A4449" t="s">
        <v>228</v>
      </c>
      <c r="B4449" t="s">
        <v>228</v>
      </c>
      <c r="C4449" s="2">
        <v>0.4476</v>
      </c>
      <c r="D4449" s="2">
        <v>0.215</v>
      </c>
      <c r="E4449" s="2">
        <v>0.19309999999999999</v>
      </c>
      <c r="F4449" s="2">
        <v>0.14430000000000001</v>
      </c>
      <c r="G4449">
        <v>2004</v>
      </c>
    </row>
    <row r="4451" spans="1:7" x14ac:dyDescent="0.35">
      <c r="A4451" s="1" t="s">
        <v>1384</v>
      </c>
    </row>
    <row r="4452" spans="1:7" x14ac:dyDescent="0.35">
      <c r="A4452" t="s">
        <v>219</v>
      </c>
      <c r="B4452" t="s">
        <v>301</v>
      </c>
      <c r="C4452" t="s">
        <v>1345</v>
      </c>
      <c r="D4452" t="s">
        <v>1346</v>
      </c>
      <c r="E4452" t="s">
        <v>1347</v>
      </c>
      <c r="F4452" t="s">
        <v>1348</v>
      </c>
      <c r="G4452" t="s">
        <v>226</v>
      </c>
    </row>
    <row r="4453" spans="1:7" x14ac:dyDescent="0.35">
      <c r="A4453" t="s">
        <v>227</v>
      </c>
      <c r="B4453" t="s">
        <v>248</v>
      </c>
      <c r="C4453" s="2">
        <v>0.48420000000000002</v>
      </c>
      <c r="D4453" s="2">
        <v>0.18410000000000001</v>
      </c>
      <c r="E4453" s="2">
        <v>0.2099</v>
      </c>
      <c r="F4453" s="2">
        <v>0.12180000000000001</v>
      </c>
      <c r="G4453">
        <v>525</v>
      </c>
    </row>
    <row r="4454" spans="1:7" x14ac:dyDescent="0.35">
      <c r="A4454" t="s">
        <v>227</v>
      </c>
      <c r="B4454" t="s">
        <v>249</v>
      </c>
      <c r="C4454" s="2">
        <v>0.45</v>
      </c>
      <c r="D4454" s="2">
        <v>0.19839999999999999</v>
      </c>
      <c r="E4454" s="2">
        <v>0.1981</v>
      </c>
      <c r="F4454" s="2">
        <v>0.1535</v>
      </c>
      <c r="G4454">
        <v>390</v>
      </c>
    </row>
    <row r="4455" spans="1:7" x14ac:dyDescent="0.35">
      <c r="A4455" t="s">
        <v>227</v>
      </c>
      <c r="B4455" t="s">
        <v>247</v>
      </c>
      <c r="C4455" s="2">
        <v>0.43219999999999997</v>
      </c>
      <c r="D4455" s="2">
        <v>0.2329</v>
      </c>
      <c r="E4455" s="2">
        <v>0.18479999999999999</v>
      </c>
      <c r="F4455" s="2">
        <v>0.15</v>
      </c>
      <c r="G4455">
        <v>1089</v>
      </c>
    </row>
    <row r="4456" spans="1:7" x14ac:dyDescent="0.35">
      <c r="A4456" t="s">
        <v>228</v>
      </c>
      <c r="B4456" t="s">
        <v>228</v>
      </c>
      <c r="C4456" s="2">
        <v>0.4476</v>
      </c>
      <c r="D4456" s="2">
        <v>0.215</v>
      </c>
      <c r="E4456" s="2">
        <v>0.19309999999999999</v>
      </c>
      <c r="F4456" s="2">
        <v>0.14430000000000001</v>
      </c>
      <c r="G4456">
        <v>2004</v>
      </c>
    </row>
    <row r="4458" spans="1:7" x14ac:dyDescent="0.35">
      <c r="A4458" s="1" t="s">
        <v>1385</v>
      </c>
    </row>
    <row r="4459" spans="1:7" x14ac:dyDescent="0.35">
      <c r="A4459" t="s">
        <v>219</v>
      </c>
      <c r="B4459" t="s">
        <v>301</v>
      </c>
      <c r="C4459" t="s">
        <v>1345</v>
      </c>
      <c r="D4459" t="s">
        <v>1346</v>
      </c>
      <c r="E4459" t="s">
        <v>1347</v>
      </c>
      <c r="F4459" t="s">
        <v>1348</v>
      </c>
      <c r="G4459" t="s">
        <v>226</v>
      </c>
    </row>
    <row r="4460" spans="1:7" x14ac:dyDescent="0.35">
      <c r="A4460" t="s">
        <v>227</v>
      </c>
      <c r="B4460" t="s">
        <v>245</v>
      </c>
      <c r="C4460" s="2">
        <v>0.44579999999999997</v>
      </c>
      <c r="D4460" s="2">
        <v>0.2515</v>
      </c>
      <c r="E4460" s="2">
        <v>0.18729999999999999</v>
      </c>
      <c r="F4460" s="2">
        <v>0.1154</v>
      </c>
      <c r="G4460">
        <v>573</v>
      </c>
    </row>
    <row r="4461" spans="1:7" x14ac:dyDescent="0.35">
      <c r="A4461" t="s">
        <v>227</v>
      </c>
      <c r="B4461" t="s">
        <v>244</v>
      </c>
      <c r="C4461" s="2">
        <v>0.44829999999999998</v>
      </c>
      <c r="D4461" s="2">
        <v>0.19919999999999999</v>
      </c>
      <c r="E4461" s="2">
        <v>0.19570000000000001</v>
      </c>
      <c r="F4461" s="2">
        <v>0.15679999999999999</v>
      </c>
      <c r="G4461">
        <v>1431</v>
      </c>
    </row>
    <row r="4462" spans="1:7" x14ac:dyDescent="0.35">
      <c r="A4462" t="s">
        <v>228</v>
      </c>
      <c r="B4462" t="s">
        <v>228</v>
      </c>
      <c r="C4462" s="2">
        <v>0.4476</v>
      </c>
      <c r="D4462" s="2">
        <v>0.215</v>
      </c>
      <c r="E4462" s="2">
        <v>0.19309999999999999</v>
      </c>
      <c r="F4462" s="2">
        <v>0.14430000000000001</v>
      </c>
      <c r="G4462">
        <v>2004</v>
      </c>
    </row>
    <row r="4464" spans="1:7" x14ac:dyDescent="0.35">
      <c r="A4464" s="1" t="s">
        <v>1386</v>
      </c>
    </row>
    <row r="4465" spans="1:7" x14ac:dyDescent="0.35">
      <c r="A4465" t="s">
        <v>219</v>
      </c>
      <c r="B4465" t="s">
        <v>301</v>
      </c>
      <c r="C4465" t="s">
        <v>1345</v>
      </c>
      <c r="D4465" t="s">
        <v>1346</v>
      </c>
      <c r="E4465" t="s">
        <v>1347</v>
      </c>
      <c r="F4465" t="s">
        <v>1348</v>
      </c>
      <c r="G4465" t="s">
        <v>226</v>
      </c>
    </row>
    <row r="4466" spans="1:7" x14ac:dyDescent="0.35">
      <c r="A4466" t="s">
        <v>227</v>
      </c>
      <c r="B4466" t="s">
        <v>259</v>
      </c>
      <c r="C4466" s="2">
        <v>0.53990000000000005</v>
      </c>
      <c r="D4466" s="2">
        <v>0.114</v>
      </c>
      <c r="E4466" s="2">
        <v>0.18290000000000001</v>
      </c>
      <c r="F4466" s="2">
        <v>0.16320000000000001</v>
      </c>
      <c r="G4466">
        <v>58</v>
      </c>
    </row>
    <row r="4467" spans="1:7" x14ac:dyDescent="0.35">
      <c r="A4467" t="s">
        <v>227</v>
      </c>
      <c r="B4467" t="s">
        <v>257</v>
      </c>
      <c r="C4467" s="2">
        <v>0.4491</v>
      </c>
      <c r="D4467" s="2">
        <v>0.22739999999999999</v>
      </c>
      <c r="E4467" s="2">
        <v>0.19600000000000001</v>
      </c>
      <c r="F4467" s="2">
        <v>0.12759999999999999</v>
      </c>
      <c r="G4467">
        <v>285</v>
      </c>
    </row>
    <row r="4468" spans="1:7" x14ac:dyDescent="0.35">
      <c r="A4468" t="s">
        <v>227</v>
      </c>
      <c r="B4468" t="s">
        <v>256</v>
      </c>
      <c r="C4468" s="2">
        <v>0.38750000000000001</v>
      </c>
      <c r="D4468" s="2">
        <v>0.20030000000000001</v>
      </c>
      <c r="E4468" s="2">
        <v>0.2281</v>
      </c>
      <c r="F4468" s="2">
        <v>0.18410000000000001</v>
      </c>
      <c r="G4468">
        <v>1209</v>
      </c>
    </row>
    <row r="4469" spans="1:7" x14ac:dyDescent="0.35">
      <c r="A4469" s="3" t="s">
        <v>227</v>
      </c>
      <c r="B4469" s="3" t="s">
        <v>232</v>
      </c>
      <c r="C4469" s="4">
        <v>0.63590000000000002</v>
      </c>
      <c r="D4469" s="4">
        <v>0.36409999999999998</v>
      </c>
      <c r="E4469" s="5"/>
      <c r="F4469" s="5"/>
      <c r="G4469" s="5" t="s">
        <v>515</v>
      </c>
    </row>
    <row r="4470" spans="1:7" x14ac:dyDescent="0.35">
      <c r="A4470" t="s">
        <v>227</v>
      </c>
      <c r="B4470" t="s">
        <v>258</v>
      </c>
      <c r="C4470" s="2">
        <v>0.60860000000000003</v>
      </c>
      <c r="D4470" s="2">
        <v>0.25729999999999997</v>
      </c>
      <c r="E4470" s="2">
        <v>9.2200000000000004E-2</v>
      </c>
      <c r="F4470" s="2">
        <v>4.19E-2</v>
      </c>
      <c r="G4470">
        <v>443</v>
      </c>
    </row>
    <row r="4471" spans="1:7" x14ac:dyDescent="0.35">
      <c r="A4471" t="s">
        <v>228</v>
      </c>
      <c r="B4471" t="s">
        <v>228</v>
      </c>
      <c r="C4471" s="2">
        <v>0.4476</v>
      </c>
      <c r="D4471" s="2">
        <v>0.215</v>
      </c>
      <c r="E4471" s="2">
        <v>0.19309999999999999</v>
      </c>
      <c r="F4471" s="2">
        <v>0.14430000000000001</v>
      </c>
      <c r="G4471">
        <v>2004</v>
      </c>
    </row>
    <row r="4473" spans="1:7" x14ac:dyDescent="0.35">
      <c r="A4473" s="1" t="s">
        <v>1387</v>
      </c>
    </row>
    <row r="4474" spans="1:7" x14ac:dyDescent="0.35">
      <c r="A4474" t="s">
        <v>219</v>
      </c>
      <c r="B4474" t="s">
        <v>301</v>
      </c>
      <c r="C4474" t="s">
        <v>1345</v>
      </c>
      <c r="D4474" t="s">
        <v>1346</v>
      </c>
      <c r="E4474" t="s">
        <v>1347</v>
      </c>
      <c r="F4474" t="s">
        <v>1348</v>
      </c>
      <c r="G4474" t="s">
        <v>226</v>
      </c>
    </row>
    <row r="4475" spans="1:7" x14ac:dyDescent="0.35">
      <c r="A4475" t="s">
        <v>227</v>
      </c>
      <c r="B4475" t="s">
        <v>343</v>
      </c>
      <c r="C4475" s="2">
        <v>0.4491</v>
      </c>
      <c r="D4475" s="2">
        <v>0.22739999999999999</v>
      </c>
      <c r="E4475" s="2">
        <v>0.19600000000000001</v>
      </c>
      <c r="F4475" s="2">
        <v>0.12759999999999999</v>
      </c>
      <c r="G4475">
        <v>285</v>
      </c>
    </row>
    <row r="4476" spans="1:7" x14ac:dyDescent="0.35">
      <c r="A4476" t="s">
        <v>227</v>
      </c>
      <c r="B4476" t="s">
        <v>344</v>
      </c>
      <c r="C4476" s="2">
        <v>0.44719999999999999</v>
      </c>
      <c r="D4476" s="2">
        <v>0.21249999999999999</v>
      </c>
      <c r="E4476" s="2">
        <v>0.1925</v>
      </c>
      <c r="F4476" s="2">
        <v>0.1477</v>
      </c>
      <c r="G4476">
        <v>1719</v>
      </c>
    </row>
    <row r="4477" spans="1:7" x14ac:dyDescent="0.35">
      <c r="A4477" t="s">
        <v>228</v>
      </c>
      <c r="B4477" t="s">
        <v>228</v>
      </c>
      <c r="C4477" s="2">
        <v>0.4476</v>
      </c>
      <c r="D4477" s="2">
        <v>0.215</v>
      </c>
      <c r="E4477" s="2">
        <v>0.19309999999999999</v>
      </c>
      <c r="F4477" s="2">
        <v>0.14430000000000001</v>
      </c>
      <c r="G4477">
        <v>2004</v>
      </c>
    </row>
    <row r="4479" spans="1:7" x14ac:dyDescent="0.35">
      <c r="A4479" s="1" t="s">
        <v>1388</v>
      </c>
    </row>
    <row r="4480" spans="1:7" x14ac:dyDescent="0.35">
      <c r="A4480" t="s">
        <v>219</v>
      </c>
      <c r="B4480" t="s">
        <v>301</v>
      </c>
      <c r="C4480" t="s">
        <v>1345</v>
      </c>
      <c r="D4480" t="s">
        <v>1346</v>
      </c>
      <c r="E4480" t="s">
        <v>1347</v>
      </c>
      <c r="F4480" t="s">
        <v>1348</v>
      </c>
      <c r="G4480" t="s">
        <v>226</v>
      </c>
    </row>
    <row r="4481" spans="1:7" x14ac:dyDescent="0.35">
      <c r="A4481" t="s">
        <v>227</v>
      </c>
      <c r="B4481" t="s">
        <v>346</v>
      </c>
      <c r="C4481" s="2">
        <v>0.39660000000000001</v>
      </c>
      <c r="D4481" s="2">
        <v>0.21379999999999999</v>
      </c>
      <c r="E4481" s="2">
        <v>0.21820000000000001</v>
      </c>
      <c r="F4481" s="2">
        <v>0.1714</v>
      </c>
      <c r="G4481">
        <v>903</v>
      </c>
    </row>
    <row r="4482" spans="1:7" x14ac:dyDescent="0.35">
      <c r="A4482" t="s">
        <v>227</v>
      </c>
      <c r="B4482" t="s">
        <v>347</v>
      </c>
      <c r="C4482" s="2">
        <v>0.72819999999999996</v>
      </c>
      <c r="D4482" s="2">
        <v>0.1711</v>
      </c>
      <c r="E4482" s="2">
        <v>6.8199999999999997E-2</v>
      </c>
      <c r="F4482" s="2">
        <v>3.2500000000000001E-2</v>
      </c>
      <c r="G4482">
        <v>493</v>
      </c>
    </row>
    <row r="4483" spans="1:7" x14ac:dyDescent="0.35">
      <c r="A4483" t="s">
        <v>227</v>
      </c>
      <c r="B4483" t="s">
        <v>348</v>
      </c>
      <c r="C4483" s="2">
        <v>0.62509999999999999</v>
      </c>
      <c r="D4483" s="2">
        <v>0.2389</v>
      </c>
      <c r="E4483" s="2">
        <v>0.1004</v>
      </c>
      <c r="F4483" s="2">
        <v>3.5499999999999997E-2</v>
      </c>
      <c r="G4483">
        <v>608</v>
      </c>
    </row>
    <row r="4484" spans="1:7" x14ac:dyDescent="0.35">
      <c r="A4484" t="s">
        <v>228</v>
      </c>
      <c r="B4484" t="s">
        <v>228</v>
      </c>
      <c r="C4484" s="2">
        <v>0.4476</v>
      </c>
      <c r="D4484" s="2">
        <v>0.215</v>
      </c>
      <c r="E4484" s="2">
        <v>0.19309999999999999</v>
      </c>
      <c r="F4484" s="2">
        <v>0.14430000000000001</v>
      </c>
      <c r="G4484">
        <v>2004</v>
      </c>
    </row>
    <row r="4486" spans="1:7" x14ac:dyDescent="0.35">
      <c r="A4486" s="1" t="s">
        <v>1389</v>
      </c>
    </row>
    <row r="4487" spans="1:7" x14ac:dyDescent="0.35">
      <c r="A4487" t="s">
        <v>219</v>
      </c>
      <c r="B4487" t="s">
        <v>301</v>
      </c>
      <c r="C4487" t="s">
        <v>1345</v>
      </c>
      <c r="D4487" t="s">
        <v>1346</v>
      </c>
      <c r="E4487" t="s">
        <v>1347</v>
      </c>
      <c r="F4487" t="s">
        <v>1348</v>
      </c>
      <c r="G4487" t="s">
        <v>226</v>
      </c>
    </row>
    <row r="4488" spans="1:7" x14ac:dyDescent="0.35">
      <c r="A4488" t="s">
        <v>227</v>
      </c>
      <c r="B4488" t="s">
        <v>251</v>
      </c>
      <c r="C4488" s="2">
        <v>0.44829999999999998</v>
      </c>
      <c r="D4488" s="2">
        <v>0.19919999999999999</v>
      </c>
      <c r="E4488" s="2">
        <v>0.19570000000000001</v>
      </c>
      <c r="F4488" s="2">
        <v>0.15679999999999999</v>
      </c>
      <c r="G4488">
        <v>1431</v>
      </c>
    </row>
    <row r="4489" spans="1:7" x14ac:dyDescent="0.35">
      <c r="A4489" t="s">
        <v>227</v>
      </c>
      <c r="B4489" t="s">
        <v>252</v>
      </c>
      <c r="C4489" s="2">
        <v>0.44800000000000001</v>
      </c>
      <c r="D4489" s="2">
        <v>0.2382</v>
      </c>
      <c r="E4489" s="2">
        <v>0.1883</v>
      </c>
      <c r="F4489" s="2">
        <v>0.1255</v>
      </c>
      <c r="G4489">
        <v>452</v>
      </c>
    </row>
    <row r="4490" spans="1:7" x14ac:dyDescent="0.35">
      <c r="A4490" t="s">
        <v>227</v>
      </c>
      <c r="B4490" t="s">
        <v>253</v>
      </c>
      <c r="C4490" s="2">
        <v>0.42559999999999998</v>
      </c>
      <c r="D4490" s="2">
        <v>0.32319999999999999</v>
      </c>
      <c r="E4490" s="2">
        <v>0.18559999999999999</v>
      </c>
      <c r="F4490" s="2">
        <v>6.5699999999999995E-2</v>
      </c>
      <c r="G4490">
        <v>114</v>
      </c>
    </row>
    <row r="4491" spans="1:7" x14ac:dyDescent="0.35">
      <c r="A4491" s="3" t="s">
        <v>227</v>
      </c>
      <c r="B4491" s="3" t="s">
        <v>254</v>
      </c>
      <c r="C4491" s="4">
        <v>0.79390000000000005</v>
      </c>
      <c r="D4491" s="4">
        <v>0.12670000000000001</v>
      </c>
      <c r="E4491" s="4">
        <v>4.0300000000000002E-2</v>
      </c>
      <c r="F4491" s="4">
        <v>3.9E-2</v>
      </c>
      <c r="G4491" s="5" t="s">
        <v>366</v>
      </c>
    </row>
    <row r="4492" spans="1:7" x14ac:dyDescent="0.35">
      <c r="A4492" t="s">
        <v>228</v>
      </c>
      <c r="B4492" t="s">
        <v>228</v>
      </c>
      <c r="C4492" s="2">
        <v>0.4476</v>
      </c>
      <c r="D4492" s="2">
        <v>0.215</v>
      </c>
      <c r="E4492" s="2">
        <v>0.19309999999999999</v>
      </c>
      <c r="F4492" s="2">
        <v>0.14430000000000001</v>
      </c>
      <c r="G4492">
        <v>2004</v>
      </c>
    </row>
    <row r="4494" spans="1:7" x14ac:dyDescent="0.35">
      <c r="A4494" s="1" t="s">
        <v>1390</v>
      </c>
    </row>
    <row r="4495" spans="1:7" x14ac:dyDescent="0.35">
      <c r="A4495" t="s">
        <v>219</v>
      </c>
      <c r="B4495" t="s">
        <v>301</v>
      </c>
      <c r="C4495" t="s">
        <v>1345</v>
      </c>
      <c r="D4495" t="s">
        <v>1346</v>
      </c>
      <c r="E4495" t="s">
        <v>1347</v>
      </c>
      <c r="F4495" t="s">
        <v>1348</v>
      </c>
      <c r="G4495" t="s">
        <v>226</v>
      </c>
    </row>
    <row r="4496" spans="1:7" x14ac:dyDescent="0.35">
      <c r="A4496" t="s">
        <v>227</v>
      </c>
      <c r="B4496" t="s">
        <v>1335</v>
      </c>
      <c r="C4496" s="2">
        <v>0.4536</v>
      </c>
      <c r="D4496" s="2">
        <v>0.17269999999999999</v>
      </c>
      <c r="E4496" s="2">
        <v>0.21940000000000001</v>
      </c>
      <c r="F4496" s="2">
        <v>0.1542</v>
      </c>
      <c r="G4496">
        <v>588</v>
      </c>
    </row>
    <row r="4497" spans="1:8" x14ac:dyDescent="0.35">
      <c r="A4497" s="3" t="s">
        <v>227</v>
      </c>
      <c r="B4497" s="3" t="s">
        <v>1336</v>
      </c>
      <c r="C4497" s="4">
        <v>1</v>
      </c>
      <c r="D4497" s="5"/>
      <c r="E4497" s="5"/>
      <c r="F4497" s="5"/>
      <c r="G4497" s="5" t="s">
        <v>323</v>
      </c>
    </row>
    <row r="4498" spans="1:8" x14ac:dyDescent="0.35">
      <c r="A4498" t="s">
        <v>227</v>
      </c>
      <c r="B4498" t="s">
        <v>1337</v>
      </c>
      <c r="C4498" s="2">
        <v>0.44369999999999998</v>
      </c>
      <c r="D4498" s="2">
        <v>0.2356</v>
      </c>
      <c r="E4498" s="2">
        <v>0.18090000000000001</v>
      </c>
      <c r="F4498" s="2">
        <v>0.13980000000000001</v>
      </c>
      <c r="G4498">
        <v>1415</v>
      </c>
    </row>
    <row r="4499" spans="1:8" x14ac:dyDescent="0.35">
      <c r="A4499" t="s">
        <v>228</v>
      </c>
      <c r="B4499" t="s">
        <v>228</v>
      </c>
      <c r="C4499" s="2">
        <v>0.4476</v>
      </c>
      <c r="D4499" s="2">
        <v>0.215</v>
      </c>
      <c r="E4499" s="2">
        <v>0.19309999999999999</v>
      </c>
      <c r="F4499" s="2">
        <v>0.14430000000000001</v>
      </c>
      <c r="G4499">
        <v>2004</v>
      </c>
    </row>
    <row r="4501" spans="1:8" x14ac:dyDescent="0.35">
      <c r="A4501" s="1" t="s">
        <v>1391</v>
      </c>
    </row>
    <row r="4502" spans="1:8" x14ac:dyDescent="0.35">
      <c r="A4502" t="s">
        <v>219</v>
      </c>
      <c r="B4502" t="s">
        <v>301</v>
      </c>
      <c r="C4502" t="s">
        <v>1345</v>
      </c>
      <c r="D4502" t="s">
        <v>1346</v>
      </c>
      <c r="E4502" t="s">
        <v>1347</v>
      </c>
      <c r="F4502" t="s">
        <v>1348</v>
      </c>
      <c r="G4502" t="s">
        <v>226</v>
      </c>
    </row>
    <row r="4503" spans="1:8" x14ac:dyDescent="0.35">
      <c r="A4503" t="s">
        <v>227</v>
      </c>
      <c r="B4503" t="s">
        <v>1339</v>
      </c>
      <c r="C4503" s="2">
        <v>0.31859999999999999</v>
      </c>
      <c r="D4503" s="2">
        <v>0.3901</v>
      </c>
      <c r="E4503" s="2">
        <v>0.18490000000000001</v>
      </c>
      <c r="F4503" s="2">
        <v>0.1065</v>
      </c>
      <c r="G4503">
        <v>37</v>
      </c>
    </row>
    <row r="4504" spans="1:8" x14ac:dyDescent="0.35">
      <c r="A4504" t="s">
        <v>227</v>
      </c>
      <c r="B4504" t="s">
        <v>1340</v>
      </c>
      <c r="C4504" s="2">
        <v>0.4496</v>
      </c>
      <c r="D4504" s="2">
        <v>0.25669999999999998</v>
      </c>
      <c r="E4504" s="2">
        <v>0.1845</v>
      </c>
      <c r="F4504" s="2">
        <v>0.10920000000000001</v>
      </c>
      <c r="G4504">
        <v>543</v>
      </c>
    </row>
    <row r="4505" spans="1:8" x14ac:dyDescent="0.35">
      <c r="A4505" t="s">
        <v>227</v>
      </c>
      <c r="B4505" t="s">
        <v>1341</v>
      </c>
      <c r="C4505" s="2">
        <v>0.44069999999999998</v>
      </c>
      <c r="D4505" s="2">
        <v>0.1956</v>
      </c>
      <c r="E4505" s="2">
        <v>0.1961</v>
      </c>
      <c r="F4505" s="2">
        <v>0.16750000000000001</v>
      </c>
      <c r="G4505">
        <v>987</v>
      </c>
    </row>
    <row r="4506" spans="1:8" x14ac:dyDescent="0.35">
      <c r="A4506" t="s">
        <v>227</v>
      </c>
      <c r="B4506" t="s">
        <v>1342</v>
      </c>
      <c r="C4506" s="2">
        <v>0.48020000000000002</v>
      </c>
      <c r="D4506" s="2">
        <v>0.1888</v>
      </c>
      <c r="E4506" s="2">
        <v>0.19769999999999999</v>
      </c>
      <c r="F4506" s="2">
        <v>0.1333</v>
      </c>
      <c r="G4506">
        <v>437</v>
      </c>
    </row>
    <row r="4507" spans="1:8" x14ac:dyDescent="0.35">
      <c r="A4507" t="s">
        <v>228</v>
      </c>
      <c r="B4507" t="s">
        <v>228</v>
      </c>
      <c r="C4507" s="2">
        <v>0.4476</v>
      </c>
      <c r="D4507" s="2">
        <v>0.215</v>
      </c>
      <c r="E4507" s="2">
        <v>0.19309999999999999</v>
      </c>
      <c r="F4507" s="2">
        <v>0.14430000000000001</v>
      </c>
      <c r="G4507">
        <v>2004</v>
      </c>
    </row>
    <row r="4509" spans="1:8" x14ac:dyDescent="0.35">
      <c r="A4509" s="1" t="s">
        <v>1392</v>
      </c>
    </row>
    <row r="4510" spans="1:8" x14ac:dyDescent="0.35">
      <c r="A4510" t="s">
        <v>219</v>
      </c>
      <c r="B4510" t="s">
        <v>301</v>
      </c>
      <c r="C4510" t="s">
        <v>325</v>
      </c>
      <c r="D4510" t="s">
        <v>1345</v>
      </c>
      <c r="E4510" t="s">
        <v>1346</v>
      </c>
      <c r="F4510" t="s">
        <v>1347</v>
      </c>
      <c r="G4510" t="s">
        <v>1348</v>
      </c>
      <c r="H4510" t="s">
        <v>226</v>
      </c>
    </row>
    <row r="4511" spans="1:8" x14ac:dyDescent="0.35">
      <c r="A4511" s="3" t="s">
        <v>227</v>
      </c>
      <c r="B4511" s="3" t="s">
        <v>1335</v>
      </c>
      <c r="C4511" s="3" t="s">
        <v>1339</v>
      </c>
      <c r="D4511" s="4">
        <v>0.29289999999999999</v>
      </c>
      <c r="E4511" s="4">
        <v>0.57110000000000005</v>
      </c>
      <c r="F4511" s="5"/>
      <c r="G4511" s="4">
        <v>0.13600000000000001</v>
      </c>
      <c r="H4511" s="5" t="s">
        <v>423</v>
      </c>
    </row>
    <row r="4512" spans="1:8" x14ac:dyDescent="0.35">
      <c r="A4512" t="s">
        <v>227</v>
      </c>
      <c r="B4512" t="s">
        <v>1335</v>
      </c>
      <c r="C4512" t="s">
        <v>1340</v>
      </c>
      <c r="D4512" s="2">
        <v>0.42199999999999999</v>
      </c>
      <c r="E4512" s="2">
        <v>0.23180000000000001</v>
      </c>
      <c r="F4512" s="2">
        <v>0.22900000000000001</v>
      </c>
      <c r="G4512" s="2">
        <v>0.1173</v>
      </c>
      <c r="H4512">
        <v>192</v>
      </c>
    </row>
    <row r="4513" spans="1:16" x14ac:dyDescent="0.35">
      <c r="A4513" t="s">
        <v>227</v>
      </c>
      <c r="B4513" t="s">
        <v>1335</v>
      </c>
      <c r="C4513" t="s">
        <v>1341</v>
      </c>
      <c r="D4513" s="2">
        <v>0.46010000000000001</v>
      </c>
      <c r="E4513" s="2">
        <v>0.15010000000000001</v>
      </c>
      <c r="F4513" s="2">
        <v>0.20580000000000001</v>
      </c>
      <c r="G4513" s="2">
        <v>0.184</v>
      </c>
      <c r="H4513">
        <v>293</v>
      </c>
    </row>
    <row r="4514" spans="1:16" x14ac:dyDescent="0.35">
      <c r="A4514" t="s">
        <v>227</v>
      </c>
      <c r="B4514" t="s">
        <v>1335</v>
      </c>
      <c r="C4514" t="s">
        <v>1342</v>
      </c>
      <c r="D4514" s="2">
        <v>0.5353</v>
      </c>
      <c r="E4514" s="2">
        <v>4.1599999999999998E-2</v>
      </c>
      <c r="F4514" s="2">
        <v>0.30109999999999998</v>
      </c>
      <c r="G4514" s="2">
        <v>0.1221</v>
      </c>
      <c r="H4514">
        <v>89</v>
      </c>
    </row>
    <row r="4515" spans="1:16" x14ac:dyDescent="0.35">
      <c r="A4515" s="3" t="s">
        <v>227</v>
      </c>
      <c r="B4515" s="3" t="s">
        <v>1336</v>
      </c>
      <c r="C4515" s="3" t="s">
        <v>1341</v>
      </c>
      <c r="D4515" s="4">
        <v>1</v>
      </c>
      <c r="E4515" s="5"/>
      <c r="F4515" s="5"/>
      <c r="G4515" s="5"/>
      <c r="H4515" s="5" t="s">
        <v>323</v>
      </c>
    </row>
    <row r="4516" spans="1:16" x14ac:dyDescent="0.35">
      <c r="A4516" s="3" t="s">
        <v>227</v>
      </c>
      <c r="B4516" s="3" t="s">
        <v>1337</v>
      </c>
      <c r="C4516" s="3" t="s">
        <v>1339</v>
      </c>
      <c r="D4516" s="4">
        <v>0.33450000000000002</v>
      </c>
      <c r="E4516" s="4">
        <v>0.27779999999999999</v>
      </c>
      <c r="F4516" s="4">
        <v>0.29959999999999998</v>
      </c>
      <c r="G4516" s="4">
        <v>8.8200000000000001E-2</v>
      </c>
      <c r="H4516" s="5" t="s">
        <v>418</v>
      </c>
    </row>
    <row r="4517" spans="1:16" x14ac:dyDescent="0.35">
      <c r="A4517" t="s">
        <v>227</v>
      </c>
      <c r="B4517" t="s">
        <v>1337</v>
      </c>
      <c r="C4517" t="s">
        <v>1340</v>
      </c>
      <c r="D4517" s="2">
        <v>0.46610000000000001</v>
      </c>
      <c r="E4517" s="2">
        <v>0.27150000000000002</v>
      </c>
      <c r="F4517" s="2">
        <v>0.158</v>
      </c>
      <c r="G4517" s="2">
        <v>0.10440000000000001</v>
      </c>
      <c r="H4517">
        <v>351</v>
      </c>
    </row>
    <row r="4518" spans="1:16" x14ac:dyDescent="0.35">
      <c r="A4518" t="s">
        <v>227</v>
      </c>
      <c r="B4518" t="s">
        <v>1337</v>
      </c>
      <c r="C4518" t="s">
        <v>1341</v>
      </c>
      <c r="D4518" s="2">
        <v>0.4294</v>
      </c>
      <c r="E4518" s="2">
        <v>0.21870000000000001</v>
      </c>
      <c r="F4518" s="2">
        <v>0.192</v>
      </c>
      <c r="G4518" s="2">
        <v>0.15989999999999999</v>
      </c>
      <c r="H4518">
        <v>693</v>
      </c>
    </row>
    <row r="4519" spans="1:16" x14ac:dyDescent="0.35">
      <c r="A4519" t="s">
        <v>227</v>
      </c>
      <c r="B4519" t="s">
        <v>1337</v>
      </c>
      <c r="C4519" t="s">
        <v>1342</v>
      </c>
      <c r="D4519" s="2">
        <v>0.4642</v>
      </c>
      <c r="E4519" s="2">
        <v>0.23150000000000001</v>
      </c>
      <c r="F4519" s="2">
        <v>0.1678</v>
      </c>
      <c r="G4519" s="2">
        <v>0.13650000000000001</v>
      </c>
      <c r="H4519">
        <v>348</v>
      </c>
    </row>
    <row r="4520" spans="1:16" x14ac:dyDescent="0.35">
      <c r="A4520" t="s">
        <v>228</v>
      </c>
      <c r="B4520" t="s">
        <v>228</v>
      </c>
      <c r="C4520" t="s">
        <v>228</v>
      </c>
      <c r="D4520" s="2">
        <v>0.4476</v>
      </c>
      <c r="E4520" s="2">
        <v>0.215</v>
      </c>
      <c r="F4520" s="2">
        <v>0.19309999999999999</v>
      </c>
      <c r="G4520" s="2">
        <v>0.14430000000000001</v>
      </c>
      <c r="H4520">
        <v>2004</v>
      </c>
    </row>
    <row r="4522" spans="1:16" x14ac:dyDescent="0.35">
      <c r="A4522" s="1" t="s">
        <v>1393</v>
      </c>
    </row>
    <row r="4523" spans="1:16" x14ac:dyDescent="0.35">
      <c r="A4523" t="s">
        <v>219</v>
      </c>
      <c r="B4523" t="s">
        <v>540</v>
      </c>
      <c r="C4523" t="s">
        <v>1394</v>
      </c>
      <c r="D4523" t="s">
        <v>277</v>
      </c>
      <c r="E4523" t="s">
        <v>1395</v>
      </c>
      <c r="F4523" t="s">
        <v>1396</v>
      </c>
      <c r="G4523" t="s">
        <v>1397</v>
      </c>
      <c r="H4523" t="s">
        <v>1398</v>
      </c>
      <c r="I4523" t="s">
        <v>1399</v>
      </c>
      <c r="J4523" t="s">
        <v>282</v>
      </c>
      <c r="K4523" t="s">
        <v>1400</v>
      </c>
      <c r="L4523" t="s">
        <v>1401</v>
      </c>
      <c r="M4523" t="s">
        <v>1402</v>
      </c>
      <c r="N4523" t="s">
        <v>318</v>
      </c>
      <c r="O4523" t="s">
        <v>226</v>
      </c>
    </row>
    <row r="4524" spans="1:16" x14ac:dyDescent="0.35">
      <c r="A4524" t="s">
        <v>227</v>
      </c>
      <c r="B4524" s="2">
        <v>0.91120000000000001</v>
      </c>
      <c r="C4524" s="2">
        <v>2.9899999999999999E-2</v>
      </c>
      <c r="D4524" s="2">
        <v>2.8400000000000002E-2</v>
      </c>
      <c r="E4524" s="2">
        <v>1.14E-2</v>
      </c>
      <c r="F4524" s="2">
        <v>9.7000000000000003E-3</v>
      </c>
      <c r="G4524" s="2">
        <v>7.7000000000000002E-3</v>
      </c>
      <c r="H4524" s="2">
        <v>5.1000000000000004E-3</v>
      </c>
      <c r="I4524" s="2">
        <v>4.1999999999999997E-3</v>
      </c>
      <c r="J4524" s="2">
        <v>3.5000000000000001E-3</v>
      </c>
      <c r="K4524" s="2">
        <v>1.6999999999999999E-3</v>
      </c>
      <c r="L4524" s="2">
        <v>8.9999999999999998E-4</v>
      </c>
      <c r="M4524" s="2">
        <v>5.9999999999999995E-4</v>
      </c>
      <c r="N4524" s="2">
        <v>4.0000000000000002E-4</v>
      </c>
      <c r="O4524">
        <v>2746</v>
      </c>
    </row>
    <row r="4525" spans="1:16" x14ac:dyDescent="0.35">
      <c r="A4525" t="s">
        <v>228</v>
      </c>
      <c r="B4525" s="2">
        <v>0.91120000000000001</v>
      </c>
      <c r="C4525" s="2">
        <v>2.9899999999999999E-2</v>
      </c>
      <c r="D4525" s="2">
        <v>2.8400000000000002E-2</v>
      </c>
      <c r="E4525" s="2">
        <v>1.14E-2</v>
      </c>
      <c r="F4525" s="2">
        <v>9.7000000000000003E-3</v>
      </c>
      <c r="G4525" s="2">
        <v>7.7000000000000002E-3</v>
      </c>
      <c r="H4525" s="2">
        <v>5.1000000000000004E-3</v>
      </c>
      <c r="I4525" s="2">
        <v>4.1999999999999997E-3</v>
      </c>
      <c r="J4525" s="2">
        <v>3.5000000000000001E-3</v>
      </c>
      <c r="K4525" s="2">
        <v>1.6999999999999999E-3</v>
      </c>
      <c r="L4525" s="2">
        <v>8.9999999999999998E-4</v>
      </c>
      <c r="M4525" s="2">
        <v>5.9999999999999995E-4</v>
      </c>
      <c r="N4525" s="2">
        <v>4.0000000000000002E-4</v>
      </c>
      <c r="O4525">
        <v>2746</v>
      </c>
    </row>
    <row r="4527" spans="1:16" x14ac:dyDescent="0.35">
      <c r="A4527" s="1" t="s">
        <v>1403</v>
      </c>
    </row>
    <row r="4528" spans="1:16" x14ac:dyDescent="0.35">
      <c r="A4528" t="s">
        <v>219</v>
      </c>
      <c r="B4528" t="s">
        <v>301</v>
      </c>
      <c r="C4528" t="s">
        <v>540</v>
      </c>
      <c r="D4528" t="s">
        <v>1394</v>
      </c>
      <c r="E4528" t="s">
        <v>277</v>
      </c>
      <c r="F4528" t="s">
        <v>1395</v>
      </c>
      <c r="G4528" t="s">
        <v>1396</v>
      </c>
      <c r="H4528" t="s">
        <v>1397</v>
      </c>
      <c r="I4528" t="s">
        <v>1398</v>
      </c>
      <c r="J4528" t="s">
        <v>1399</v>
      </c>
      <c r="K4528" t="s">
        <v>282</v>
      </c>
      <c r="L4528" t="s">
        <v>1400</v>
      </c>
      <c r="M4528" t="s">
        <v>1401</v>
      </c>
      <c r="N4528" t="s">
        <v>1402</v>
      </c>
      <c r="O4528" t="s">
        <v>318</v>
      </c>
      <c r="P4528" t="s">
        <v>226</v>
      </c>
    </row>
    <row r="4529" spans="1:16" x14ac:dyDescent="0.35">
      <c r="A4529" t="s">
        <v>227</v>
      </c>
      <c r="B4529" t="s">
        <v>238</v>
      </c>
      <c r="C4529" s="2">
        <v>0.90290000000000004</v>
      </c>
      <c r="D4529" s="2">
        <v>2.75E-2</v>
      </c>
      <c r="E4529" s="2">
        <v>4.2700000000000002E-2</v>
      </c>
      <c r="F4529" s="2">
        <v>9.1000000000000004E-3</v>
      </c>
      <c r="G4529" s="2">
        <v>4.8999999999999998E-3</v>
      </c>
      <c r="H4529" s="2">
        <v>2.8999999999999998E-3</v>
      </c>
      <c r="I4529" s="2">
        <v>4.0000000000000001E-3</v>
      </c>
      <c r="J4529" s="2">
        <v>5.1999999999999998E-3</v>
      </c>
      <c r="K4529" s="2">
        <v>7.3000000000000001E-3</v>
      </c>
      <c r="O4529" s="2">
        <v>1E-3</v>
      </c>
      <c r="P4529">
        <v>980</v>
      </c>
    </row>
    <row r="4530" spans="1:16" x14ac:dyDescent="0.35">
      <c r="A4530" t="s">
        <v>227</v>
      </c>
      <c r="B4530" t="s">
        <v>237</v>
      </c>
      <c r="C4530" s="2">
        <v>0.91610000000000003</v>
      </c>
      <c r="D4530" s="2">
        <v>3.1199999999999999E-2</v>
      </c>
      <c r="E4530" s="2">
        <v>2.01E-2</v>
      </c>
      <c r="F4530" s="2">
        <v>1.2800000000000001E-2</v>
      </c>
      <c r="G4530" s="2">
        <v>1.2500000000000001E-2</v>
      </c>
      <c r="H4530" s="2">
        <v>1.0500000000000001E-2</v>
      </c>
      <c r="I4530" s="2">
        <v>5.7999999999999996E-3</v>
      </c>
      <c r="J4530" s="2">
        <v>3.5999999999999999E-3</v>
      </c>
      <c r="K4530" s="2">
        <v>1.2999999999999999E-3</v>
      </c>
      <c r="L4530" s="2">
        <v>2.7000000000000001E-3</v>
      </c>
      <c r="M4530" s="2">
        <v>1.4E-3</v>
      </c>
      <c r="N4530" s="2">
        <v>8.9999999999999998E-4</v>
      </c>
      <c r="P4530">
        <v>1766</v>
      </c>
    </row>
    <row r="4531" spans="1:16" x14ac:dyDescent="0.35">
      <c r="A4531" t="s">
        <v>228</v>
      </c>
      <c r="B4531" t="s">
        <v>228</v>
      </c>
      <c r="C4531" s="2">
        <v>0.91120000000000001</v>
      </c>
      <c r="D4531" s="2">
        <v>2.9899999999999999E-2</v>
      </c>
      <c r="E4531" s="2">
        <v>2.8400000000000002E-2</v>
      </c>
      <c r="F4531" s="2">
        <v>1.14E-2</v>
      </c>
      <c r="G4531" s="2">
        <v>9.7000000000000003E-3</v>
      </c>
      <c r="H4531" s="2">
        <v>7.7000000000000002E-3</v>
      </c>
      <c r="I4531" s="2">
        <v>5.1000000000000004E-3</v>
      </c>
      <c r="J4531" s="2">
        <v>4.1999999999999997E-3</v>
      </c>
      <c r="K4531" s="2">
        <v>3.5000000000000001E-3</v>
      </c>
      <c r="L4531" s="2">
        <v>1.6999999999999999E-3</v>
      </c>
      <c r="M4531" s="2">
        <v>8.9999999999999998E-4</v>
      </c>
      <c r="N4531" s="2">
        <v>5.9999999999999995E-4</v>
      </c>
      <c r="O4531" s="2">
        <v>4.0000000000000002E-4</v>
      </c>
      <c r="P4531">
        <v>2746</v>
      </c>
    </row>
    <row r="4533" spans="1:16" x14ac:dyDescent="0.35">
      <c r="A4533" s="1" t="s">
        <v>1404</v>
      </c>
    </row>
    <row r="4534" spans="1:16" x14ac:dyDescent="0.35">
      <c r="A4534" t="s">
        <v>219</v>
      </c>
      <c r="B4534" t="s">
        <v>301</v>
      </c>
      <c r="C4534" t="s">
        <v>540</v>
      </c>
      <c r="D4534" t="s">
        <v>1394</v>
      </c>
      <c r="E4534" t="s">
        <v>277</v>
      </c>
      <c r="F4534" t="s">
        <v>1395</v>
      </c>
      <c r="G4534" t="s">
        <v>1396</v>
      </c>
      <c r="H4534" t="s">
        <v>1397</v>
      </c>
      <c r="I4534" t="s">
        <v>1398</v>
      </c>
      <c r="J4534" t="s">
        <v>1399</v>
      </c>
      <c r="K4534" t="s">
        <v>282</v>
      </c>
      <c r="L4534" t="s">
        <v>1400</v>
      </c>
      <c r="M4534" t="s">
        <v>1401</v>
      </c>
      <c r="N4534" t="s">
        <v>1402</v>
      </c>
      <c r="O4534" t="s">
        <v>318</v>
      </c>
      <c r="P4534" t="s">
        <v>226</v>
      </c>
    </row>
    <row r="4535" spans="1:16" x14ac:dyDescent="0.35">
      <c r="A4535" t="s">
        <v>227</v>
      </c>
      <c r="B4535" t="s">
        <v>235</v>
      </c>
      <c r="C4535" s="2">
        <v>0.91949999999999998</v>
      </c>
      <c r="D4535" s="2">
        <v>2.6800000000000001E-2</v>
      </c>
      <c r="E4535" s="2">
        <v>2.6200000000000001E-2</v>
      </c>
      <c r="F4535" s="2">
        <v>1.44E-2</v>
      </c>
      <c r="G4535" s="2">
        <v>1.01E-2</v>
      </c>
      <c r="H4535" s="2">
        <v>6.7999999999999996E-3</v>
      </c>
      <c r="I4535" s="2">
        <v>6.1999999999999998E-3</v>
      </c>
      <c r="J4535" s="2">
        <v>3.7000000000000002E-3</v>
      </c>
      <c r="K4535" s="2">
        <v>4.0000000000000002E-4</v>
      </c>
      <c r="L4535" s="2">
        <v>1.8E-3</v>
      </c>
      <c r="O4535" s="2">
        <v>5.0000000000000001E-4</v>
      </c>
      <c r="P4535">
        <v>975</v>
      </c>
    </row>
    <row r="4536" spans="1:16" x14ac:dyDescent="0.35">
      <c r="A4536" t="s">
        <v>227</v>
      </c>
      <c r="B4536" t="s">
        <v>234</v>
      </c>
      <c r="C4536" s="2">
        <v>0.90769999999999995</v>
      </c>
      <c r="D4536" s="2">
        <v>3.1099999999999999E-2</v>
      </c>
      <c r="E4536" s="2">
        <v>2.93E-2</v>
      </c>
      <c r="F4536" s="2">
        <v>1.0200000000000001E-2</v>
      </c>
      <c r="G4536" s="2">
        <v>9.5999999999999992E-3</v>
      </c>
      <c r="H4536" s="2">
        <v>8.0999999999999996E-3</v>
      </c>
      <c r="I4536" s="2">
        <v>4.5999999999999999E-3</v>
      </c>
      <c r="J4536" s="2">
        <v>4.4000000000000003E-3</v>
      </c>
      <c r="K4536" s="2">
        <v>4.8999999999999998E-3</v>
      </c>
      <c r="L4536" s="2">
        <v>1.6000000000000001E-3</v>
      </c>
      <c r="M4536" s="2">
        <v>1.1999999999999999E-3</v>
      </c>
      <c r="N4536" s="2">
        <v>8.0000000000000004E-4</v>
      </c>
      <c r="O4536" s="2">
        <v>2.9999999999999997E-4</v>
      </c>
      <c r="P4536">
        <v>1771</v>
      </c>
    </row>
    <row r="4537" spans="1:16" x14ac:dyDescent="0.35">
      <c r="A4537" t="s">
        <v>228</v>
      </c>
      <c r="B4537" t="s">
        <v>228</v>
      </c>
      <c r="C4537" s="2">
        <v>0.91120000000000001</v>
      </c>
      <c r="D4537" s="2">
        <v>2.9899999999999999E-2</v>
      </c>
      <c r="E4537" s="2">
        <v>2.8400000000000002E-2</v>
      </c>
      <c r="F4537" s="2">
        <v>1.14E-2</v>
      </c>
      <c r="G4537" s="2">
        <v>9.7000000000000003E-3</v>
      </c>
      <c r="H4537" s="2">
        <v>7.7000000000000002E-3</v>
      </c>
      <c r="I4537" s="2">
        <v>5.1000000000000004E-3</v>
      </c>
      <c r="J4537" s="2">
        <v>4.1999999999999997E-3</v>
      </c>
      <c r="K4537" s="2">
        <v>3.5000000000000001E-3</v>
      </c>
      <c r="L4537" s="2">
        <v>1.6999999999999999E-3</v>
      </c>
      <c r="M4537" s="2">
        <v>8.9999999999999998E-4</v>
      </c>
      <c r="N4537" s="2">
        <v>5.9999999999999995E-4</v>
      </c>
      <c r="O4537" s="2">
        <v>4.0000000000000002E-4</v>
      </c>
      <c r="P4537">
        <v>2746</v>
      </c>
    </row>
    <row r="4539" spans="1:16" x14ac:dyDescent="0.35">
      <c r="A4539" s="1" t="s">
        <v>1405</v>
      </c>
    </row>
    <row r="4540" spans="1:16" x14ac:dyDescent="0.35">
      <c r="A4540" t="s">
        <v>219</v>
      </c>
      <c r="B4540" t="s">
        <v>301</v>
      </c>
      <c r="C4540" t="s">
        <v>540</v>
      </c>
      <c r="D4540" t="s">
        <v>1394</v>
      </c>
      <c r="E4540" t="s">
        <v>277</v>
      </c>
      <c r="F4540" t="s">
        <v>1395</v>
      </c>
      <c r="G4540" t="s">
        <v>1396</v>
      </c>
      <c r="H4540" t="s">
        <v>1397</v>
      </c>
      <c r="I4540" t="s">
        <v>1398</v>
      </c>
      <c r="J4540" t="s">
        <v>1399</v>
      </c>
      <c r="K4540" t="s">
        <v>282</v>
      </c>
      <c r="L4540" t="s">
        <v>1400</v>
      </c>
      <c r="M4540" t="s">
        <v>1401</v>
      </c>
      <c r="N4540" t="s">
        <v>1402</v>
      </c>
      <c r="O4540" t="s">
        <v>318</v>
      </c>
      <c r="P4540" t="s">
        <v>226</v>
      </c>
    </row>
    <row r="4541" spans="1:16" x14ac:dyDescent="0.35">
      <c r="A4541" t="s">
        <v>227</v>
      </c>
      <c r="B4541" t="s">
        <v>240</v>
      </c>
      <c r="C4541" s="2">
        <v>0.92159999999999997</v>
      </c>
      <c r="D4541" s="2">
        <v>2.7E-2</v>
      </c>
      <c r="E4541" s="2">
        <v>1.7999999999999999E-2</v>
      </c>
      <c r="F4541" s="2">
        <v>1.3599999999999999E-2</v>
      </c>
      <c r="G4541" s="2">
        <v>1.01E-2</v>
      </c>
      <c r="H4541" s="2">
        <v>7.7000000000000002E-3</v>
      </c>
      <c r="I4541" s="2">
        <v>5.7999999999999996E-3</v>
      </c>
      <c r="J4541" s="2">
        <v>3.3999999999999998E-3</v>
      </c>
      <c r="K4541" s="2">
        <v>5.4999999999999997E-3</v>
      </c>
      <c r="L4541" s="2">
        <v>2.2000000000000001E-3</v>
      </c>
      <c r="M4541" s="2">
        <v>1.4E-3</v>
      </c>
      <c r="N4541" s="2">
        <v>5.0000000000000001E-4</v>
      </c>
      <c r="O4541" s="2">
        <v>2.9999999999999997E-4</v>
      </c>
      <c r="P4541">
        <v>1716</v>
      </c>
    </row>
    <row r="4542" spans="1:16" x14ac:dyDescent="0.35">
      <c r="A4542" t="s">
        <v>227</v>
      </c>
      <c r="B4542" t="s">
        <v>241</v>
      </c>
      <c r="C4542" s="2">
        <v>0.88060000000000005</v>
      </c>
      <c r="D4542" s="2">
        <v>4.0300000000000002E-2</v>
      </c>
      <c r="E4542" s="2">
        <v>5.3600000000000002E-2</v>
      </c>
      <c r="F4542" s="2">
        <v>8.2000000000000007E-3</v>
      </c>
      <c r="G4542" s="2">
        <v>1.0999999999999999E-2</v>
      </c>
      <c r="H4542" s="2">
        <v>6.1000000000000004E-3</v>
      </c>
      <c r="I4542" s="2">
        <v>4.3E-3</v>
      </c>
      <c r="J4542" s="2">
        <v>6.8999999999999999E-3</v>
      </c>
      <c r="K4542" s="2">
        <v>2.0000000000000001E-4</v>
      </c>
      <c r="L4542" s="2">
        <v>1E-3</v>
      </c>
      <c r="N4542" s="2">
        <v>8.0000000000000004E-4</v>
      </c>
      <c r="P4542">
        <v>868</v>
      </c>
    </row>
    <row r="4543" spans="1:16" x14ac:dyDescent="0.35">
      <c r="A4543" t="s">
        <v>227</v>
      </c>
      <c r="B4543" t="s">
        <v>242</v>
      </c>
      <c r="C4543" s="2">
        <v>0.94830000000000003</v>
      </c>
      <c r="D4543" s="2">
        <v>1.0999999999999999E-2</v>
      </c>
      <c r="E4543" s="2">
        <v>1.6799999999999999E-2</v>
      </c>
      <c r="F4543" s="2">
        <v>4.3E-3</v>
      </c>
      <c r="G4543" s="2">
        <v>6.9999999999999999E-4</v>
      </c>
      <c r="H4543" s="2">
        <v>1.4999999999999999E-2</v>
      </c>
      <c r="I4543" s="2">
        <v>1.5E-3</v>
      </c>
      <c r="O4543" s="2">
        <v>2.7000000000000001E-3</v>
      </c>
      <c r="P4543">
        <v>162</v>
      </c>
    </row>
    <row r="4544" spans="1:16" x14ac:dyDescent="0.35">
      <c r="A4544" t="s">
        <v>228</v>
      </c>
      <c r="B4544" t="s">
        <v>228</v>
      </c>
      <c r="C4544" s="2">
        <v>0.91120000000000001</v>
      </c>
      <c r="D4544" s="2">
        <v>2.9899999999999999E-2</v>
      </c>
      <c r="E4544" s="2">
        <v>2.8400000000000002E-2</v>
      </c>
      <c r="F4544" s="2">
        <v>1.14E-2</v>
      </c>
      <c r="G4544" s="2">
        <v>9.7000000000000003E-3</v>
      </c>
      <c r="H4544" s="2">
        <v>7.7000000000000002E-3</v>
      </c>
      <c r="I4544" s="2">
        <v>5.1000000000000004E-3</v>
      </c>
      <c r="J4544" s="2">
        <v>4.1999999999999997E-3</v>
      </c>
      <c r="K4544" s="2">
        <v>3.5000000000000001E-3</v>
      </c>
      <c r="L4544" s="2">
        <v>1.6999999999999999E-3</v>
      </c>
      <c r="M4544" s="2">
        <v>8.9999999999999998E-4</v>
      </c>
      <c r="N4544" s="2">
        <v>5.9999999999999995E-4</v>
      </c>
      <c r="O4544" s="2">
        <v>4.0000000000000002E-4</v>
      </c>
      <c r="P4544">
        <v>2746</v>
      </c>
    </row>
    <row r="4546" spans="1:16" x14ac:dyDescent="0.35">
      <c r="A4546" s="1" t="s">
        <v>1406</v>
      </c>
    </row>
    <row r="4547" spans="1:16" x14ac:dyDescent="0.35">
      <c r="A4547" t="s">
        <v>219</v>
      </c>
      <c r="B4547" t="s">
        <v>301</v>
      </c>
      <c r="C4547" t="s">
        <v>540</v>
      </c>
      <c r="D4547" t="s">
        <v>1394</v>
      </c>
      <c r="E4547" t="s">
        <v>277</v>
      </c>
      <c r="F4547" t="s">
        <v>1395</v>
      </c>
      <c r="G4547" t="s">
        <v>1396</v>
      </c>
      <c r="H4547" t="s">
        <v>1397</v>
      </c>
      <c r="I4547" t="s">
        <v>1398</v>
      </c>
      <c r="J4547" t="s">
        <v>1399</v>
      </c>
      <c r="K4547" t="s">
        <v>282</v>
      </c>
      <c r="L4547" t="s">
        <v>1400</v>
      </c>
      <c r="M4547" t="s">
        <v>1401</v>
      </c>
      <c r="N4547" t="s">
        <v>1402</v>
      </c>
      <c r="O4547" t="s">
        <v>318</v>
      </c>
      <c r="P4547" t="s">
        <v>226</v>
      </c>
    </row>
    <row r="4548" spans="1:16" x14ac:dyDescent="0.35">
      <c r="A4548" t="s">
        <v>227</v>
      </c>
      <c r="B4548" t="s">
        <v>334</v>
      </c>
      <c r="C4548" s="2">
        <v>0.91920000000000002</v>
      </c>
      <c r="D4548" s="2">
        <v>2.4E-2</v>
      </c>
      <c r="E4548" s="2">
        <v>3.7699999999999997E-2</v>
      </c>
      <c r="F4548" s="2">
        <v>4.1999999999999997E-3</v>
      </c>
      <c r="G4548" s="2">
        <v>1.1000000000000001E-3</v>
      </c>
      <c r="H4548" s="2">
        <v>7.7000000000000002E-3</v>
      </c>
      <c r="I4548" s="2">
        <v>8.6999999999999994E-3</v>
      </c>
      <c r="J4548" s="2">
        <v>4.7999999999999996E-3</v>
      </c>
      <c r="K4548" s="2">
        <v>5.0000000000000001E-4</v>
      </c>
      <c r="L4548" s="2">
        <v>1.1000000000000001E-3</v>
      </c>
      <c r="N4548" s="2">
        <v>1.9E-3</v>
      </c>
      <c r="O4548" s="2">
        <v>2.9999999999999997E-4</v>
      </c>
      <c r="P4548">
        <v>618</v>
      </c>
    </row>
    <row r="4549" spans="1:16" x14ac:dyDescent="0.35">
      <c r="A4549" t="s">
        <v>227</v>
      </c>
      <c r="B4549" t="s">
        <v>335</v>
      </c>
      <c r="C4549" s="2">
        <v>0.90780000000000005</v>
      </c>
      <c r="D4549" s="2">
        <v>3.1899999999999998E-2</v>
      </c>
      <c r="E4549" s="2">
        <v>1.6199999999999999E-2</v>
      </c>
      <c r="F4549" s="2">
        <v>1.66E-2</v>
      </c>
      <c r="G4549" s="2">
        <v>1.14E-2</v>
      </c>
      <c r="H4549" s="2">
        <v>9.7999999999999997E-3</v>
      </c>
      <c r="I4549" s="2">
        <v>5.5999999999999999E-3</v>
      </c>
      <c r="J4549" s="2">
        <v>4.7999999999999996E-3</v>
      </c>
      <c r="K4549" s="2">
        <v>6.4000000000000003E-3</v>
      </c>
      <c r="L4549" s="2">
        <v>4.8999999999999998E-3</v>
      </c>
      <c r="M4549" s="2">
        <v>3.0000000000000001E-3</v>
      </c>
      <c r="O4549" s="2">
        <v>5.9999999999999995E-4</v>
      </c>
      <c r="P4549">
        <v>605</v>
      </c>
    </row>
    <row r="4550" spans="1:16" x14ac:dyDescent="0.35">
      <c r="A4550" t="s">
        <v>227</v>
      </c>
      <c r="B4550" t="s">
        <v>336</v>
      </c>
      <c r="C4550" s="2">
        <v>0.91910000000000003</v>
      </c>
      <c r="D4550" s="2">
        <v>4.4299999999999999E-2</v>
      </c>
      <c r="E4550" s="2">
        <v>1.78E-2</v>
      </c>
      <c r="F4550" s="2">
        <v>1.14E-2</v>
      </c>
      <c r="G4550" s="2">
        <v>1.1000000000000001E-3</v>
      </c>
      <c r="H4550" s="2">
        <v>1.2999999999999999E-3</v>
      </c>
      <c r="I4550" s="2">
        <v>4.5999999999999999E-3</v>
      </c>
      <c r="J4550" s="2">
        <v>4.7000000000000002E-3</v>
      </c>
      <c r="N4550" s="2">
        <v>8.0000000000000004E-4</v>
      </c>
      <c r="O4550" s="2">
        <v>1E-4</v>
      </c>
      <c r="P4550">
        <v>606</v>
      </c>
    </row>
    <row r="4551" spans="1:16" x14ac:dyDescent="0.35">
      <c r="A4551" t="s">
        <v>227</v>
      </c>
      <c r="B4551" t="s">
        <v>337</v>
      </c>
      <c r="C4551" s="2">
        <v>0.91549999999999998</v>
      </c>
      <c r="D4551" s="2">
        <v>2.12E-2</v>
      </c>
      <c r="E4551" s="2">
        <v>4.0500000000000001E-2</v>
      </c>
      <c r="F4551" s="2">
        <v>2.8999999999999998E-3</v>
      </c>
      <c r="G4551" s="2">
        <v>1.5299999999999999E-2</v>
      </c>
      <c r="H4551" s="2">
        <v>5.5999999999999999E-3</v>
      </c>
      <c r="I4551" s="2">
        <v>1.6000000000000001E-3</v>
      </c>
      <c r="J4551" s="2">
        <v>3.5999999999999999E-3</v>
      </c>
      <c r="K4551" s="2">
        <v>5.0000000000000001E-4</v>
      </c>
      <c r="L4551" s="2">
        <v>2.0000000000000001E-4</v>
      </c>
      <c r="O4551" s="2">
        <v>5.0000000000000001E-4</v>
      </c>
      <c r="P4551">
        <v>587</v>
      </c>
    </row>
    <row r="4552" spans="1:16" x14ac:dyDescent="0.35">
      <c r="A4552" t="s">
        <v>228</v>
      </c>
      <c r="B4552" t="s">
        <v>228</v>
      </c>
      <c r="C4552" s="2">
        <v>0.91120000000000001</v>
      </c>
      <c r="D4552" s="2">
        <v>2.9899999999999999E-2</v>
      </c>
      <c r="E4552" s="2">
        <v>2.8400000000000002E-2</v>
      </c>
      <c r="F4552" s="2">
        <v>1.14E-2</v>
      </c>
      <c r="G4552" s="2">
        <v>9.7000000000000003E-3</v>
      </c>
      <c r="H4552" s="2">
        <v>7.7000000000000002E-3</v>
      </c>
      <c r="I4552" s="2">
        <v>5.1000000000000004E-3</v>
      </c>
      <c r="J4552" s="2">
        <v>4.1999999999999997E-3</v>
      </c>
      <c r="K4552" s="2">
        <v>3.5000000000000001E-3</v>
      </c>
      <c r="L4552" s="2">
        <v>1.6999999999999999E-3</v>
      </c>
      <c r="M4552" s="2">
        <v>8.9999999999999998E-4</v>
      </c>
      <c r="N4552" s="2">
        <v>5.9999999999999995E-4</v>
      </c>
      <c r="O4552" s="2">
        <v>4.0000000000000002E-4</v>
      </c>
      <c r="P4552">
        <v>2416</v>
      </c>
    </row>
    <row r="4554" spans="1:16" x14ac:dyDescent="0.35">
      <c r="A4554" s="1" t="s">
        <v>1407</v>
      </c>
    </row>
    <row r="4555" spans="1:16" x14ac:dyDescent="0.35">
      <c r="A4555" t="s">
        <v>219</v>
      </c>
      <c r="B4555" t="s">
        <v>301</v>
      </c>
      <c r="C4555" t="s">
        <v>540</v>
      </c>
      <c r="D4555" t="s">
        <v>1394</v>
      </c>
      <c r="E4555" t="s">
        <v>277</v>
      </c>
      <c r="F4555" t="s">
        <v>1395</v>
      </c>
      <c r="G4555" t="s">
        <v>1396</v>
      </c>
      <c r="H4555" t="s">
        <v>1397</v>
      </c>
      <c r="I4555" t="s">
        <v>1398</v>
      </c>
      <c r="J4555" t="s">
        <v>1399</v>
      </c>
      <c r="K4555" t="s">
        <v>282</v>
      </c>
      <c r="L4555" t="s">
        <v>1400</v>
      </c>
      <c r="M4555" t="s">
        <v>1401</v>
      </c>
      <c r="N4555" t="s">
        <v>1402</v>
      </c>
      <c r="O4555" t="s">
        <v>318</v>
      </c>
      <c r="P4555" t="s">
        <v>226</v>
      </c>
    </row>
    <row r="4556" spans="1:16" x14ac:dyDescent="0.35">
      <c r="A4556" t="s">
        <v>227</v>
      </c>
      <c r="B4556" t="s">
        <v>263</v>
      </c>
      <c r="C4556" s="2">
        <v>0.88739999999999997</v>
      </c>
      <c r="D4556" s="2">
        <v>4.6699999999999998E-2</v>
      </c>
      <c r="E4556" s="2">
        <v>1.8599999999999998E-2</v>
      </c>
      <c r="F4556" s="2">
        <v>2.47E-2</v>
      </c>
      <c r="G4556" s="2">
        <v>1.52E-2</v>
      </c>
      <c r="H4556" s="2">
        <v>2.2700000000000001E-2</v>
      </c>
      <c r="I4556" s="2">
        <v>1.15E-2</v>
      </c>
      <c r="J4556" s="2">
        <v>5.4000000000000003E-3</v>
      </c>
      <c r="K4556" s="2">
        <v>3.0999999999999999E-3</v>
      </c>
      <c r="L4556" s="2">
        <v>5.3E-3</v>
      </c>
      <c r="M4556" s="2">
        <v>4.1999999999999997E-3</v>
      </c>
      <c r="N4556" s="2">
        <v>1.1000000000000001E-3</v>
      </c>
      <c r="P4556">
        <v>576</v>
      </c>
    </row>
    <row r="4557" spans="1:16" x14ac:dyDescent="0.35">
      <c r="A4557" t="s">
        <v>227</v>
      </c>
      <c r="B4557" t="s">
        <v>262</v>
      </c>
      <c r="C4557" s="2">
        <v>0.88839999999999997</v>
      </c>
      <c r="D4557" s="2">
        <v>3.3000000000000002E-2</v>
      </c>
      <c r="E4557" s="2">
        <v>5.3199999999999997E-2</v>
      </c>
      <c r="F4557" s="2">
        <v>9.2999999999999992E-3</v>
      </c>
      <c r="G4557" s="2">
        <v>1.03E-2</v>
      </c>
      <c r="H4557" s="2">
        <v>4.4999999999999997E-3</v>
      </c>
      <c r="I4557" s="2">
        <v>4.5999999999999999E-3</v>
      </c>
      <c r="J4557" s="2">
        <v>5.8999999999999999E-3</v>
      </c>
      <c r="K4557" s="2">
        <v>4.0000000000000002E-4</v>
      </c>
      <c r="L4557" s="2">
        <v>1E-4</v>
      </c>
      <c r="N4557" s="2">
        <v>4.0000000000000002E-4</v>
      </c>
      <c r="O4557" s="2">
        <v>4.0000000000000002E-4</v>
      </c>
      <c r="P4557">
        <v>1135</v>
      </c>
    </row>
    <row r="4558" spans="1:16" x14ac:dyDescent="0.35">
      <c r="A4558" t="s">
        <v>227</v>
      </c>
      <c r="B4558" t="s">
        <v>261</v>
      </c>
      <c r="C4558" s="2">
        <v>0.94410000000000005</v>
      </c>
      <c r="D4558" s="2">
        <v>1.89E-2</v>
      </c>
      <c r="E4558" s="2">
        <v>1.17E-2</v>
      </c>
      <c r="F4558" s="2">
        <v>6.7999999999999996E-3</v>
      </c>
      <c r="G4558" s="2">
        <v>6.6E-3</v>
      </c>
      <c r="H4558" s="2">
        <v>3.0999999999999999E-3</v>
      </c>
      <c r="I4558" s="2">
        <v>2.3999999999999998E-3</v>
      </c>
      <c r="J4558" s="2">
        <v>5.9999999999999995E-4</v>
      </c>
      <c r="K4558" s="2">
        <v>6.6E-3</v>
      </c>
      <c r="L4558" s="2">
        <v>1.2999999999999999E-3</v>
      </c>
      <c r="N4558" s="2">
        <v>4.0000000000000002E-4</v>
      </c>
      <c r="O4558" s="2">
        <v>5.0000000000000001E-4</v>
      </c>
      <c r="P4558">
        <v>1033</v>
      </c>
    </row>
    <row r="4559" spans="1:16" x14ac:dyDescent="0.35">
      <c r="A4559" s="3" t="s">
        <v>227</v>
      </c>
      <c r="B4559" s="3" t="s">
        <v>232</v>
      </c>
      <c r="C4559" s="4">
        <v>0.5</v>
      </c>
      <c r="D4559" s="5"/>
      <c r="E4559" s="5"/>
      <c r="F4559" s="5"/>
      <c r="G4559" s="5"/>
      <c r="H4559" s="5"/>
      <c r="I4559" s="5"/>
      <c r="J4559" s="4">
        <v>0.5</v>
      </c>
      <c r="K4559" s="5"/>
      <c r="L4559" s="5"/>
      <c r="M4559" s="5"/>
      <c r="N4559" s="5"/>
      <c r="O4559" s="5"/>
      <c r="P4559" s="5" t="s">
        <v>434</v>
      </c>
    </row>
    <row r="4560" spans="1:16" x14ac:dyDescent="0.35">
      <c r="A4560" t="s">
        <v>228</v>
      </c>
      <c r="B4560" t="s">
        <v>228</v>
      </c>
      <c r="C4560" s="2">
        <v>0.91120000000000001</v>
      </c>
      <c r="D4560" s="2">
        <v>2.9899999999999999E-2</v>
      </c>
      <c r="E4560" s="2">
        <v>2.8400000000000002E-2</v>
      </c>
      <c r="F4560" s="2">
        <v>1.14E-2</v>
      </c>
      <c r="G4560" s="2">
        <v>9.7000000000000003E-3</v>
      </c>
      <c r="H4560" s="2">
        <v>7.7000000000000002E-3</v>
      </c>
      <c r="I4560" s="2">
        <v>5.1000000000000004E-3</v>
      </c>
      <c r="J4560" s="2">
        <v>4.1999999999999997E-3</v>
      </c>
      <c r="K4560" s="2">
        <v>3.5000000000000001E-3</v>
      </c>
      <c r="L4560" s="2">
        <v>1.6999999999999999E-3</v>
      </c>
      <c r="M4560" s="2">
        <v>8.9999999999999998E-4</v>
      </c>
      <c r="N4560" s="2">
        <v>5.9999999999999995E-4</v>
      </c>
      <c r="O4560" s="2">
        <v>4.0000000000000002E-4</v>
      </c>
      <c r="P4560">
        <v>2746</v>
      </c>
    </row>
    <row r="4562" spans="1:16" x14ac:dyDescent="0.35">
      <c r="A4562" s="1" t="s">
        <v>1408</v>
      </c>
    </row>
    <row r="4563" spans="1:16" x14ac:dyDescent="0.35">
      <c r="A4563" t="s">
        <v>219</v>
      </c>
      <c r="B4563" t="s">
        <v>301</v>
      </c>
      <c r="C4563" t="s">
        <v>540</v>
      </c>
      <c r="D4563" t="s">
        <v>1394</v>
      </c>
      <c r="E4563" t="s">
        <v>277</v>
      </c>
      <c r="F4563" t="s">
        <v>1395</v>
      </c>
      <c r="G4563" t="s">
        <v>1396</v>
      </c>
      <c r="H4563" t="s">
        <v>1397</v>
      </c>
      <c r="I4563" t="s">
        <v>1398</v>
      </c>
      <c r="J4563" t="s">
        <v>1399</v>
      </c>
      <c r="K4563" t="s">
        <v>282</v>
      </c>
      <c r="L4563" t="s">
        <v>1400</v>
      </c>
      <c r="M4563" t="s">
        <v>1401</v>
      </c>
      <c r="N4563" t="s">
        <v>1402</v>
      </c>
      <c r="O4563" t="s">
        <v>318</v>
      </c>
      <c r="P4563" t="s">
        <v>226</v>
      </c>
    </row>
    <row r="4564" spans="1:16" x14ac:dyDescent="0.35">
      <c r="A4564" t="s">
        <v>227</v>
      </c>
      <c r="B4564" t="s">
        <v>248</v>
      </c>
      <c r="C4564" s="2">
        <v>0.90280000000000005</v>
      </c>
      <c r="D4564" s="2">
        <v>2.2200000000000001E-2</v>
      </c>
      <c r="E4564" s="2">
        <v>4.7E-2</v>
      </c>
      <c r="F4564" s="2">
        <v>9.7000000000000003E-3</v>
      </c>
      <c r="G4564" s="2">
        <v>1.12E-2</v>
      </c>
      <c r="H4564" s="2">
        <v>9.4000000000000004E-3</v>
      </c>
      <c r="I4564" s="2">
        <v>3.8E-3</v>
      </c>
      <c r="J4564" s="2">
        <v>3.5999999999999999E-3</v>
      </c>
      <c r="K4564" s="2">
        <v>6.4999999999999997E-3</v>
      </c>
      <c r="L4564" s="2">
        <v>2.0000000000000001E-4</v>
      </c>
      <c r="P4564">
        <v>778</v>
      </c>
    </row>
    <row r="4565" spans="1:16" x14ac:dyDescent="0.35">
      <c r="A4565" t="s">
        <v>227</v>
      </c>
      <c r="B4565" t="s">
        <v>249</v>
      </c>
      <c r="C4565" s="2">
        <v>0.90749999999999997</v>
      </c>
      <c r="D4565" s="2">
        <v>3.4200000000000001E-2</v>
      </c>
      <c r="E4565" s="2">
        <v>2.6800000000000001E-2</v>
      </c>
      <c r="F4565" s="2">
        <v>9.2999999999999992E-3</v>
      </c>
      <c r="G4565" s="2">
        <v>6.8999999999999999E-3</v>
      </c>
      <c r="H4565" s="2">
        <v>1E-3</v>
      </c>
      <c r="I4565" s="2">
        <v>4.1999999999999997E-3</v>
      </c>
      <c r="J4565" s="2">
        <v>5.4999999999999997E-3</v>
      </c>
      <c r="K4565" s="2">
        <v>7.9000000000000008E-3</v>
      </c>
      <c r="N4565" s="2">
        <v>8.9999999999999998E-4</v>
      </c>
      <c r="O4565" s="2">
        <v>5.9999999999999995E-4</v>
      </c>
      <c r="P4565">
        <v>524</v>
      </c>
    </row>
    <row r="4566" spans="1:16" x14ac:dyDescent="0.35">
      <c r="A4566" t="s">
        <v>227</v>
      </c>
      <c r="B4566" t="s">
        <v>247</v>
      </c>
      <c r="C4566" s="2">
        <v>0.91700000000000004</v>
      </c>
      <c r="D4566" s="2">
        <v>3.2300000000000002E-2</v>
      </c>
      <c r="E4566" s="2">
        <v>1.9300000000000001E-2</v>
      </c>
      <c r="F4566" s="2">
        <v>1.3100000000000001E-2</v>
      </c>
      <c r="G4566" s="2">
        <v>0.01</v>
      </c>
      <c r="H4566" s="2">
        <v>9.1999999999999998E-3</v>
      </c>
      <c r="I4566" s="2">
        <v>6.1000000000000004E-3</v>
      </c>
      <c r="J4566" s="2">
        <v>4.0000000000000001E-3</v>
      </c>
      <c r="K4566" s="2">
        <v>4.0000000000000002E-4</v>
      </c>
      <c r="L4566" s="2">
        <v>3.0999999999999999E-3</v>
      </c>
      <c r="M4566" s="2">
        <v>1.6000000000000001E-3</v>
      </c>
      <c r="N4566" s="2">
        <v>6.9999999999999999E-4</v>
      </c>
      <c r="O4566" s="2">
        <v>5.0000000000000001E-4</v>
      </c>
      <c r="P4566">
        <v>1444</v>
      </c>
    </row>
    <row r="4567" spans="1:16" x14ac:dyDescent="0.35">
      <c r="A4567" t="s">
        <v>228</v>
      </c>
      <c r="B4567" t="s">
        <v>228</v>
      </c>
      <c r="C4567" s="2">
        <v>0.91120000000000001</v>
      </c>
      <c r="D4567" s="2">
        <v>2.9899999999999999E-2</v>
      </c>
      <c r="E4567" s="2">
        <v>2.8400000000000002E-2</v>
      </c>
      <c r="F4567" s="2">
        <v>1.14E-2</v>
      </c>
      <c r="G4567" s="2">
        <v>9.7000000000000003E-3</v>
      </c>
      <c r="H4567" s="2">
        <v>7.7000000000000002E-3</v>
      </c>
      <c r="I4567" s="2">
        <v>5.1000000000000004E-3</v>
      </c>
      <c r="J4567" s="2">
        <v>4.1999999999999997E-3</v>
      </c>
      <c r="K4567" s="2">
        <v>3.5000000000000001E-3</v>
      </c>
      <c r="L4567" s="2">
        <v>1.6999999999999999E-3</v>
      </c>
      <c r="M4567" s="2">
        <v>8.9999999999999998E-4</v>
      </c>
      <c r="N4567" s="2">
        <v>5.9999999999999995E-4</v>
      </c>
      <c r="O4567" s="2">
        <v>4.0000000000000002E-4</v>
      </c>
      <c r="P4567">
        <v>2746</v>
      </c>
    </row>
    <row r="4569" spans="1:16" x14ac:dyDescent="0.35">
      <c r="A4569" s="1" t="s">
        <v>1409</v>
      </c>
    </row>
    <row r="4570" spans="1:16" x14ac:dyDescent="0.35">
      <c r="A4570" t="s">
        <v>219</v>
      </c>
      <c r="B4570" t="s">
        <v>301</v>
      </c>
      <c r="C4570" t="s">
        <v>540</v>
      </c>
      <c r="D4570" t="s">
        <v>1394</v>
      </c>
      <c r="E4570" t="s">
        <v>277</v>
      </c>
      <c r="F4570" t="s">
        <v>1395</v>
      </c>
      <c r="G4570" t="s">
        <v>1396</v>
      </c>
      <c r="H4570" t="s">
        <v>1397</v>
      </c>
      <c r="I4570" t="s">
        <v>1398</v>
      </c>
      <c r="J4570" t="s">
        <v>1399</v>
      </c>
      <c r="K4570" t="s">
        <v>282</v>
      </c>
      <c r="L4570" t="s">
        <v>1400</v>
      </c>
      <c r="M4570" t="s">
        <v>1401</v>
      </c>
      <c r="N4570" t="s">
        <v>1402</v>
      </c>
      <c r="O4570" t="s">
        <v>318</v>
      </c>
      <c r="P4570" t="s">
        <v>226</v>
      </c>
    </row>
    <row r="4571" spans="1:16" x14ac:dyDescent="0.35">
      <c r="A4571" t="s">
        <v>227</v>
      </c>
      <c r="B4571" t="s">
        <v>245</v>
      </c>
      <c r="C4571" s="2">
        <v>0.93669999999999998</v>
      </c>
      <c r="D4571" s="2">
        <v>2.1000000000000001E-2</v>
      </c>
      <c r="E4571" s="2">
        <v>1.6299999999999999E-2</v>
      </c>
      <c r="F4571" s="2">
        <v>1.2500000000000001E-2</v>
      </c>
      <c r="G4571" s="2">
        <v>8.6E-3</v>
      </c>
      <c r="H4571" s="2">
        <v>5.3E-3</v>
      </c>
      <c r="I4571" s="2">
        <v>8.9999999999999993E-3</v>
      </c>
      <c r="J4571" s="2">
        <v>1.5E-3</v>
      </c>
      <c r="L4571" s="2">
        <v>3.0999999999999999E-3</v>
      </c>
      <c r="M4571" s="2">
        <v>3.0999999999999999E-3</v>
      </c>
      <c r="N4571" s="2">
        <v>5.9999999999999995E-4</v>
      </c>
      <c r="O4571" s="2">
        <v>5.9999999999999995E-4</v>
      </c>
      <c r="P4571">
        <v>766</v>
      </c>
    </row>
    <row r="4572" spans="1:16" x14ac:dyDescent="0.35">
      <c r="A4572" t="s">
        <v>227</v>
      </c>
      <c r="B4572" t="s">
        <v>244</v>
      </c>
      <c r="C4572" s="2">
        <v>0.90129999999999999</v>
      </c>
      <c r="D4572" s="2">
        <v>3.3300000000000003E-2</v>
      </c>
      <c r="E4572" s="2">
        <v>3.3099999999999997E-2</v>
      </c>
      <c r="F4572" s="2">
        <v>1.0999999999999999E-2</v>
      </c>
      <c r="G4572" s="2">
        <v>1.0200000000000001E-2</v>
      </c>
      <c r="H4572" s="2">
        <v>8.6E-3</v>
      </c>
      <c r="I4572" s="2">
        <v>3.5999999999999999E-3</v>
      </c>
      <c r="J4572" s="2">
        <v>5.1999999999999998E-3</v>
      </c>
      <c r="K4572" s="2">
        <v>4.8999999999999998E-3</v>
      </c>
      <c r="L4572" s="2">
        <v>1.1000000000000001E-3</v>
      </c>
      <c r="N4572" s="2">
        <v>5.9999999999999995E-4</v>
      </c>
      <c r="O4572" s="2">
        <v>2.9999999999999997E-4</v>
      </c>
      <c r="P4572">
        <v>1980</v>
      </c>
    </row>
    <row r="4573" spans="1:16" x14ac:dyDescent="0.35">
      <c r="A4573" t="s">
        <v>228</v>
      </c>
      <c r="B4573" t="s">
        <v>228</v>
      </c>
      <c r="C4573" s="2">
        <v>0.91120000000000001</v>
      </c>
      <c r="D4573" s="2">
        <v>2.9899999999999999E-2</v>
      </c>
      <c r="E4573" s="2">
        <v>2.8400000000000002E-2</v>
      </c>
      <c r="F4573" s="2">
        <v>1.14E-2</v>
      </c>
      <c r="G4573" s="2">
        <v>9.7000000000000003E-3</v>
      </c>
      <c r="H4573" s="2">
        <v>7.7000000000000002E-3</v>
      </c>
      <c r="I4573" s="2">
        <v>5.1000000000000004E-3</v>
      </c>
      <c r="J4573" s="2">
        <v>4.1999999999999997E-3</v>
      </c>
      <c r="K4573" s="2">
        <v>3.5000000000000001E-3</v>
      </c>
      <c r="L4573" s="2">
        <v>1.6999999999999999E-3</v>
      </c>
      <c r="M4573" s="2">
        <v>8.9999999999999998E-4</v>
      </c>
      <c r="N4573" s="2">
        <v>5.9999999999999995E-4</v>
      </c>
      <c r="O4573" s="2">
        <v>4.0000000000000002E-4</v>
      </c>
      <c r="P4573">
        <v>2746</v>
      </c>
    </row>
    <row r="4575" spans="1:16" x14ac:dyDescent="0.35">
      <c r="A4575" s="1" t="s">
        <v>1410</v>
      </c>
    </row>
    <row r="4576" spans="1:16" x14ac:dyDescent="0.35">
      <c r="A4576" t="s">
        <v>219</v>
      </c>
      <c r="B4576" t="s">
        <v>301</v>
      </c>
      <c r="C4576" t="s">
        <v>540</v>
      </c>
      <c r="D4576" t="s">
        <v>1394</v>
      </c>
      <c r="E4576" t="s">
        <v>277</v>
      </c>
      <c r="F4576" t="s">
        <v>1395</v>
      </c>
      <c r="G4576" t="s">
        <v>1396</v>
      </c>
      <c r="H4576" t="s">
        <v>1397</v>
      </c>
      <c r="I4576" t="s">
        <v>1398</v>
      </c>
      <c r="J4576" t="s">
        <v>1399</v>
      </c>
      <c r="K4576" t="s">
        <v>282</v>
      </c>
      <c r="L4576" t="s">
        <v>1400</v>
      </c>
      <c r="M4576" t="s">
        <v>1401</v>
      </c>
      <c r="N4576" t="s">
        <v>1402</v>
      </c>
      <c r="O4576" t="s">
        <v>318</v>
      </c>
      <c r="P4576" t="s">
        <v>226</v>
      </c>
    </row>
    <row r="4577" spans="1:16" x14ac:dyDescent="0.35">
      <c r="A4577" t="s">
        <v>227</v>
      </c>
      <c r="B4577" t="s">
        <v>259</v>
      </c>
      <c r="C4577" s="2">
        <v>0.86770000000000003</v>
      </c>
      <c r="D4577" s="2">
        <v>0.1022</v>
      </c>
      <c r="E4577" s="2">
        <v>1.34E-2</v>
      </c>
      <c r="F4577" s="2">
        <v>7.1000000000000004E-3</v>
      </c>
      <c r="G4577" s="2">
        <v>2.8999999999999998E-3</v>
      </c>
      <c r="I4577" s="2">
        <v>5.4999999999999997E-3</v>
      </c>
      <c r="J4577" s="2">
        <v>0.01</v>
      </c>
      <c r="K4577" s="2">
        <v>6.7000000000000002E-3</v>
      </c>
      <c r="P4577">
        <v>66</v>
      </c>
    </row>
    <row r="4578" spans="1:16" x14ac:dyDescent="0.35">
      <c r="A4578" t="s">
        <v>227</v>
      </c>
      <c r="B4578" t="s">
        <v>257</v>
      </c>
      <c r="C4578" s="2">
        <v>0.93289999999999995</v>
      </c>
      <c r="D4578" s="2">
        <v>2.3E-2</v>
      </c>
      <c r="E4578" s="2">
        <v>1.3100000000000001E-2</v>
      </c>
      <c r="F4578" s="2">
        <v>2.12E-2</v>
      </c>
      <c r="G4578" s="2">
        <v>1.1599999999999999E-2</v>
      </c>
      <c r="H4578" s="2">
        <v>1.9900000000000001E-2</v>
      </c>
      <c r="I4578" s="2">
        <v>6.1000000000000004E-3</v>
      </c>
      <c r="P4578">
        <v>399</v>
      </c>
    </row>
    <row r="4579" spans="1:16" x14ac:dyDescent="0.35">
      <c r="A4579" t="s">
        <v>227</v>
      </c>
      <c r="B4579" t="s">
        <v>256</v>
      </c>
      <c r="C4579" s="2">
        <v>0.91490000000000005</v>
      </c>
      <c r="D4579" s="2">
        <v>2.92E-2</v>
      </c>
      <c r="E4579" s="2">
        <v>3.1399999999999997E-2</v>
      </c>
      <c r="F4579" s="2">
        <v>8.3000000000000001E-3</v>
      </c>
      <c r="G4579" s="2">
        <v>5.8999999999999999E-3</v>
      </c>
      <c r="H4579" s="2">
        <v>2.8999999999999998E-3</v>
      </c>
      <c r="I4579" s="2">
        <v>3.8E-3</v>
      </c>
      <c r="J4579" s="2">
        <v>4.1999999999999997E-3</v>
      </c>
      <c r="K4579" s="2">
        <v>3.7000000000000002E-3</v>
      </c>
      <c r="L4579" s="2">
        <v>8.9999999999999998E-4</v>
      </c>
      <c r="N4579" s="2">
        <v>2.0000000000000001E-4</v>
      </c>
      <c r="O4579" s="2">
        <v>2.9999999999999997E-4</v>
      </c>
      <c r="P4579">
        <v>1765</v>
      </c>
    </row>
    <row r="4580" spans="1:16" x14ac:dyDescent="0.35">
      <c r="A4580" s="3" t="s">
        <v>227</v>
      </c>
      <c r="B4580" s="3" t="s">
        <v>232</v>
      </c>
      <c r="C4580" s="4">
        <v>0.71779999999999999</v>
      </c>
      <c r="D4580" s="5"/>
      <c r="E4580" s="4">
        <v>0.28220000000000001</v>
      </c>
      <c r="F4580" s="5"/>
      <c r="G4580" s="5"/>
      <c r="H4580" s="5"/>
      <c r="I4580" s="5"/>
      <c r="J4580" s="5"/>
      <c r="K4580" s="5"/>
      <c r="L4580" s="5"/>
      <c r="M4580" s="5"/>
      <c r="N4580" s="5"/>
      <c r="O4580" s="5"/>
      <c r="P4580" s="5" t="s">
        <v>606</v>
      </c>
    </row>
    <row r="4581" spans="1:16" x14ac:dyDescent="0.35">
      <c r="A4581" t="s">
        <v>227</v>
      </c>
      <c r="B4581" t="s">
        <v>258</v>
      </c>
      <c r="C4581" s="2">
        <v>0.87590000000000001</v>
      </c>
      <c r="D4581" s="2">
        <v>3.3399999999999999E-2</v>
      </c>
      <c r="E4581" s="2">
        <v>3.0800000000000001E-2</v>
      </c>
      <c r="F4581" s="2">
        <v>1.4999999999999999E-2</v>
      </c>
      <c r="G4581" s="2">
        <v>2.6499999999999999E-2</v>
      </c>
      <c r="H4581" s="2">
        <v>1.66E-2</v>
      </c>
      <c r="I4581" s="2">
        <v>9.9000000000000008E-3</v>
      </c>
      <c r="J4581" s="2">
        <v>8.5000000000000006E-3</v>
      </c>
      <c r="K4581" s="2">
        <v>6.7000000000000002E-3</v>
      </c>
      <c r="L4581" s="2">
        <v>7.7000000000000002E-3</v>
      </c>
      <c r="M4581" s="2">
        <v>6.1000000000000004E-3</v>
      </c>
      <c r="N4581" s="2">
        <v>2.8E-3</v>
      </c>
      <c r="O4581" s="2">
        <v>1.2999999999999999E-3</v>
      </c>
      <c r="P4581">
        <v>506</v>
      </c>
    </row>
    <row r="4582" spans="1:16" x14ac:dyDescent="0.35">
      <c r="A4582" t="s">
        <v>228</v>
      </c>
      <c r="B4582" t="s">
        <v>228</v>
      </c>
      <c r="C4582" s="2">
        <v>0.91120000000000001</v>
      </c>
      <c r="D4582" s="2">
        <v>2.9899999999999999E-2</v>
      </c>
      <c r="E4582" s="2">
        <v>2.8400000000000002E-2</v>
      </c>
      <c r="F4582" s="2">
        <v>1.14E-2</v>
      </c>
      <c r="G4582" s="2">
        <v>9.7000000000000003E-3</v>
      </c>
      <c r="H4582" s="2">
        <v>7.7000000000000002E-3</v>
      </c>
      <c r="I4582" s="2">
        <v>5.1000000000000004E-3</v>
      </c>
      <c r="J4582" s="2">
        <v>4.1999999999999997E-3</v>
      </c>
      <c r="K4582" s="2">
        <v>3.5000000000000001E-3</v>
      </c>
      <c r="L4582" s="2">
        <v>1.6999999999999999E-3</v>
      </c>
      <c r="M4582" s="2">
        <v>8.9999999999999998E-4</v>
      </c>
      <c r="N4582" s="2">
        <v>5.9999999999999995E-4</v>
      </c>
      <c r="O4582" s="2">
        <v>4.0000000000000002E-4</v>
      </c>
      <c r="P4582">
        <v>2746</v>
      </c>
    </row>
    <row r="4584" spans="1:16" x14ac:dyDescent="0.35">
      <c r="A4584" s="1" t="s">
        <v>1411</v>
      </c>
    </row>
    <row r="4585" spans="1:16" x14ac:dyDescent="0.35">
      <c r="A4585" t="s">
        <v>219</v>
      </c>
      <c r="B4585" t="s">
        <v>301</v>
      </c>
      <c r="C4585" t="s">
        <v>540</v>
      </c>
      <c r="D4585" t="s">
        <v>1394</v>
      </c>
      <c r="E4585" t="s">
        <v>277</v>
      </c>
      <c r="F4585" t="s">
        <v>1395</v>
      </c>
      <c r="G4585" t="s">
        <v>1396</v>
      </c>
      <c r="H4585" t="s">
        <v>1397</v>
      </c>
      <c r="I4585" t="s">
        <v>1398</v>
      </c>
      <c r="J4585" t="s">
        <v>1399</v>
      </c>
      <c r="K4585" t="s">
        <v>282</v>
      </c>
      <c r="L4585" t="s">
        <v>1400</v>
      </c>
      <c r="M4585" t="s">
        <v>1401</v>
      </c>
      <c r="N4585" t="s">
        <v>1402</v>
      </c>
      <c r="O4585" t="s">
        <v>318</v>
      </c>
      <c r="P4585" t="s">
        <v>226</v>
      </c>
    </row>
    <row r="4586" spans="1:16" x14ac:dyDescent="0.35">
      <c r="A4586" t="s">
        <v>227</v>
      </c>
      <c r="B4586" t="s">
        <v>343</v>
      </c>
      <c r="C4586" s="2">
        <v>0.93289999999999995</v>
      </c>
      <c r="D4586" s="2">
        <v>2.3E-2</v>
      </c>
      <c r="E4586" s="2">
        <v>1.3100000000000001E-2</v>
      </c>
      <c r="F4586" s="2">
        <v>2.12E-2</v>
      </c>
      <c r="G4586" s="2">
        <v>1.1599999999999999E-2</v>
      </c>
      <c r="H4586" s="2">
        <v>1.9900000000000001E-2</v>
      </c>
      <c r="I4586" s="2">
        <v>6.1000000000000004E-3</v>
      </c>
      <c r="P4586">
        <v>399</v>
      </c>
    </row>
    <row r="4587" spans="1:16" x14ac:dyDescent="0.35">
      <c r="A4587" t="s">
        <v>227</v>
      </c>
      <c r="B4587" t="s">
        <v>344</v>
      </c>
      <c r="C4587" s="2">
        <v>0.90669999999999995</v>
      </c>
      <c r="D4587" s="2">
        <v>3.1300000000000001E-2</v>
      </c>
      <c r="E4587" s="2">
        <v>3.1600000000000003E-2</v>
      </c>
      <c r="F4587" s="2">
        <v>9.4000000000000004E-3</v>
      </c>
      <c r="G4587" s="2">
        <v>9.4000000000000004E-3</v>
      </c>
      <c r="H4587" s="2">
        <v>5.1999999999999998E-3</v>
      </c>
      <c r="I4587" s="2">
        <v>4.8999999999999998E-3</v>
      </c>
      <c r="J4587" s="2">
        <v>5.1000000000000004E-3</v>
      </c>
      <c r="K4587" s="2">
        <v>4.3E-3</v>
      </c>
      <c r="L4587" s="2">
        <v>2E-3</v>
      </c>
      <c r="M4587" s="2">
        <v>1.1000000000000001E-3</v>
      </c>
      <c r="N4587" s="2">
        <v>6.9999999999999999E-4</v>
      </c>
      <c r="O4587" s="2">
        <v>4.0000000000000002E-4</v>
      </c>
      <c r="P4587">
        <v>2347</v>
      </c>
    </row>
    <row r="4588" spans="1:16" x14ac:dyDescent="0.35">
      <c r="A4588" t="s">
        <v>228</v>
      </c>
      <c r="B4588" t="s">
        <v>228</v>
      </c>
      <c r="C4588" s="2">
        <v>0.91120000000000001</v>
      </c>
      <c r="D4588" s="2">
        <v>2.9899999999999999E-2</v>
      </c>
      <c r="E4588" s="2">
        <v>2.8400000000000002E-2</v>
      </c>
      <c r="F4588" s="2">
        <v>1.14E-2</v>
      </c>
      <c r="G4588" s="2">
        <v>9.7000000000000003E-3</v>
      </c>
      <c r="H4588" s="2">
        <v>7.7000000000000002E-3</v>
      </c>
      <c r="I4588" s="2">
        <v>5.1000000000000004E-3</v>
      </c>
      <c r="J4588" s="2">
        <v>4.1999999999999997E-3</v>
      </c>
      <c r="K4588" s="2">
        <v>3.5000000000000001E-3</v>
      </c>
      <c r="L4588" s="2">
        <v>1.6999999999999999E-3</v>
      </c>
      <c r="M4588" s="2">
        <v>8.9999999999999998E-4</v>
      </c>
      <c r="N4588" s="2">
        <v>5.9999999999999995E-4</v>
      </c>
      <c r="O4588" s="2">
        <v>4.0000000000000002E-4</v>
      </c>
      <c r="P4588">
        <v>2746</v>
      </c>
    </row>
    <row r="4590" spans="1:16" x14ac:dyDescent="0.35">
      <c r="A4590" s="1" t="s">
        <v>1412</v>
      </c>
    </row>
    <row r="4591" spans="1:16" x14ac:dyDescent="0.35">
      <c r="A4591" t="s">
        <v>219</v>
      </c>
      <c r="B4591" t="s">
        <v>301</v>
      </c>
      <c r="C4591" t="s">
        <v>540</v>
      </c>
      <c r="D4591" t="s">
        <v>1394</v>
      </c>
      <c r="E4591" t="s">
        <v>277</v>
      </c>
      <c r="F4591" t="s">
        <v>1395</v>
      </c>
      <c r="G4591" t="s">
        <v>1396</v>
      </c>
      <c r="H4591" t="s">
        <v>1397</v>
      </c>
      <c r="I4591" t="s">
        <v>1398</v>
      </c>
      <c r="J4591" t="s">
        <v>1399</v>
      </c>
      <c r="K4591" t="s">
        <v>282</v>
      </c>
      <c r="L4591" t="s">
        <v>1400</v>
      </c>
      <c r="M4591" t="s">
        <v>1401</v>
      </c>
      <c r="N4591" t="s">
        <v>1402</v>
      </c>
      <c r="O4591" t="s">
        <v>318</v>
      </c>
      <c r="P4591" t="s">
        <v>226</v>
      </c>
    </row>
    <row r="4592" spans="1:16" x14ac:dyDescent="0.35">
      <c r="A4592" t="s">
        <v>227</v>
      </c>
      <c r="B4592" t="s">
        <v>346</v>
      </c>
      <c r="C4592" s="2">
        <v>0.92669999999999997</v>
      </c>
      <c r="D4592" s="2">
        <v>1.89E-2</v>
      </c>
      <c r="E4592" s="2">
        <v>2.58E-2</v>
      </c>
      <c r="F4592" s="2">
        <v>1.09E-2</v>
      </c>
      <c r="G4592" s="2">
        <v>9.2999999999999992E-3</v>
      </c>
      <c r="H4592" s="2">
        <v>7.0000000000000001E-3</v>
      </c>
      <c r="I4592" s="2">
        <v>4.1000000000000003E-3</v>
      </c>
      <c r="J4592" s="2">
        <v>2.2000000000000001E-3</v>
      </c>
      <c r="K4592" s="2">
        <v>3.5999999999999999E-3</v>
      </c>
      <c r="L4592" s="2">
        <v>1.6999999999999999E-3</v>
      </c>
      <c r="M4592" s="2">
        <v>1E-3</v>
      </c>
      <c r="O4592" s="2">
        <v>1E-4</v>
      </c>
      <c r="P4592">
        <v>1432</v>
      </c>
    </row>
    <row r="4593" spans="1:16" x14ac:dyDescent="0.35">
      <c r="A4593" t="s">
        <v>227</v>
      </c>
      <c r="B4593" t="s">
        <v>347</v>
      </c>
      <c r="C4593" s="2">
        <v>0.80669999999999997</v>
      </c>
      <c r="D4593" s="2">
        <v>8.2299999999999998E-2</v>
      </c>
      <c r="E4593" s="2">
        <v>5.0500000000000003E-2</v>
      </c>
      <c r="F4593" s="2">
        <v>3.2899999999999999E-2</v>
      </c>
      <c r="G4593" s="2">
        <v>1.6199999999999999E-2</v>
      </c>
      <c r="H4593" s="2">
        <v>6.4000000000000003E-3</v>
      </c>
      <c r="I4593" s="2">
        <v>9.1999999999999998E-3</v>
      </c>
      <c r="J4593" s="2">
        <v>1.24E-2</v>
      </c>
      <c r="K4593" s="2">
        <v>7.9000000000000008E-3</v>
      </c>
      <c r="O4593" s="2">
        <v>6.9999999999999999E-4</v>
      </c>
      <c r="P4593">
        <v>568</v>
      </c>
    </row>
    <row r="4594" spans="1:16" x14ac:dyDescent="0.35">
      <c r="A4594" t="s">
        <v>227</v>
      </c>
      <c r="B4594" t="s">
        <v>348</v>
      </c>
      <c r="C4594" s="2">
        <v>0.81</v>
      </c>
      <c r="D4594" s="2">
        <v>0.1094</v>
      </c>
      <c r="E4594" s="2">
        <v>4.3999999999999997E-2</v>
      </c>
      <c r="F4594" s="2">
        <v>8.0000000000000002E-3</v>
      </c>
      <c r="G4594" s="2">
        <v>1.1299999999999999E-2</v>
      </c>
      <c r="H4594" s="2">
        <v>1.49E-2</v>
      </c>
      <c r="I4594" s="2">
        <v>1.2699999999999999E-2</v>
      </c>
      <c r="J4594" s="2">
        <v>1.95E-2</v>
      </c>
      <c r="K4594" s="2">
        <v>1E-3</v>
      </c>
      <c r="L4594" s="2">
        <v>2.3999999999999998E-3</v>
      </c>
      <c r="N4594" s="2">
        <v>5.8999999999999999E-3</v>
      </c>
      <c r="O4594" s="2">
        <v>2.8999999999999998E-3</v>
      </c>
      <c r="P4594">
        <v>746</v>
      </c>
    </row>
    <row r="4595" spans="1:16" x14ac:dyDescent="0.35">
      <c r="A4595" t="s">
        <v>228</v>
      </c>
      <c r="B4595" t="s">
        <v>228</v>
      </c>
      <c r="C4595" s="2">
        <v>0.91120000000000001</v>
      </c>
      <c r="D4595" s="2">
        <v>2.9899999999999999E-2</v>
      </c>
      <c r="E4595" s="2">
        <v>2.8400000000000002E-2</v>
      </c>
      <c r="F4595" s="2">
        <v>1.14E-2</v>
      </c>
      <c r="G4595" s="2">
        <v>9.7000000000000003E-3</v>
      </c>
      <c r="H4595" s="2">
        <v>7.7000000000000002E-3</v>
      </c>
      <c r="I4595" s="2">
        <v>5.1000000000000004E-3</v>
      </c>
      <c r="J4595" s="2">
        <v>4.1999999999999997E-3</v>
      </c>
      <c r="K4595" s="2">
        <v>3.5000000000000001E-3</v>
      </c>
      <c r="L4595" s="2">
        <v>1.6999999999999999E-3</v>
      </c>
      <c r="M4595" s="2">
        <v>8.9999999999999998E-4</v>
      </c>
      <c r="N4595" s="2">
        <v>5.9999999999999995E-4</v>
      </c>
      <c r="O4595" s="2">
        <v>4.0000000000000002E-4</v>
      </c>
      <c r="P4595">
        <v>2746</v>
      </c>
    </row>
    <row r="4597" spans="1:16" x14ac:dyDescent="0.35">
      <c r="A4597" s="1" t="s">
        <v>1413</v>
      </c>
    </row>
    <row r="4598" spans="1:16" x14ac:dyDescent="0.35">
      <c r="A4598" t="s">
        <v>219</v>
      </c>
      <c r="B4598" t="s">
        <v>301</v>
      </c>
      <c r="C4598" t="s">
        <v>540</v>
      </c>
      <c r="D4598" t="s">
        <v>1394</v>
      </c>
      <c r="E4598" t="s">
        <v>277</v>
      </c>
      <c r="F4598" t="s">
        <v>1395</v>
      </c>
      <c r="G4598" t="s">
        <v>1396</v>
      </c>
      <c r="H4598" t="s">
        <v>1397</v>
      </c>
      <c r="I4598" t="s">
        <v>1398</v>
      </c>
      <c r="J4598" t="s">
        <v>1399</v>
      </c>
      <c r="K4598" t="s">
        <v>282</v>
      </c>
      <c r="L4598" t="s">
        <v>1400</v>
      </c>
      <c r="M4598" t="s">
        <v>1401</v>
      </c>
      <c r="N4598" t="s">
        <v>1402</v>
      </c>
      <c r="O4598" t="s">
        <v>318</v>
      </c>
      <c r="P4598" t="s">
        <v>226</v>
      </c>
    </row>
    <row r="4599" spans="1:16" x14ac:dyDescent="0.35">
      <c r="A4599" t="s">
        <v>227</v>
      </c>
      <c r="B4599" t="s">
        <v>251</v>
      </c>
      <c r="C4599" s="2">
        <v>0.90129999999999999</v>
      </c>
      <c r="D4599" s="2">
        <v>3.3300000000000003E-2</v>
      </c>
      <c r="E4599" s="2">
        <v>3.3099999999999997E-2</v>
      </c>
      <c r="F4599" s="2">
        <v>1.0999999999999999E-2</v>
      </c>
      <c r="G4599" s="2">
        <v>1.0200000000000001E-2</v>
      </c>
      <c r="H4599" s="2">
        <v>8.6E-3</v>
      </c>
      <c r="I4599" s="2">
        <v>3.5999999999999999E-3</v>
      </c>
      <c r="J4599" s="2">
        <v>5.1999999999999998E-3</v>
      </c>
      <c r="K4599" s="2">
        <v>4.8999999999999998E-3</v>
      </c>
      <c r="L4599" s="2">
        <v>1.1000000000000001E-3</v>
      </c>
      <c r="N4599" s="2">
        <v>5.9999999999999995E-4</v>
      </c>
      <c r="O4599" s="2">
        <v>2.9999999999999997E-4</v>
      </c>
      <c r="P4599">
        <v>1980</v>
      </c>
    </row>
    <row r="4600" spans="1:16" x14ac:dyDescent="0.35">
      <c r="A4600" t="s">
        <v>227</v>
      </c>
      <c r="B4600" t="s">
        <v>252</v>
      </c>
      <c r="C4600" s="2">
        <v>0.93379999999999996</v>
      </c>
      <c r="D4600" s="2">
        <v>2.29E-2</v>
      </c>
      <c r="E4600" s="2">
        <v>1.6E-2</v>
      </c>
      <c r="F4600" s="2">
        <v>1.1900000000000001E-2</v>
      </c>
      <c r="G4600" s="2">
        <v>1.03E-2</v>
      </c>
      <c r="H4600" s="2">
        <v>5.1999999999999998E-3</v>
      </c>
      <c r="I4600" s="2">
        <v>8.3000000000000001E-3</v>
      </c>
      <c r="J4600" s="2">
        <v>1.5E-3</v>
      </c>
      <c r="L4600" s="2">
        <v>3.8999999999999998E-3</v>
      </c>
      <c r="M4600" s="2">
        <v>3.8999999999999998E-3</v>
      </c>
      <c r="N4600" s="2">
        <v>6.9999999999999999E-4</v>
      </c>
      <c r="O4600" s="2">
        <v>8.0000000000000004E-4</v>
      </c>
      <c r="P4600">
        <v>606</v>
      </c>
    </row>
    <row r="4601" spans="1:16" x14ac:dyDescent="0.35">
      <c r="A4601" t="s">
        <v>227</v>
      </c>
      <c r="B4601" t="s">
        <v>253</v>
      </c>
      <c r="C4601" s="2">
        <v>0.95179999999999998</v>
      </c>
      <c r="D4601" s="2">
        <v>8.8000000000000005E-3</v>
      </c>
      <c r="E4601" s="2">
        <v>1.78E-2</v>
      </c>
      <c r="F4601" s="2">
        <v>1.55E-2</v>
      </c>
      <c r="G4601" s="2">
        <v>1.6999999999999999E-3</v>
      </c>
      <c r="H4601" s="2">
        <v>6.0000000000000001E-3</v>
      </c>
      <c r="I4601" s="2">
        <v>1.2200000000000001E-2</v>
      </c>
      <c r="J4601" s="2">
        <v>1.6000000000000001E-3</v>
      </c>
      <c r="P4601">
        <v>151</v>
      </c>
    </row>
    <row r="4602" spans="1:16" x14ac:dyDescent="0.35">
      <c r="A4602" s="3" t="s">
        <v>227</v>
      </c>
      <c r="B4602" s="3" t="s">
        <v>254</v>
      </c>
      <c r="C4602" s="4">
        <v>0.87629999999999997</v>
      </c>
      <c r="D4602" s="4">
        <v>0.1237</v>
      </c>
      <c r="E4602" s="5"/>
      <c r="F4602" s="5"/>
      <c r="G4602" s="5"/>
      <c r="H4602" s="5"/>
      <c r="I4602" s="5"/>
      <c r="J4602" s="5"/>
      <c r="K4602" s="5"/>
      <c r="L4602" s="5"/>
      <c r="M4602" s="5"/>
      <c r="N4602" s="5"/>
      <c r="O4602" s="5"/>
      <c r="P4602" s="5" t="s">
        <v>515</v>
      </c>
    </row>
    <row r="4603" spans="1:16" x14ac:dyDescent="0.35">
      <c r="A4603" t="s">
        <v>228</v>
      </c>
      <c r="B4603" t="s">
        <v>228</v>
      </c>
      <c r="C4603" s="2">
        <v>0.91120000000000001</v>
      </c>
      <c r="D4603" s="2">
        <v>2.9899999999999999E-2</v>
      </c>
      <c r="E4603" s="2">
        <v>2.8400000000000002E-2</v>
      </c>
      <c r="F4603" s="2">
        <v>1.14E-2</v>
      </c>
      <c r="G4603" s="2">
        <v>9.7000000000000003E-3</v>
      </c>
      <c r="H4603" s="2">
        <v>7.7000000000000002E-3</v>
      </c>
      <c r="I4603" s="2">
        <v>5.1000000000000004E-3</v>
      </c>
      <c r="J4603" s="2">
        <v>4.1999999999999997E-3</v>
      </c>
      <c r="K4603" s="2">
        <v>3.5000000000000001E-3</v>
      </c>
      <c r="L4603" s="2">
        <v>1.6999999999999999E-3</v>
      </c>
      <c r="M4603" s="2">
        <v>8.9999999999999998E-4</v>
      </c>
      <c r="N4603" s="2">
        <v>5.9999999999999995E-4</v>
      </c>
      <c r="O4603" s="2">
        <v>4.0000000000000002E-4</v>
      </c>
      <c r="P4603">
        <v>2746</v>
      </c>
    </row>
    <row r="4605" spans="1:16" x14ac:dyDescent="0.35">
      <c r="A4605" s="1" t="s">
        <v>1414</v>
      </c>
    </row>
    <row r="4606" spans="1:16" x14ac:dyDescent="0.35">
      <c r="A4606" t="s">
        <v>219</v>
      </c>
      <c r="B4606" t="s">
        <v>301</v>
      </c>
      <c r="C4606" t="s">
        <v>540</v>
      </c>
      <c r="D4606" t="s">
        <v>1394</v>
      </c>
      <c r="E4606" t="s">
        <v>277</v>
      </c>
      <c r="F4606" t="s">
        <v>1395</v>
      </c>
      <c r="G4606" t="s">
        <v>1396</v>
      </c>
      <c r="H4606" t="s">
        <v>1397</v>
      </c>
      <c r="I4606" t="s">
        <v>1398</v>
      </c>
      <c r="J4606" t="s">
        <v>1399</v>
      </c>
      <c r="K4606" t="s">
        <v>282</v>
      </c>
      <c r="L4606" t="s">
        <v>1400</v>
      </c>
      <c r="M4606" t="s">
        <v>1401</v>
      </c>
      <c r="N4606" t="s">
        <v>1402</v>
      </c>
      <c r="O4606" t="s">
        <v>318</v>
      </c>
      <c r="P4606" t="s">
        <v>226</v>
      </c>
    </row>
    <row r="4607" spans="1:16" x14ac:dyDescent="0.35">
      <c r="A4607" t="s">
        <v>227</v>
      </c>
      <c r="B4607" t="s">
        <v>1335</v>
      </c>
      <c r="C4607" s="2">
        <v>0.9143</v>
      </c>
      <c r="D4607" s="2">
        <v>4.0399999999999998E-2</v>
      </c>
      <c r="E4607" s="2">
        <v>1.5299999999999999E-2</v>
      </c>
      <c r="F4607" s="2">
        <v>5.8999999999999999E-3</v>
      </c>
      <c r="G4607" s="2">
        <v>7.4000000000000003E-3</v>
      </c>
      <c r="H4607" s="2">
        <v>7.1999999999999998E-3</v>
      </c>
      <c r="I4607" s="2">
        <v>6.7000000000000002E-3</v>
      </c>
      <c r="J4607" s="2">
        <v>3.3999999999999998E-3</v>
      </c>
      <c r="K4607" s="2">
        <v>9.7000000000000003E-3</v>
      </c>
      <c r="L4607" s="2">
        <v>4.8999999999999998E-3</v>
      </c>
      <c r="M4607" s="2">
        <v>2.5999999999999999E-3</v>
      </c>
      <c r="N4607" s="2">
        <v>1.1999999999999999E-3</v>
      </c>
      <c r="O4607" s="2">
        <v>2.0000000000000001E-4</v>
      </c>
      <c r="P4607">
        <v>824</v>
      </c>
    </row>
    <row r="4608" spans="1:16" x14ac:dyDescent="0.35">
      <c r="A4608" s="3" t="s">
        <v>227</v>
      </c>
      <c r="B4608" s="3" t="s">
        <v>1336</v>
      </c>
      <c r="C4608" s="4">
        <v>1</v>
      </c>
      <c r="D4608" s="5"/>
      <c r="E4608" s="5"/>
      <c r="F4608" s="5"/>
      <c r="G4608" s="5"/>
      <c r="H4608" s="5"/>
      <c r="I4608" s="5"/>
      <c r="J4608" s="5"/>
      <c r="K4608" s="5"/>
      <c r="L4608" s="5"/>
      <c r="M4608" s="5"/>
      <c r="N4608" s="5"/>
      <c r="O4608" s="5"/>
      <c r="P4608" s="5" t="s">
        <v>434</v>
      </c>
    </row>
    <row r="4609" spans="1:17" x14ac:dyDescent="0.35">
      <c r="A4609" t="s">
        <v>227</v>
      </c>
      <c r="B4609" t="s">
        <v>1337</v>
      </c>
      <c r="C4609" s="2">
        <v>0.90949999999999998</v>
      </c>
      <c r="D4609" s="2">
        <v>2.46E-2</v>
      </c>
      <c r="E4609" s="2">
        <v>3.5000000000000003E-2</v>
      </c>
      <c r="F4609" s="2">
        <v>1.4200000000000001E-2</v>
      </c>
      <c r="G4609" s="2">
        <v>1.09E-2</v>
      </c>
      <c r="H4609" s="2">
        <v>8.0000000000000002E-3</v>
      </c>
      <c r="I4609" s="2">
        <v>4.3E-3</v>
      </c>
      <c r="J4609" s="2">
        <v>4.5999999999999999E-3</v>
      </c>
      <c r="K4609" s="2">
        <v>5.0000000000000001E-4</v>
      </c>
      <c r="L4609" s="2">
        <v>1E-4</v>
      </c>
      <c r="N4609" s="2">
        <v>2.0000000000000001E-4</v>
      </c>
      <c r="O4609" s="2">
        <v>5.0000000000000001E-4</v>
      </c>
      <c r="P4609">
        <v>1920</v>
      </c>
    </row>
    <row r="4610" spans="1:17" x14ac:dyDescent="0.35">
      <c r="A4610" t="s">
        <v>228</v>
      </c>
      <c r="B4610" t="s">
        <v>228</v>
      </c>
      <c r="C4610" s="2">
        <v>0.91120000000000001</v>
      </c>
      <c r="D4610" s="2">
        <v>2.9899999999999999E-2</v>
      </c>
      <c r="E4610" s="2">
        <v>2.8400000000000002E-2</v>
      </c>
      <c r="F4610" s="2">
        <v>1.14E-2</v>
      </c>
      <c r="G4610" s="2">
        <v>9.7000000000000003E-3</v>
      </c>
      <c r="H4610" s="2">
        <v>7.7000000000000002E-3</v>
      </c>
      <c r="I4610" s="2">
        <v>5.1000000000000004E-3</v>
      </c>
      <c r="J4610" s="2">
        <v>4.1999999999999997E-3</v>
      </c>
      <c r="K4610" s="2">
        <v>3.5000000000000001E-3</v>
      </c>
      <c r="L4610" s="2">
        <v>1.6999999999999999E-3</v>
      </c>
      <c r="M4610" s="2">
        <v>8.9999999999999998E-4</v>
      </c>
      <c r="N4610" s="2">
        <v>5.9999999999999995E-4</v>
      </c>
      <c r="O4610" s="2">
        <v>4.0000000000000002E-4</v>
      </c>
      <c r="P4610">
        <v>2746</v>
      </c>
    </row>
    <row r="4612" spans="1:17" x14ac:dyDescent="0.35">
      <c r="A4612" s="1" t="s">
        <v>1415</v>
      </c>
    </row>
    <row r="4613" spans="1:17" x14ac:dyDescent="0.35">
      <c r="A4613" t="s">
        <v>219</v>
      </c>
      <c r="B4613" t="s">
        <v>301</v>
      </c>
      <c r="C4613" t="s">
        <v>540</v>
      </c>
      <c r="D4613" t="s">
        <v>1394</v>
      </c>
      <c r="E4613" t="s">
        <v>277</v>
      </c>
      <c r="F4613" t="s">
        <v>1395</v>
      </c>
      <c r="G4613" t="s">
        <v>1396</v>
      </c>
      <c r="H4613" t="s">
        <v>1397</v>
      </c>
      <c r="I4613" t="s">
        <v>1398</v>
      </c>
      <c r="J4613" t="s">
        <v>1399</v>
      </c>
      <c r="K4613" t="s">
        <v>282</v>
      </c>
      <c r="L4613" t="s">
        <v>1400</v>
      </c>
      <c r="M4613" t="s">
        <v>1401</v>
      </c>
      <c r="N4613" t="s">
        <v>1402</v>
      </c>
      <c r="O4613" t="s">
        <v>318</v>
      </c>
      <c r="P4613" t="s">
        <v>226</v>
      </c>
    </row>
    <row r="4614" spans="1:17" x14ac:dyDescent="0.35">
      <c r="A4614" t="s">
        <v>227</v>
      </c>
      <c r="B4614" t="s">
        <v>1339</v>
      </c>
      <c r="C4614" s="2">
        <v>0.87709999999999999</v>
      </c>
      <c r="D4614" s="2">
        <v>1.38E-2</v>
      </c>
      <c r="F4614" s="2">
        <v>7.8600000000000003E-2</v>
      </c>
      <c r="G4614" s="2">
        <v>3.44E-2</v>
      </c>
      <c r="H4614" s="2">
        <v>0.01</v>
      </c>
      <c r="I4614" s="2">
        <v>0.01</v>
      </c>
      <c r="J4614" s="2">
        <v>0.01</v>
      </c>
      <c r="L4614" s="2">
        <v>0.01</v>
      </c>
      <c r="N4614" s="2">
        <v>0.01</v>
      </c>
      <c r="P4614">
        <v>51</v>
      </c>
    </row>
    <row r="4615" spans="1:17" x14ac:dyDescent="0.35">
      <c r="A4615" t="s">
        <v>227</v>
      </c>
      <c r="B4615" t="s">
        <v>1340</v>
      </c>
      <c r="C4615" s="2">
        <v>0.91420000000000001</v>
      </c>
      <c r="D4615" s="2">
        <v>3.2300000000000002E-2</v>
      </c>
      <c r="E4615" s="2">
        <v>1.5699999999999999E-2</v>
      </c>
      <c r="F4615" s="2">
        <v>2.07E-2</v>
      </c>
      <c r="G4615" s="2">
        <v>8.5000000000000006E-3</v>
      </c>
      <c r="H4615" s="2">
        <v>1.35E-2</v>
      </c>
      <c r="I4615" s="2">
        <v>8.3999999999999995E-3</v>
      </c>
      <c r="J4615" s="2">
        <v>4.4000000000000003E-3</v>
      </c>
      <c r="K4615" s="2">
        <v>1E-3</v>
      </c>
      <c r="L4615" s="2">
        <v>3.7000000000000002E-3</v>
      </c>
      <c r="M4615" s="2">
        <v>3.7000000000000002E-3</v>
      </c>
      <c r="O4615" s="2">
        <v>8.0000000000000004E-4</v>
      </c>
      <c r="P4615">
        <v>714</v>
      </c>
    </row>
    <row r="4616" spans="1:17" x14ac:dyDescent="0.35">
      <c r="A4616" t="s">
        <v>227</v>
      </c>
      <c r="B4616" t="s">
        <v>1341</v>
      </c>
      <c r="C4616" s="2">
        <v>0.91520000000000001</v>
      </c>
      <c r="D4616" s="2">
        <v>3.4799999999999998E-2</v>
      </c>
      <c r="E4616" s="2">
        <v>2.47E-2</v>
      </c>
      <c r="F4616" s="2">
        <v>4.4999999999999997E-3</v>
      </c>
      <c r="G4616" s="2">
        <v>8.2000000000000007E-3</v>
      </c>
      <c r="H4616" s="2">
        <v>4.7999999999999996E-3</v>
      </c>
      <c r="I4616" s="2">
        <v>4.0000000000000001E-3</v>
      </c>
      <c r="J4616" s="2">
        <v>4.1999999999999997E-3</v>
      </c>
      <c r="K4616" s="2">
        <v>3.2000000000000002E-3</v>
      </c>
      <c r="L4616" s="2">
        <v>1E-3</v>
      </c>
      <c r="N4616" s="2">
        <v>6.9999999999999999E-4</v>
      </c>
      <c r="O4616" s="2">
        <v>4.0000000000000002E-4</v>
      </c>
      <c r="P4616">
        <v>1306</v>
      </c>
    </row>
    <row r="4617" spans="1:17" x14ac:dyDescent="0.35">
      <c r="A4617" t="s">
        <v>227</v>
      </c>
      <c r="B4617" t="s">
        <v>1342</v>
      </c>
      <c r="C4617" s="2">
        <v>0.90300000000000002</v>
      </c>
      <c r="D4617" s="2">
        <v>1.83E-2</v>
      </c>
      <c r="E4617" s="2">
        <v>5.1799999999999999E-2</v>
      </c>
      <c r="F4617" s="2">
        <v>1.0200000000000001E-2</v>
      </c>
      <c r="G4617" s="2">
        <v>1.18E-2</v>
      </c>
      <c r="H4617" s="2">
        <v>7.9000000000000008E-3</v>
      </c>
      <c r="I4617" s="2">
        <v>3.8E-3</v>
      </c>
      <c r="J4617" s="2">
        <v>3.5000000000000001E-3</v>
      </c>
      <c r="K4617" s="2">
        <v>7.3000000000000001E-3</v>
      </c>
      <c r="L4617" s="2">
        <v>2.0000000000000001E-4</v>
      </c>
      <c r="P4617">
        <v>675</v>
      </c>
    </row>
    <row r="4618" spans="1:17" x14ac:dyDescent="0.35">
      <c r="A4618" t="s">
        <v>228</v>
      </c>
      <c r="B4618" t="s">
        <v>228</v>
      </c>
      <c r="C4618" s="2">
        <v>0.91120000000000001</v>
      </c>
      <c r="D4618" s="2">
        <v>2.9899999999999999E-2</v>
      </c>
      <c r="E4618" s="2">
        <v>2.8400000000000002E-2</v>
      </c>
      <c r="F4618" s="2">
        <v>1.14E-2</v>
      </c>
      <c r="G4618" s="2">
        <v>9.7000000000000003E-3</v>
      </c>
      <c r="H4618" s="2">
        <v>7.7000000000000002E-3</v>
      </c>
      <c r="I4618" s="2">
        <v>5.1000000000000004E-3</v>
      </c>
      <c r="J4618" s="2">
        <v>4.1999999999999997E-3</v>
      </c>
      <c r="K4618" s="2">
        <v>3.5000000000000001E-3</v>
      </c>
      <c r="L4618" s="2">
        <v>1.6999999999999999E-3</v>
      </c>
      <c r="M4618" s="2">
        <v>8.9999999999999998E-4</v>
      </c>
      <c r="N4618" s="2">
        <v>5.9999999999999995E-4</v>
      </c>
      <c r="O4618" s="2">
        <v>4.0000000000000002E-4</v>
      </c>
      <c r="P4618">
        <v>2746</v>
      </c>
    </row>
    <row r="4620" spans="1:17" x14ac:dyDescent="0.35">
      <c r="A4620" s="1" t="s">
        <v>1416</v>
      </c>
    </row>
    <row r="4621" spans="1:17" x14ac:dyDescent="0.35">
      <c r="A4621" t="s">
        <v>219</v>
      </c>
      <c r="B4621" t="s">
        <v>301</v>
      </c>
      <c r="C4621" t="s">
        <v>325</v>
      </c>
      <c r="D4621" t="s">
        <v>540</v>
      </c>
      <c r="E4621" t="s">
        <v>1394</v>
      </c>
      <c r="F4621" t="s">
        <v>277</v>
      </c>
      <c r="G4621" t="s">
        <v>1395</v>
      </c>
      <c r="H4621" t="s">
        <v>1396</v>
      </c>
      <c r="I4621" t="s">
        <v>1397</v>
      </c>
      <c r="J4621" t="s">
        <v>1398</v>
      </c>
      <c r="K4621" t="s">
        <v>1399</v>
      </c>
      <c r="L4621" t="s">
        <v>282</v>
      </c>
      <c r="M4621" t="s">
        <v>1400</v>
      </c>
      <c r="N4621" t="s">
        <v>1401</v>
      </c>
      <c r="O4621" t="s">
        <v>1402</v>
      </c>
      <c r="P4621" t="s">
        <v>318</v>
      </c>
      <c r="Q4621" t="s">
        <v>226</v>
      </c>
    </row>
    <row r="4622" spans="1:17" x14ac:dyDescent="0.35">
      <c r="A4622" s="3" t="s">
        <v>227</v>
      </c>
      <c r="B4622" s="3" t="s">
        <v>1335</v>
      </c>
      <c r="C4622" s="3" t="s">
        <v>1339</v>
      </c>
      <c r="D4622" s="4">
        <v>0.94669999999999999</v>
      </c>
      <c r="E4622" s="4">
        <v>3.78E-2</v>
      </c>
      <c r="F4622" s="5"/>
      <c r="G4622" s="4">
        <v>9.7000000000000003E-3</v>
      </c>
      <c r="H4622" s="4">
        <v>1.6299999999999999E-2</v>
      </c>
      <c r="I4622" s="4">
        <v>2.7300000000000001E-2</v>
      </c>
      <c r="J4622" s="4">
        <v>2.7300000000000001E-2</v>
      </c>
      <c r="K4622" s="4">
        <v>2.7300000000000001E-2</v>
      </c>
      <c r="L4622" s="5"/>
      <c r="M4622" s="4">
        <v>2.7300000000000001E-2</v>
      </c>
      <c r="N4622" s="5"/>
      <c r="O4622" s="4">
        <v>2.7300000000000001E-2</v>
      </c>
      <c r="P4622" s="5"/>
      <c r="Q4622" s="5" t="s">
        <v>427</v>
      </c>
    </row>
    <row r="4623" spans="1:17" x14ac:dyDescent="0.35">
      <c r="A4623" t="s">
        <v>227</v>
      </c>
      <c r="B4623" t="s">
        <v>1335</v>
      </c>
      <c r="C4623" t="s">
        <v>1340</v>
      </c>
      <c r="D4623" s="2">
        <v>0.91820000000000002</v>
      </c>
      <c r="E4623" s="2">
        <v>3.8699999999999998E-2</v>
      </c>
      <c r="F4623" s="2">
        <v>1.38E-2</v>
      </c>
      <c r="G4623" s="2">
        <v>1.4800000000000001E-2</v>
      </c>
      <c r="H4623" s="2">
        <v>1.1299999999999999E-2</v>
      </c>
      <c r="I4623" s="2">
        <v>1.29E-2</v>
      </c>
      <c r="J4623" s="2">
        <v>1.12E-2</v>
      </c>
      <c r="K4623" s="2">
        <v>3.5000000000000001E-3</v>
      </c>
      <c r="L4623" s="2">
        <v>1.2999999999999999E-3</v>
      </c>
      <c r="M4623" s="2">
        <v>1.03E-2</v>
      </c>
      <c r="N4623" s="2">
        <v>1.03E-2</v>
      </c>
      <c r="P4623" s="2">
        <v>8.0000000000000004E-4</v>
      </c>
      <c r="Q4623">
        <v>244</v>
      </c>
    </row>
    <row r="4624" spans="1:17" x14ac:dyDescent="0.35">
      <c r="A4624" t="s">
        <v>227</v>
      </c>
      <c r="B4624" t="s">
        <v>1335</v>
      </c>
      <c r="C4624" t="s">
        <v>1341</v>
      </c>
      <c r="D4624" s="2">
        <v>0.90369999999999995</v>
      </c>
      <c r="E4624" s="2">
        <v>4.9299999999999997E-2</v>
      </c>
      <c r="F4624" s="2">
        <v>1.9400000000000001E-2</v>
      </c>
      <c r="G4624" s="2">
        <v>3.0999999999999999E-3</v>
      </c>
      <c r="H4624" s="2">
        <v>7.9000000000000008E-3</v>
      </c>
      <c r="I4624" s="2">
        <v>6.1999999999999998E-3</v>
      </c>
      <c r="J4624" s="2">
        <v>1.5E-3</v>
      </c>
      <c r="K4624" s="2">
        <v>3.5000000000000001E-3</v>
      </c>
      <c r="L4624" s="2">
        <v>8.0999999999999996E-3</v>
      </c>
      <c r="M4624" s="2">
        <v>3.0999999999999999E-3</v>
      </c>
      <c r="O4624" s="2">
        <v>1E-3</v>
      </c>
      <c r="Q4624">
        <v>405</v>
      </c>
    </row>
    <row r="4625" spans="1:17" x14ac:dyDescent="0.35">
      <c r="A4625" t="s">
        <v>227</v>
      </c>
      <c r="B4625" t="s">
        <v>1335</v>
      </c>
      <c r="C4625" t="s">
        <v>1342</v>
      </c>
      <c r="D4625" s="2">
        <v>0.93259999999999998</v>
      </c>
      <c r="E4625" s="2">
        <v>1.9800000000000002E-2</v>
      </c>
      <c r="F4625" s="2">
        <v>8.6E-3</v>
      </c>
      <c r="G4625" s="2">
        <v>1.4E-3</v>
      </c>
      <c r="J4625" s="2">
        <v>1.17E-2</v>
      </c>
      <c r="L4625" s="2">
        <v>2.58E-2</v>
      </c>
      <c r="Q4625">
        <v>155</v>
      </c>
    </row>
    <row r="4626" spans="1:17" x14ac:dyDescent="0.35">
      <c r="A4626" s="3" t="s">
        <v>227</v>
      </c>
      <c r="B4626" s="3" t="s">
        <v>1336</v>
      </c>
      <c r="C4626" s="3" t="s">
        <v>1341</v>
      </c>
      <c r="D4626" s="4">
        <v>1</v>
      </c>
      <c r="E4626" s="5"/>
      <c r="F4626" s="5"/>
      <c r="G4626" s="5"/>
      <c r="H4626" s="5"/>
      <c r="I4626" s="5"/>
      <c r="J4626" s="5"/>
      <c r="K4626" s="5"/>
      <c r="L4626" s="5"/>
      <c r="M4626" s="5"/>
      <c r="N4626" s="5"/>
      <c r="O4626" s="5"/>
      <c r="P4626" s="5"/>
      <c r="Q4626" s="5" t="s">
        <v>434</v>
      </c>
    </row>
    <row r="4627" spans="1:17" x14ac:dyDescent="0.35">
      <c r="A4627" t="s">
        <v>227</v>
      </c>
      <c r="B4627" t="s">
        <v>1337</v>
      </c>
      <c r="C4627" t="s">
        <v>1339</v>
      </c>
      <c r="D4627" s="2">
        <v>0.83679999999999999</v>
      </c>
      <c r="G4627" s="2">
        <v>0.11840000000000001</v>
      </c>
      <c r="H4627" s="2">
        <v>4.48E-2</v>
      </c>
      <c r="Q4627">
        <v>31</v>
      </c>
    </row>
    <row r="4628" spans="1:17" x14ac:dyDescent="0.35">
      <c r="A4628" t="s">
        <v>227</v>
      </c>
      <c r="B4628" t="s">
        <v>1337</v>
      </c>
      <c r="C4628" t="s">
        <v>1340</v>
      </c>
      <c r="D4628" s="2">
        <v>0.91200000000000003</v>
      </c>
      <c r="E4628" s="2">
        <v>2.87E-2</v>
      </c>
      <c r="F4628" s="2">
        <v>1.6799999999999999E-2</v>
      </c>
      <c r="G4628" s="2">
        <v>2.4E-2</v>
      </c>
      <c r="H4628" s="2">
        <v>6.8999999999999999E-3</v>
      </c>
      <c r="I4628" s="2">
        <v>1.38E-2</v>
      </c>
      <c r="J4628" s="2">
        <v>6.7000000000000002E-3</v>
      </c>
      <c r="K4628" s="2">
        <v>4.8999999999999998E-3</v>
      </c>
      <c r="L4628" s="2">
        <v>8.9999999999999998E-4</v>
      </c>
      <c r="P4628" s="2">
        <v>6.9999999999999999E-4</v>
      </c>
      <c r="Q4628">
        <v>470</v>
      </c>
    </row>
    <row r="4629" spans="1:17" x14ac:dyDescent="0.35">
      <c r="A4629" t="s">
        <v>227</v>
      </c>
      <c r="B4629" t="s">
        <v>1337</v>
      </c>
      <c r="C4629" t="s">
        <v>1341</v>
      </c>
      <c r="D4629" s="2">
        <v>0.92090000000000005</v>
      </c>
      <c r="E4629" s="2">
        <v>2.7400000000000001E-2</v>
      </c>
      <c r="F4629" s="2">
        <v>2.7699999999999999E-2</v>
      </c>
      <c r="G4629" s="2">
        <v>5.3E-3</v>
      </c>
      <c r="H4629" s="2">
        <v>8.5000000000000006E-3</v>
      </c>
      <c r="I4629" s="2">
        <v>4.0000000000000001E-3</v>
      </c>
      <c r="J4629" s="2">
        <v>5.3E-3</v>
      </c>
      <c r="K4629" s="2">
        <v>4.5999999999999999E-3</v>
      </c>
      <c r="L4629" s="2">
        <v>5.9999999999999995E-4</v>
      </c>
      <c r="O4629" s="2">
        <v>5.0000000000000001E-4</v>
      </c>
      <c r="P4629" s="2">
        <v>5.9999999999999995E-4</v>
      </c>
      <c r="Q4629">
        <v>899</v>
      </c>
    </row>
    <row r="4630" spans="1:17" x14ac:dyDescent="0.35">
      <c r="A4630" t="s">
        <v>227</v>
      </c>
      <c r="B4630" t="s">
        <v>1337</v>
      </c>
      <c r="C4630" t="s">
        <v>1342</v>
      </c>
      <c r="D4630" s="2">
        <v>0.89129999999999998</v>
      </c>
      <c r="E4630" s="2">
        <v>1.78E-2</v>
      </c>
      <c r="F4630" s="2">
        <v>6.8699999999999997E-2</v>
      </c>
      <c r="G4630" s="2">
        <v>1.37E-2</v>
      </c>
      <c r="H4630" s="2">
        <v>1.6400000000000001E-2</v>
      </c>
      <c r="I4630" s="2">
        <v>1.0999999999999999E-2</v>
      </c>
      <c r="J4630" s="2">
        <v>5.9999999999999995E-4</v>
      </c>
      <c r="K4630" s="2">
        <v>4.7999999999999996E-3</v>
      </c>
      <c r="M4630" s="2">
        <v>2.9999999999999997E-4</v>
      </c>
      <c r="Q4630">
        <v>520</v>
      </c>
    </row>
    <row r="4631" spans="1:17" x14ac:dyDescent="0.35">
      <c r="A4631" t="s">
        <v>228</v>
      </c>
      <c r="B4631" t="s">
        <v>228</v>
      </c>
      <c r="C4631" t="s">
        <v>228</v>
      </c>
      <c r="D4631" s="2">
        <v>0.91120000000000001</v>
      </c>
      <c r="E4631" s="2">
        <v>2.9899999999999999E-2</v>
      </c>
      <c r="F4631" s="2">
        <v>2.8400000000000002E-2</v>
      </c>
      <c r="G4631" s="2">
        <v>1.14E-2</v>
      </c>
      <c r="H4631" s="2">
        <v>9.7000000000000003E-3</v>
      </c>
      <c r="I4631" s="2">
        <v>7.7000000000000002E-3</v>
      </c>
      <c r="J4631" s="2">
        <v>5.1000000000000004E-3</v>
      </c>
      <c r="K4631" s="2">
        <v>4.1999999999999997E-3</v>
      </c>
      <c r="L4631" s="2">
        <v>3.5000000000000001E-3</v>
      </c>
      <c r="M4631" s="2">
        <v>1.6999999999999999E-3</v>
      </c>
      <c r="N4631" s="2">
        <v>8.9999999999999998E-4</v>
      </c>
      <c r="O4631" s="2">
        <v>5.9999999999999995E-4</v>
      </c>
      <c r="P4631" s="2">
        <v>4.0000000000000002E-4</v>
      </c>
      <c r="Q4631">
        <v>2746</v>
      </c>
    </row>
    <row r="4633" spans="1:17" x14ac:dyDescent="0.35">
      <c r="A4633" s="1" t="s">
        <v>1417</v>
      </c>
    </row>
    <row r="4634" spans="1:17" x14ac:dyDescent="0.35">
      <c r="A4634" t="s">
        <v>219</v>
      </c>
      <c r="B4634" t="s">
        <v>1418</v>
      </c>
      <c r="C4634" t="s">
        <v>1419</v>
      </c>
      <c r="D4634" t="s">
        <v>1420</v>
      </c>
      <c r="E4634" t="s">
        <v>1421</v>
      </c>
      <c r="F4634" t="s">
        <v>277</v>
      </c>
      <c r="G4634" t="s">
        <v>282</v>
      </c>
      <c r="H4634" t="s">
        <v>226</v>
      </c>
    </row>
    <row r="4635" spans="1:17" x14ac:dyDescent="0.35">
      <c r="A4635" t="s">
        <v>227</v>
      </c>
      <c r="B4635" s="2">
        <v>0.86029999999999995</v>
      </c>
      <c r="C4635" s="2">
        <v>7.46E-2</v>
      </c>
      <c r="D4635" s="2">
        <v>3.3799999999999997E-2</v>
      </c>
      <c r="E4635" s="2">
        <v>1.4E-2</v>
      </c>
      <c r="F4635" s="2">
        <v>1.35E-2</v>
      </c>
      <c r="G4635" s="2">
        <v>3.7000000000000002E-3</v>
      </c>
      <c r="H4635">
        <v>2813</v>
      </c>
    </row>
    <row r="4636" spans="1:17" x14ac:dyDescent="0.35">
      <c r="A4636" t="s">
        <v>228</v>
      </c>
      <c r="B4636" s="2">
        <v>0.86029999999999995</v>
      </c>
      <c r="C4636" s="2">
        <v>7.46E-2</v>
      </c>
      <c r="D4636" s="2">
        <v>3.3799999999999997E-2</v>
      </c>
      <c r="E4636" s="2">
        <v>1.4E-2</v>
      </c>
      <c r="F4636" s="2">
        <v>1.35E-2</v>
      </c>
      <c r="G4636" s="2">
        <v>3.7000000000000002E-3</v>
      </c>
      <c r="H4636">
        <v>2813</v>
      </c>
    </row>
    <row r="4638" spans="1:17" x14ac:dyDescent="0.35">
      <c r="A4638" s="1" t="s">
        <v>1422</v>
      </c>
    </row>
    <row r="4639" spans="1:17" x14ac:dyDescent="0.35">
      <c r="A4639" t="s">
        <v>219</v>
      </c>
      <c r="B4639" t="s">
        <v>301</v>
      </c>
      <c r="C4639" t="s">
        <v>1418</v>
      </c>
      <c r="D4639" t="s">
        <v>1419</v>
      </c>
      <c r="E4639" t="s">
        <v>1420</v>
      </c>
      <c r="F4639" t="s">
        <v>1421</v>
      </c>
      <c r="G4639" t="s">
        <v>277</v>
      </c>
      <c r="H4639" t="s">
        <v>282</v>
      </c>
      <c r="I4639" t="s">
        <v>226</v>
      </c>
    </row>
    <row r="4640" spans="1:17" x14ac:dyDescent="0.35">
      <c r="A4640" t="s">
        <v>227</v>
      </c>
      <c r="B4640" t="s">
        <v>238</v>
      </c>
      <c r="C4640" s="2">
        <v>0.82579999999999998</v>
      </c>
      <c r="D4640" s="2">
        <v>8.77E-2</v>
      </c>
      <c r="E4640" s="2">
        <v>4.65E-2</v>
      </c>
      <c r="F4640" s="2">
        <v>1.23E-2</v>
      </c>
      <c r="G4640" s="2">
        <v>1.8499999999999999E-2</v>
      </c>
      <c r="H4640" s="2">
        <v>9.1000000000000004E-3</v>
      </c>
      <c r="I4640">
        <v>1005</v>
      </c>
    </row>
    <row r="4641" spans="1:9" x14ac:dyDescent="0.35">
      <c r="A4641" t="s">
        <v>227</v>
      </c>
      <c r="B4641" t="s">
        <v>237</v>
      </c>
      <c r="C4641" s="2">
        <v>0.88029999999999997</v>
      </c>
      <c r="D4641" s="2">
        <v>6.7000000000000004E-2</v>
      </c>
      <c r="E4641" s="2">
        <v>2.64E-2</v>
      </c>
      <c r="F4641" s="2">
        <v>1.4999999999999999E-2</v>
      </c>
      <c r="G4641" s="2">
        <v>1.06E-2</v>
      </c>
      <c r="H4641" s="2">
        <v>5.9999999999999995E-4</v>
      </c>
      <c r="I4641">
        <v>1808</v>
      </c>
    </row>
    <row r="4642" spans="1:9" x14ac:dyDescent="0.35">
      <c r="A4642" t="s">
        <v>228</v>
      </c>
      <c r="B4642" t="s">
        <v>228</v>
      </c>
      <c r="C4642" s="2">
        <v>0.86029999999999995</v>
      </c>
      <c r="D4642" s="2">
        <v>7.46E-2</v>
      </c>
      <c r="E4642" s="2">
        <v>3.3799999999999997E-2</v>
      </c>
      <c r="F4642" s="2">
        <v>1.4E-2</v>
      </c>
      <c r="G4642" s="2">
        <v>1.35E-2</v>
      </c>
      <c r="H4642" s="2">
        <v>3.7000000000000002E-3</v>
      </c>
      <c r="I4642">
        <v>2813</v>
      </c>
    </row>
    <row r="4644" spans="1:9" x14ac:dyDescent="0.35">
      <c r="A4644" s="1" t="s">
        <v>1423</v>
      </c>
    </row>
    <row r="4645" spans="1:9" x14ac:dyDescent="0.35">
      <c r="A4645" t="s">
        <v>219</v>
      </c>
      <c r="B4645" t="s">
        <v>301</v>
      </c>
      <c r="C4645" t="s">
        <v>1418</v>
      </c>
      <c r="D4645" t="s">
        <v>1419</v>
      </c>
      <c r="E4645" t="s">
        <v>1420</v>
      </c>
      <c r="F4645" t="s">
        <v>1421</v>
      </c>
      <c r="G4645" t="s">
        <v>277</v>
      </c>
      <c r="H4645" t="s">
        <v>282</v>
      </c>
      <c r="I4645" t="s">
        <v>226</v>
      </c>
    </row>
    <row r="4646" spans="1:9" x14ac:dyDescent="0.35">
      <c r="A4646" t="s">
        <v>227</v>
      </c>
      <c r="B4646" t="s">
        <v>235</v>
      </c>
      <c r="C4646" s="2">
        <v>0.83879999999999999</v>
      </c>
      <c r="D4646" s="2">
        <v>9.5799999999999996E-2</v>
      </c>
      <c r="E4646" s="2">
        <v>3.5700000000000003E-2</v>
      </c>
      <c r="F4646" s="2">
        <v>1.6E-2</v>
      </c>
      <c r="G4646" s="2">
        <v>1.06E-2</v>
      </c>
      <c r="H4646" s="2">
        <v>3.0999999999999999E-3</v>
      </c>
      <c r="I4646">
        <v>992</v>
      </c>
    </row>
    <row r="4647" spans="1:9" x14ac:dyDescent="0.35">
      <c r="A4647" t="s">
        <v>227</v>
      </c>
      <c r="B4647" t="s">
        <v>234</v>
      </c>
      <c r="C4647" s="2">
        <v>0.86919999999999997</v>
      </c>
      <c r="D4647" s="2">
        <v>6.5799999999999997E-2</v>
      </c>
      <c r="E4647" s="2">
        <v>3.3099999999999997E-2</v>
      </c>
      <c r="F4647" s="2">
        <v>1.32E-2</v>
      </c>
      <c r="G4647" s="2">
        <v>1.47E-2</v>
      </c>
      <c r="H4647" s="2">
        <v>4.0000000000000001E-3</v>
      </c>
      <c r="I4647">
        <v>1821</v>
      </c>
    </row>
    <row r="4648" spans="1:9" x14ac:dyDescent="0.35">
      <c r="A4648" t="s">
        <v>228</v>
      </c>
      <c r="B4648" t="s">
        <v>228</v>
      </c>
      <c r="C4648" s="2">
        <v>0.86029999999999995</v>
      </c>
      <c r="D4648" s="2">
        <v>7.46E-2</v>
      </c>
      <c r="E4648" s="2">
        <v>3.3799999999999997E-2</v>
      </c>
      <c r="F4648" s="2">
        <v>1.4E-2</v>
      </c>
      <c r="G4648" s="2">
        <v>1.35E-2</v>
      </c>
      <c r="H4648" s="2">
        <v>3.7000000000000002E-3</v>
      </c>
      <c r="I4648">
        <v>2813</v>
      </c>
    </row>
    <row r="4650" spans="1:9" x14ac:dyDescent="0.35">
      <c r="A4650" s="1" t="s">
        <v>1424</v>
      </c>
    </row>
    <row r="4651" spans="1:9" x14ac:dyDescent="0.35">
      <c r="A4651" t="s">
        <v>219</v>
      </c>
      <c r="B4651" t="s">
        <v>301</v>
      </c>
      <c r="C4651" t="s">
        <v>1418</v>
      </c>
      <c r="D4651" t="s">
        <v>1419</v>
      </c>
      <c r="E4651" t="s">
        <v>1420</v>
      </c>
      <c r="F4651" t="s">
        <v>1421</v>
      </c>
      <c r="G4651" t="s">
        <v>277</v>
      </c>
      <c r="H4651" t="s">
        <v>282</v>
      </c>
      <c r="I4651" t="s">
        <v>226</v>
      </c>
    </row>
    <row r="4652" spans="1:9" x14ac:dyDescent="0.35">
      <c r="A4652" t="s">
        <v>227</v>
      </c>
      <c r="B4652" t="s">
        <v>240</v>
      </c>
      <c r="C4652" s="2">
        <v>0.85350000000000004</v>
      </c>
      <c r="D4652" s="2">
        <v>7.7799999999999994E-2</v>
      </c>
      <c r="E4652" s="2">
        <v>3.6799999999999999E-2</v>
      </c>
      <c r="F4652" s="2">
        <v>1.3299999999999999E-2</v>
      </c>
      <c r="G4652" s="2">
        <v>1.3899999999999999E-2</v>
      </c>
      <c r="H4652" s="2">
        <v>4.7000000000000002E-3</v>
      </c>
      <c r="I4652">
        <v>1756</v>
      </c>
    </row>
    <row r="4653" spans="1:9" x14ac:dyDescent="0.35">
      <c r="A4653" t="s">
        <v>227</v>
      </c>
      <c r="B4653" t="s">
        <v>241</v>
      </c>
      <c r="C4653" s="2">
        <v>0.88539999999999996</v>
      </c>
      <c r="D4653" s="2">
        <v>5.6300000000000003E-2</v>
      </c>
      <c r="E4653" s="2">
        <v>2.2800000000000001E-2</v>
      </c>
      <c r="F4653" s="2">
        <v>1.7600000000000001E-2</v>
      </c>
      <c r="G4653" s="2">
        <v>1.5599999999999999E-2</v>
      </c>
      <c r="H4653" s="2">
        <v>2.3999999999999998E-3</v>
      </c>
      <c r="I4653">
        <v>891</v>
      </c>
    </row>
    <row r="4654" spans="1:9" x14ac:dyDescent="0.35">
      <c r="A4654" t="s">
        <v>227</v>
      </c>
      <c r="B4654" t="s">
        <v>242</v>
      </c>
      <c r="C4654" s="2">
        <v>0.8135</v>
      </c>
      <c r="D4654" s="2">
        <v>0.1258</v>
      </c>
      <c r="E4654" s="2">
        <v>5.4600000000000003E-2</v>
      </c>
      <c r="F4654" s="2">
        <v>5.7000000000000002E-3</v>
      </c>
      <c r="G4654" s="2">
        <v>4.0000000000000002E-4</v>
      </c>
      <c r="I4654">
        <v>166</v>
      </c>
    </row>
    <row r="4655" spans="1:9" x14ac:dyDescent="0.35">
      <c r="A4655" t="s">
        <v>228</v>
      </c>
      <c r="B4655" t="s">
        <v>228</v>
      </c>
      <c r="C4655" s="2">
        <v>0.86029999999999995</v>
      </c>
      <c r="D4655" s="2">
        <v>7.46E-2</v>
      </c>
      <c r="E4655" s="2">
        <v>3.3799999999999997E-2</v>
      </c>
      <c r="F4655" s="2">
        <v>1.4E-2</v>
      </c>
      <c r="G4655" s="2">
        <v>1.35E-2</v>
      </c>
      <c r="H4655" s="2">
        <v>3.7000000000000002E-3</v>
      </c>
      <c r="I4655">
        <v>2813</v>
      </c>
    </row>
    <row r="4657" spans="1:9" x14ac:dyDescent="0.35">
      <c r="A4657" s="1" t="s">
        <v>1425</v>
      </c>
    </row>
    <row r="4658" spans="1:9" x14ac:dyDescent="0.35">
      <c r="A4658" t="s">
        <v>219</v>
      </c>
      <c r="B4658" t="s">
        <v>301</v>
      </c>
      <c r="C4658" t="s">
        <v>1418</v>
      </c>
      <c r="D4658" t="s">
        <v>1419</v>
      </c>
      <c r="E4658" t="s">
        <v>1420</v>
      </c>
      <c r="F4658" t="s">
        <v>1421</v>
      </c>
      <c r="G4658" t="s">
        <v>277</v>
      </c>
      <c r="H4658" t="s">
        <v>282</v>
      </c>
      <c r="I4658" t="s">
        <v>226</v>
      </c>
    </row>
    <row r="4659" spans="1:9" x14ac:dyDescent="0.35">
      <c r="A4659" t="s">
        <v>227</v>
      </c>
      <c r="B4659" t="s">
        <v>334</v>
      </c>
      <c r="C4659" s="2">
        <v>0.85950000000000004</v>
      </c>
      <c r="D4659" s="2">
        <v>9.2700000000000005E-2</v>
      </c>
      <c r="E4659" s="2">
        <v>3.1300000000000001E-2</v>
      </c>
      <c r="F4659" s="2">
        <v>6.8999999999999999E-3</v>
      </c>
      <c r="G4659" s="2">
        <v>5.3E-3</v>
      </c>
      <c r="H4659" s="2">
        <v>4.3E-3</v>
      </c>
      <c r="I4659">
        <v>625</v>
      </c>
    </row>
    <row r="4660" spans="1:9" x14ac:dyDescent="0.35">
      <c r="A4660" t="s">
        <v>227</v>
      </c>
      <c r="B4660" t="s">
        <v>335</v>
      </c>
      <c r="C4660" s="2">
        <v>0.8649</v>
      </c>
      <c r="D4660" s="2">
        <v>7.7799999999999994E-2</v>
      </c>
      <c r="E4660" s="2">
        <v>2.8299999999999999E-2</v>
      </c>
      <c r="F4660" s="2">
        <v>9.4000000000000004E-3</v>
      </c>
      <c r="G4660" s="2">
        <v>1.38E-2</v>
      </c>
      <c r="H4660" s="2">
        <v>5.7000000000000002E-3</v>
      </c>
      <c r="I4660">
        <v>628</v>
      </c>
    </row>
    <row r="4661" spans="1:9" x14ac:dyDescent="0.35">
      <c r="A4661" t="s">
        <v>227</v>
      </c>
      <c r="B4661" t="s">
        <v>336</v>
      </c>
      <c r="C4661" s="2">
        <v>0.88900000000000001</v>
      </c>
      <c r="D4661" s="2">
        <v>5.8000000000000003E-2</v>
      </c>
      <c r="E4661" s="2">
        <v>2.7300000000000001E-2</v>
      </c>
      <c r="F4661" s="2">
        <v>1.3599999999999999E-2</v>
      </c>
      <c r="G4661" s="2">
        <v>1.18E-2</v>
      </c>
      <c r="H4661" s="2">
        <v>1E-4</v>
      </c>
      <c r="I4661">
        <v>621</v>
      </c>
    </row>
    <row r="4662" spans="1:9" x14ac:dyDescent="0.35">
      <c r="A4662" t="s">
        <v>227</v>
      </c>
      <c r="B4662" t="s">
        <v>337</v>
      </c>
      <c r="C4662" s="2">
        <v>0.85050000000000003</v>
      </c>
      <c r="D4662" s="2">
        <v>7.3499999999999996E-2</v>
      </c>
      <c r="E4662" s="2">
        <v>5.6800000000000003E-2</v>
      </c>
      <c r="F4662" s="2">
        <v>1.6400000000000001E-2</v>
      </c>
      <c r="G4662" s="2">
        <v>2.8E-3</v>
      </c>
      <c r="I4662">
        <v>602</v>
      </c>
    </row>
    <row r="4663" spans="1:9" x14ac:dyDescent="0.35">
      <c r="A4663" t="s">
        <v>228</v>
      </c>
      <c r="B4663" t="s">
        <v>228</v>
      </c>
      <c r="C4663" s="2">
        <v>0.86029999999999995</v>
      </c>
      <c r="D4663" s="2">
        <v>7.46E-2</v>
      </c>
      <c r="E4663" s="2">
        <v>3.3799999999999997E-2</v>
      </c>
      <c r="F4663" s="2">
        <v>1.4E-2</v>
      </c>
      <c r="G4663" s="2">
        <v>1.35E-2</v>
      </c>
      <c r="H4663" s="2">
        <v>3.7000000000000002E-3</v>
      </c>
      <c r="I4663">
        <v>2476</v>
      </c>
    </row>
    <row r="4665" spans="1:9" x14ac:dyDescent="0.35">
      <c r="A4665" s="1" t="s">
        <v>1426</v>
      </c>
    </row>
    <row r="4666" spans="1:9" x14ac:dyDescent="0.35">
      <c r="A4666" t="s">
        <v>219</v>
      </c>
      <c r="B4666" t="s">
        <v>301</v>
      </c>
      <c r="C4666" t="s">
        <v>1418</v>
      </c>
      <c r="D4666" t="s">
        <v>1419</v>
      </c>
      <c r="E4666" t="s">
        <v>1420</v>
      </c>
      <c r="F4666" t="s">
        <v>1421</v>
      </c>
      <c r="G4666" t="s">
        <v>277</v>
      </c>
      <c r="H4666" t="s">
        <v>282</v>
      </c>
      <c r="I4666" t="s">
        <v>226</v>
      </c>
    </row>
    <row r="4667" spans="1:9" x14ac:dyDescent="0.35">
      <c r="A4667" t="s">
        <v>227</v>
      </c>
      <c r="B4667" t="s">
        <v>263</v>
      </c>
      <c r="C4667" s="2">
        <v>0.86480000000000001</v>
      </c>
      <c r="D4667" s="2">
        <v>7.0099999999999996E-2</v>
      </c>
      <c r="E4667" s="2">
        <v>3.5799999999999998E-2</v>
      </c>
      <c r="F4667" s="2">
        <v>2.3900000000000001E-2</v>
      </c>
      <c r="G4667" s="2">
        <v>5.0000000000000001E-3</v>
      </c>
      <c r="H4667" s="2">
        <v>5.0000000000000001E-4</v>
      </c>
      <c r="I4667">
        <v>589</v>
      </c>
    </row>
    <row r="4668" spans="1:9" x14ac:dyDescent="0.35">
      <c r="A4668" t="s">
        <v>227</v>
      </c>
      <c r="B4668" t="s">
        <v>262</v>
      </c>
      <c r="C4668" s="2">
        <v>0.88570000000000004</v>
      </c>
      <c r="D4668" s="2">
        <v>5.3900000000000003E-2</v>
      </c>
      <c r="E4668" s="2">
        <v>2.9600000000000001E-2</v>
      </c>
      <c r="F4668" s="2">
        <v>1.2699999999999999E-2</v>
      </c>
      <c r="G4668" s="2">
        <v>1.61E-2</v>
      </c>
      <c r="H4668" s="2">
        <v>2E-3</v>
      </c>
      <c r="I4668">
        <v>1160</v>
      </c>
    </row>
    <row r="4669" spans="1:9" x14ac:dyDescent="0.35">
      <c r="A4669" t="s">
        <v>227</v>
      </c>
      <c r="B4669" t="s">
        <v>261</v>
      </c>
      <c r="C4669" s="2">
        <v>0.83709999999999996</v>
      </c>
      <c r="D4669" s="2">
        <v>9.35E-2</v>
      </c>
      <c r="E4669" s="2">
        <v>3.6600000000000001E-2</v>
      </c>
      <c r="F4669" s="2">
        <v>1.04E-2</v>
      </c>
      <c r="G4669" s="2">
        <v>1.55E-2</v>
      </c>
      <c r="H4669" s="2">
        <v>6.7999999999999996E-3</v>
      </c>
      <c r="I4669">
        <v>1062</v>
      </c>
    </row>
    <row r="4670" spans="1:9" x14ac:dyDescent="0.35">
      <c r="A4670" s="3" t="s">
        <v>227</v>
      </c>
      <c r="B4670" s="3" t="s">
        <v>232</v>
      </c>
      <c r="C4670" s="4">
        <v>0.5</v>
      </c>
      <c r="D4670" s="4">
        <v>0.5</v>
      </c>
      <c r="E4670" s="5"/>
      <c r="F4670" s="5"/>
      <c r="G4670" s="5"/>
      <c r="H4670" s="5"/>
      <c r="I4670" s="5" t="s">
        <v>434</v>
      </c>
    </row>
    <row r="4671" spans="1:9" x14ac:dyDescent="0.35">
      <c r="A4671" t="s">
        <v>228</v>
      </c>
      <c r="B4671" t="s">
        <v>228</v>
      </c>
      <c r="C4671" s="2">
        <v>0.86029999999999995</v>
      </c>
      <c r="D4671" s="2">
        <v>7.46E-2</v>
      </c>
      <c r="E4671" s="2">
        <v>3.3799999999999997E-2</v>
      </c>
      <c r="F4671" s="2">
        <v>1.4E-2</v>
      </c>
      <c r="G4671" s="2">
        <v>1.35E-2</v>
      </c>
      <c r="H4671" s="2">
        <v>3.7000000000000002E-3</v>
      </c>
      <c r="I4671">
        <v>2813</v>
      </c>
    </row>
    <row r="4673" spans="1:9" x14ac:dyDescent="0.35">
      <c r="A4673" s="1" t="s">
        <v>1427</v>
      </c>
    </row>
    <row r="4674" spans="1:9" x14ac:dyDescent="0.35">
      <c r="A4674" t="s">
        <v>219</v>
      </c>
      <c r="B4674" t="s">
        <v>301</v>
      </c>
      <c r="C4674" t="s">
        <v>1418</v>
      </c>
      <c r="D4674" t="s">
        <v>1419</v>
      </c>
      <c r="E4674" t="s">
        <v>1420</v>
      </c>
      <c r="F4674" t="s">
        <v>1421</v>
      </c>
      <c r="G4674" t="s">
        <v>277</v>
      </c>
      <c r="H4674" t="s">
        <v>282</v>
      </c>
      <c r="I4674" t="s">
        <v>226</v>
      </c>
    </row>
    <row r="4675" spans="1:9" x14ac:dyDescent="0.35">
      <c r="A4675" t="s">
        <v>227</v>
      </c>
      <c r="B4675" t="s">
        <v>248</v>
      </c>
      <c r="C4675" s="2">
        <v>0.88380000000000003</v>
      </c>
      <c r="D4675" s="2">
        <v>5.3600000000000002E-2</v>
      </c>
      <c r="E4675" s="2">
        <v>1.7500000000000002E-2</v>
      </c>
      <c r="F4675" s="2">
        <v>1.72E-2</v>
      </c>
      <c r="G4675" s="2">
        <v>1.9E-2</v>
      </c>
      <c r="H4675" s="2">
        <v>8.9999999999999993E-3</v>
      </c>
      <c r="I4675">
        <v>796</v>
      </c>
    </row>
    <row r="4676" spans="1:9" x14ac:dyDescent="0.35">
      <c r="A4676" t="s">
        <v>227</v>
      </c>
      <c r="B4676" t="s">
        <v>249</v>
      </c>
      <c r="C4676" s="2">
        <v>0.86050000000000004</v>
      </c>
      <c r="D4676" s="2">
        <v>8.4500000000000006E-2</v>
      </c>
      <c r="E4676" s="2">
        <v>3.6600000000000001E-2</v>
      </c>
      <c r="F4676" s="2">
        <v>6.1999999999999998E-3</v>
      </c>
      <c r="G4676" s="2">
        <v>7.3000000000000001E-3</v>
      </c>
      <c r="H4676" s="2">
        <v>5.0000000000000001E-3</v>
      </c>
      <c r="I4676">
        <v>541</v>
      </c>
    </row>
    <row r="4677" spans="1:9" x14ac:dyDescent="0.35">
      <c r="A4677" t="s">
        <v>227</v>
      </c>
      <c r="B4677" t="s">
        <v>247</v>
      </c>
      <c r="C4677" s="2">
        <v>0.84799999999999998</v>
      </c>
      <c r="D4677" s="2">
        <v>8.1900000000000001E-2</v>
      </c>
      <c r="E4677" s="2">
        <v>4.1300000000000003E-2</v>
      </c>
      <c r="F4677" s="2">
        <v>1.5299999999999999E-2</v>
      </c>
      <c r="G4677" s="2">
        <v>1.2999999999999999E-2</v>
      </c>
      <c r="H4677" s="2">
        <v>5.9999999999999995E-4</v>
      </c>
      <c r="I4677">
        <v>1476</v>
      </c>
    </row>
    <row r="4678" spans="1:9" x14ac:dyDescent="0.35">
      <c r="A4678" t="s">
        <v>228</v>
      </c>
      <c r="B4678" t="s">
        <v>228</v>
      </c>
      <c r="C4678" s="2">
        <v>0.86029999999999995</v>
      </c>
      <c r="D4678" s="2">
        <v>7.46E-2</v>
      </c>
      <c r="E4678" s="2">
        <v>3.3799999999999997E-2</v>
      </c>
      <c r="F4678" s="2">
        <v>1.4E-2</v>
      </c>
      <c r="G4678" s="2">
        <v>1.35E-2</v>
      </c>
      <c r="H4678" s="2">
        <v>3.7000000000000002E-3</v>
      </c>
      <c r="I4678">
        <v>2813</v>
      </c>
    </row>
    <row r="4680" spans="1:9" x14ac:dyDescent="0.35">
      <c r="A4680" s="1" t="s">
        <v>1428</v>
      </c>
    </row>
    <row r="4681" spans="1:9" x14ac:dyDescent="0.35">
      <c r="A4681" t="s">
        <v>219</v>
      </c>
      <c r="B4681" t="s">
        <v>301</v>
      </c>
      <c r="C4681" t="s">
        <v>1418</v>
      </c>
      <c r="D4681" t="s">
        <v>1419</v>
      </c>
      <c r="E4681" t="s">
        <v>1420</v>
      </c>
      <c r="F4681" t="s">
        <v>1421</v>
      </c>
      <c r="G4681" t="s">
        <v>277</v>
      </c>
      <c r="H4681" t="s">
        <v>282</v>
      </c>
      <c r="I4681" t="s">
        <v>226</v>
      </c>
    </row>
    <row r="4682" spans="1:9" x14ac:dyDescent="0.35">
      <c r="A4682" t="s">
        <v>227</v>
      </c>
      <c r="B4682" t="s">
        <v>245</v>
      </c>
      <c r="C4682" s="2">
        <v>0.82830000000000004</v>
      </c>
      <c r="D4682" s="2">
        <v>8.8900000000000007E-2</v>
      </c>
      <c r="E4682" s="2">
        <v>5.0700000000000002E-2</v>
      </c>
      <c r="F4682" s="2">
        <v>1.8499999999999999E-2</v>
      </c>
      <c r="G4682" s="2">
        <v>1.3100000000000001E-2</v>
      </c>
      <c r="H4682" s="2">
        <v>4.0000000000000002E-4</v>
      </c>
      <c r="I4682">
        <v>783</v>
      </c>
    </row>
    <row r="4683" spans="1:9" x14ac:dyDescent="0.35">
      <c r="A4683" t="s">
        <v>227</v>
      </c>
      <c r="B4683" t="s">
        <v>244</v>
      </c>
      <c r="C4683" s="2">
        <v>0.87290000000000001</v>
      </c>
      <c r="D4683" s="2">
        <v>6.9000000000000006E-2</v>
      </c>
      <c r="E4683" s="2">
        <v>2.7099999999999999E-2</v>
      </c>
      <c r="F4683" s="2">
        <v>1.23E-2</v>
      </c>
      <c r="G4683" s="2">
        <v>1.37E-2</v>
      </c>
      <c r="H4683" s="2">
        <v>5.1000000000000004E-3</v>
      </c>
      <c r="I4683">
        <v>2030</v>
      </c>
    </row>
    <row r="4684" spans="1:9" x14ac:dyDescent="0.35">
      <c r="A4684" t="s">
        <v>228</v>
      </c>
      <c r="B4684" t="s">
        <v>228</v>
      </c>
      <c r="C4684" s="2">
        <v>0.86029999999999995</v>
      </c>
      <c r="D4684" s="2">
        <v>7.46E-2</v>
      </c>
      <c r="E4684" s="2">
        <v>3.3799999999999997E-2</v>
      </c>
      <c r="F4684" s="2">
        <v>1.4E-2</v>
      </c>
      <c r="G4684" s="2">
        <v>1.35E-2</v>
      </c>
      <c r="H4684" s="2">
        <v>3.7000000000000002E-3</v>
      </c>
      <c r="I4684">
        <v>2813</v>
      </c>
    </row>
    <row r="4686" spans="1:9" x14ac:dyDescent="0.35">
      <c r="A4686" s="1" t="s">
        <v>1429</v>
      </c>
    </row>
    <row r="4687" spans="1:9" x14ac:dyDescent="0.35">
      <c r="A4687" t="s">
        <v>219</v>
      </c>
      <c r="B4687" t="s">
        <v>301</v>
      </c>
      <c r="C4687" t="s">
        <v>1418</v>
      </c>
      <c r="D4687" t="s">
        <v>1419</v>
      </c>
      <c r="E4687" t="s">
        <v>1420</v>
      </c>
      <c r="F4687" t="s">
        <v>1421</v>
      </c>
      <c r="G4687" t="s">
        <v>277</v>
      </c>
      <c r="H4687" t="s">
        <v>282</v>
      </c>
      <c r="I4687" t="s">
        <v>226</v>
      </c>
    </row>
    <row r="4688" spans="1:9" x14ac:dyDescent="0.35">
      <c r="A4688" t="s">
        <v>227</v>
      </c>
      <c r="B4688" t="s">
        <v>259</v>
      </c>
      <c r="C4688" s="2">
        <v>0.85619999999999996</v>
      </c>
      <c r="D4688" s="2">
        <v>4.9500000000000002E-2</v>
      </c>
      <c r="E4688" s="2">
        <v>2.93E-2</v>
      </c>
      <c r="F4688" s="2">
        <v>1.26E-2</v>
      </c>
      <c r="G4688" s="2">
        <v>5.2299999999999999E-2</v>
      </c>
      <c r="I4688">
        <v>69</v>
      </c>
    </row>
    <row r="4689" spans="1:9" x14ac:dyDescent="0.35">
      <c r="A4689" t="s">
        <v>227</v>
      </c>
      <c r="B4689" t="s">
        <v>257</v>
      </c>
      <c r="C4689" s="2">
        <v>0.83069999999999999</v>
      </c>
      <c r="D4689" s="2">
        <v>9.9199999999999997E-2</v>
      </c>
      <c r="E4689" s="2">
        <v>4.0300000000000002E-2</v>
      </c>
      <c r="F4689" s="2">
        <v>2.46E-2</v>
      </c>
      <c r="G4689" s="2">
        <v>5.1999999999999998E-3</v>
      </c>
      <c r="I4689">
        <v>405</v>
      </c>
    </row>
    <row r="4690" spans="1:9" x14ac:dyDescent="0.35">
      <c r="A4690" t="s">
        <v>227</v>
      </c>
      <c r="B4690" t="s">
        <v>256</v>
      </c>
      <c r="C4690" s="2">
        <v>0.87190000000000001</v>
      </c>
      <c r="D4690" s="2">
        <v>6.9800000000000001E-2</v>
      </c>
      <c r="E4690" s="2">
        <v>2.5000000000000001E-2</v>
      </c>
      <c r="F4690" s="2">
        <v>1.4E-2</v>
      </c>
      <c r="G4690" s="2">
        <v>1.5299999999999999E-2</v>
      </c>
      <c r="H4690" s="2">
        <v>4.0000000000000001E-3</v>
      </c>
      <c r="I4690">
        <v>1803</v>
      </c>
    </row>
    <row r="4691" spans="1:9" x14ac:dyDescent="0.35">
      <c r="A4691" s="3" t="s">
        <v>227</v>
      </c>
      <c r="B4691" s="3" t="s">
        <v>232</v>
      </c>
      <c r="C4691" s="4">
        <v>0.98670000000000002</v>
      </c>
      <c r="D4691" s="4">
        <v>1.3299999999999999E-2</v>
      </c>
      <c r="E4691" s="5"/>
      <c r="F4691" s="5"/>
      <c r="G4691" s="5"/>
      <c r="H4691" s="5"/>
      <c r="I4691" s="5" t="s">
        <v>307</v>
      </c>
    </row>
    <row r="4692" spans="1:9" x14ac:dyDescent="0.35">
      <c r="A4692" t="s">
        <v>227</v>
      </c>
      <c r="B4692" t="s">
        <v>258</v>
      </c>
      <c r="C4692" s="2">
        <v>0.84040000000000004</v>
      </c>
      <c r="D4692" s="2">
        <v>7.1900000000000006E-2</v>
      </c>
      <c r="E4692" s="2">
        <v>6.7100000000000007E-2</v>
      </c>
      <c r="F4692" s="2">
        <v>2.5999999999999999E-3</v>
      </c>
      <c r="G4692" s="2">
        <v>1.0800000000000001E-2</v>
      </c>
      <c r="H4692" s="2">
        <v>7.3000000000000001E-3</v>
      </c>
      <c r="I4692">
        <v>525</v>
      </c>
    </row>
    <row r="4693" spans="1:9" x14ac:dyDescent="0.35">
      <c r="A4693" t="s">
        <v>228</v>
      </c>
      <c r="B4693" t="s">
        <v>228</v>
      </c>
      <c r="C4693" s="2">
        <v>0.86029999999999995</v>
      </c>
      <c r="D4693" s="2">
        <v>7.46E-2</v>
      </c>
      <c r="E4693" s="2">
        <v>3.3799999999999997E-2</v>
      </c>
      <c r="F4693" s="2">
        <v>1.4E-2</v>
      </c>
      <c r="G4693" s="2">
        <v>1.35E-2</v>
      </c>
      <c r="H4693" s="2">
        <v>3.7000000000000002E-3</v>
      </c>
      <c r="I4693">
        <v>2813</v>
      </c>
    </row>
    <row r="4695" spans="1:9" x14ac:dyDescent="0.35">
      <c r="A4695" s="1" t="s">
        <v>1430</v>
      </c>
    </row>
    <row r="4696" spans="1:9" x14ac:dyDescent="0.35">
      <c r="A4696" t="s">
        <v>219</v>
      </c>
      <c r="B4696" t="s">
        <v>301</v>
      </c>
      <c r="C4696" t="s">
        <v>1418</v>
      </c>
      <c r="D4696" t="s">
        <v>1419</v>
      </c>
      <c r="E4696" t="s">
        <v>1420</v>
      </c>
      <c r="F4696" t="s">
        <v>1421</v>
      </c>
      <c r="G4696" t="s">
        <v>277</v>
      </c>
      <c r="H4696" t="s">
        <v>282</v>
      </c>
      <c r="I4696" t="s">
        <v>226</v>
      </c>
    </row>
    <row r="4697" spans="1:9" x14ac:dyDescent="0.35">
      <c r="A4697" t="s">
        <v>227</v>
      </c>
      <c r="B4697" t="s">
        <v>343</v>
      </c>
      <c r="C4697" s="2">
        <v>0.83069999999999999</v>
      </c>
      <c r="D4697" s="2">
        <v>9.9199999999999997E-2</v>
      </c>
      <c r="E4697" s="2">
        <v>4.0300000000000002E-2</v>
      </c>
      <c r="F4697" s="2">
        <v>2.46E-2</v>
      </c>
      <c r="G4697" s="2">
        <v>5.1999999999999998E-3</v>
      </c>
      <c r="I4697">
        <v>405</v>
      </c>
    </row>
    <row r="4698" spans="1:9" x14ac:dyDescent="0.35">
      <c r="A4698" t="s">
        <v>227</v>
      </c>
      <c r="B4698" t="s">
        <v>344</v>
      </c>
      <c r="C4698" s="2">
        <v>0.86629999999999996</v>
      </c>
      <c r="D4698" s="2">
        <v>6.9599999999999995E-2</v>
      </c>
      <c r="E4698" s="2">
        <v>3.2500000000000001E-2</v>
      </c>
      <c r="F4698" s="2">
        <v>1.1900000000000001E-2</v>
      </c>
      <c r="G4698" s="2">
        <v>1.52E-2</v>
      </c>
      <c r="H4698" s="2">
        <v>4.4999999999999997E-3</v>
      </c>
      <c r="I4698">
        <v>2408</v>
      </c>
    </row>
    <row r="4699" spans="1:9" x14ac:dyDescent="0.35">
      <c r="A4699" t="s">
        <v>228</v>
      </c>
      <c r="B4699" t="s">
        <v>228</v>
      </c>
      <c r="C4699" s="2">
        <v>0.86029999999999995</v>
      </c>
      <c r="D4699" s="2">
        <v>7.46E-2</v>
      </c>
      <c r="E4699" s="2">
        <v>3.3799999999999997E-2</v>
      </c>
      <c r="F4699" s="2">
        <v>1.4E-2</v>
      </c>
      <c r="G4699" s="2">
        <v>1.35E-2</v>
      </c>
      <c r="H4699" s="2">
        <v>3.7000000000000002E-3</v>
      </c>
      <c r="I4699">
        <v>2813</v>
      </c>
    </row>
    <row r="4701" spans="1:9" x14ac:dyDescent="0.35">
      <c r="A4701" s="1" t="s">
        <v>1431</v>
      </c>
    </row>
    <row r="4702" spans="1:9" x14ac:dyDescent="0.35">
      <c r="A4702" t="s">
        <v>219</v>
      </c>
      <c r="B4702" t="s">
        <v>301</v>
      </c>
      <c r="C4702" t="s">
        <v>1418</v>
      </c>
      <c r="D4702" t="s">
        <v>1419</v>
      </c>
      <c r="E4702" t="s">
        <v>1420</v>
      </c>
      <c r="F4702" t="s">
        <v>1421</v>
      </c>
      <c r="G4702" t="s">
        <v>277</v>
      </c>
      <c r="H4702" t="s">
        <v>282</v>
      </c>
      <c r="I4702" t="s">
        <v>226</v>
      </c>
    </row>
    <row r="4703" spans="1:9" x14ac:dyDescent="0.35">
      <c r="A4703" t="s">
        <v>227</v>
      </c>
      <c r="B4703" t="s">
        <v>346</v>
      </c>
      <c r="C4703" s="2">
        <v>0.85970000000000002</v>
      </c>
      <c r="D4703" s="2">
        <v>7.6200000000000004E-2</v>
      </c>
      <c r="E4703" s="2">
        <v>3.2899999999999999E-2</v>
      </c>
      <c r="F4703" s="2">
        <v>1.43E-2</v>
      </c>
      <c r="G4703" s="2">
        <v>1.2999999999999999E-2</v>
      </c>
      <c r="H4703" s="2">
        <v>3.8999999999999998E-3</v>
      </c>
      <c r="I4703">
        <v>1463</v>
      </c>
    </row>
    <row r="4704" spans="1:9" x14ac:dyDescent="0.35">
      <c r="A4704" t="s">
        <v>227</v>
      </c>
      <c r="B4704" t="s">
        <v>347</v>
      </c>
      <c r="C4704" s="2">
        <v>0.81669999999999998</v>
      </c>
      <c r="D4704" s="2">
        <v>8.6800000000000002E-2</v>
      </c>
      <c r="E4704" s="2">
        <v>4.8099999999999997E-2</v>
      </c>
      <c r="F4704" s="2">
        <v>2.4400000000000002E-2</v>
      </c>
      <c r="G4704" s="2">
        <v>1.6299999999999999E-2</v>
      </c>
      <c r="H4704" s="2">
        <v>7.7000000000000002E-3</v>
      </c>
      <c r="I4704">
        <v>585</v>
      </c>
    </row>
    <row r="4705" spans="1:9" x14ac:dyDescent="0.35">
      <c r="A4705" t="s">
        <v>227</v>
      </c>
      <c r="B4705" t="s">
        <v>348</v>
      </c>
      <c r="C4705" s="2">
        <v>0.88190000000000002</v>
      </c>
      <c r="D4705" s="2">
        <v>5.5599999999999997E-2</v>
      </c>
      <c r="E4705" s="2">
        <v>3.6799999999999999E-2</v>
      </c>
      <c r="F4705" s="2">
        <v>7.7000000000000002E-3</v>
      </c>
      <c r="G4705" s="2">
        <v>1.6899999999999998E-2</v>
      </c>
      <c r="H4705" s="2">
        <v>1.1000000000000001E-3</v>
      </c>
      <c r="I4705">
        <v>765</v>
      </c>
    </row>
    <row r="4706" spans="1:9" x14ac:dyDescent="0.35">
      <c r="A4706" t="s">
        <v>228</v>
      </c>
      <c r="B4706" t="s">
        <v>228</v>
      </c>
      <c r="C4706" s="2">
        <v>0.86029999999999995</v>
      </c>
      <c r="D4706" s="2">
        <v>7.46E-2</v>
      </c>
      <c r="E4706" s="2">
        <v>3.3799999999999997E-2</v>
      </c>
      <c r="F4706" s="2">
        <v>1.4E-2</v>
      </c>
      <c r="G4706" s="2">
        <v>1.35E-2</v>
      </c>
      <c r="H4706" s="2">
        <v>3.7000000000000002E-3</v>
      </c>
      <c r="I4706">
        <v>2813</v>
      </c>
    </row>
    <row r="4708" spans="1:9" x14ac:dyDescent="0.35">
      <c r="A4708" s="1" t="s">
        <v>1432</v>
      </c>
    </row>
    <row r="4709" spans="1:9" x14ac:dyDescent="0.35">
      <c r="A4709" t="s">
        <v>219</v>
      </c>
      <c r="B4709" t="s">
        <v>301</v>
      </c>
      <c r="C4709" t="s">
        <v>1418</v>
      </c>
      <c r="D4709" t="s">
        <v>1419</v>
      </c>
      <c r="E4709" t="s">
        <v>1420</v>
      </c>
      <c r="F4709" t="s">
        <v>1421</v>
      </c>
      <c r="G4709" t="s">
        <v>277</v>
      </c>
      <c r="H4709" t="s">
        <v>282</v>
      </c>
      <c r="I4709" t="s">
        <v>226</v>
      </c>
    </row>
    <row r="4710" spans="1:9" x14ac:dyDescent="0.35">
      <c r="A4710" t="s">
        <v>227</v>
      </c>
      <c r="B4710" t="s">
        <v>251</v>
      </c>
      <c r="C4710" s="2">
        <v>0.87290000000000001</v>
      </c>
      <c r="D4710" s="2">
        <v>6.9000000000000006E-2</v>
      </c>
      <c r="E4710" s="2">
        <v>2.7099999999999999E-2</v>
      </c>
      <c r="F4710" s="2">
        <v>1.23E-2</v>
      </c>
      <c r="G4710" s="2">
        <v>1.37E-2</v>
      </c>
      <c r="H4710" s="2">
        <v>5.1000000000000004E-3</v>
      </c>
      <c r="I4710">
        <v>2030</v>
      </c>
    </row>
    <row r="4711" spans="1:9" x14ac:dyDescent="0.35">
      <c r="A4711" t="s">
        <v>227</v>
      </c>
      <c r="B4711" t="s">
        <v>252</v>
      </c>
      <c r="C4711" s="2">
        <v>0.81789999999999996</v>
      </c>
      <c r="D4711" s="2">
        <v>9.8400000000000001E-2</v>
      </c>
      <c r="E4711" s="2">
        <v>5.0099999999999999E-2</v>
      </c>
      <c r="F4711" s="2">
        <v>1.8499999999999999E-2</v>
      </c>
      <c r="G4711" s="2">
        <v>1.46E-2</v>
      </c>
      <c r="H4711" s="2">
        <v>5.0000000000000001E-4</v>
      </c>
      <c r="I4711">
        <v>621</v>
      </c>
    </row>
    <row r="4712" spans="1:9" x14ac:dyDescent="0.35">
      <c r="A4712" t="s">
        <v>227</v>
      </c>
      <c r="B4712" t="s">
        <v>253</v>
      </c>
      <c r="C4712" s="2">
        <v>0.8679</v>
      </c>
      <c r="D4712" s="2">
        <v>5.0799999999999998E-2</v>
      </c>
      <c r="E4712" s="2">
        <v>5.5E-2</v>
      </c>
      <c r="F4712" s="2">
        <v>1.9300000000000001E-2</v>
      </c>
      <c r="G4712" s="2">
        <v>7.0000000000000001E-3</v>
      </c>
      <c r="I4712">
        <v>153</v>
      </c>
    </row>
    <row r="4713" spans="1:9" x14ac:dyDescent="0.35">
      <c r="A4713" s="3" t="s">
        <v>227</v>
      </c>
      <c r="B4713" s="3" t="s">
        <v>254</v>
      </c>
      <c r="C4713" s="4">
        <v>1</v>
      </c>
      <c r="D4713" s="5"/>
      <c r="E4713" s="5"/>
      <c r="F4713" s="5"/>
      <c r="G4713" s="5"/>
      <c r="H4713" s="5"/>
      <c r="I4713" s="5" t="s">
        <v>515</v>
      </c>
    </row>
    <row r="4714" spans="1:9" x14ac:dyDescent="0.35">
      <c r="A4714" t="s">
        <v>228</v>
      </c>
      <c r="B4714" t="s">
        <v>228</v>
      </c>
      <c r="C4714" s="2">
        <v>0.86029999999999995</v>
      </c>
      <c r="D4714" s="2">
        <v>7.46E-2</v>
      </c>
      <c r="E4714" s="2">
        <v>3.3799999999999997E-2</v>
      </c>
      <c r="F4714" s="2">
        <v>1.4E-2</v>
      </c>
      <c r="G4714" s="2">
        <v>1.35E-2</v>
      </c>
      <c r="H4714" s="2">
        <v>3.7000000000000002E-3</v>
      </c>
      <c r="I4714">
        <v>2813</v>
      </c>
    </row>
    <row r="4716" spans="1:9" x14ac:dyDescent="0.35">
      <c r="A4716" s="1" t="s">
        <v>1433</v>
      </c>
    </row>
    <row r="4717" spans="1:9" x14ac:dyDescent="0.35">
      <c r="A4717" t="s">
        <v>219</v>
      </c>
      <c r="B4717" t="s">
        <v>301</v>
      </c>
      <c r="C4717" t="s">
        <v>1418</v>
      </c>
      <c r="D4717" t="s">
        <v>1419</v>
      </c>
      <c r="E4717" t="s">
        <v>1420</v>
      </c>
      <c r="F4717" t="s">
        <v>1421</v>
      </c>
      <c r="G4717" t="s">
        <v>277</v>
      </c>
      <c r="H4717" t="s">
        <v>282</v>
      </c>
      <c r="I4717" t="s">
        <v>226</v>
      </c>
    </row>
    <row r="4718" spans="1:9" x14ac:dyDescent="0.35">
      <c r="A4718" t="s">
        <v>227</v>
      </c>
      <c r="B4718" t="s">
        <v>1335</v>
      </c>
      <c r="C4718" s="2">
        <v>0.86270000000000002</v>
      </c>
      <c r="D4718" s="2">
        <v>6.8500000000000005E-2</v>
      </c>
      <c r="E4718" s="2">
        <v>2.93E-2</v>
      </c>
      <c r="F4718" s="2">
        <v>2.0799999999999999E-2</v>
      </c>
      <c r="G4718" s="2">
        <v>1.12E-2</v>
      </c>
      <c r="H4718" s="2">
        <v>7.6E-3</v>
      </c>
      <c r="I4718">
        <v>848</v>
      </c>
    </row>
    <row r="4719" spans="1:9" x14ac:dyDescent="0.35">
      <c r="A4719" s="3" t="s">
        <v>227</v>
      </c>
      <c r="B4719" s="3" t="s">
        <v>1336</v>
      </c>
      <c r="C4719" s="4">
        <v>1</v>
      </c>
      <c r="D4719" s="5"/>
      <c r="E4719" s="5"/>
      <c r="F4719" s="5"/>
      <c r="G4719" s="5"/>
      <c r="H4719" s="5"/>
      <c r="I4719" s="5" t="s">
        <v>434</v>
      </c>
    </row>
    <row r="4720" spans="1:9" x14ac:dyDescent="0.35">
      <c r="A4720" t="s">
        <v>227</v>
      </c>
      <c r="B4720" t="s">
        <v>1337</v>
      </c>
      <c r="C4720" s="2">
        <v>0.85870000000000002</v>
      </c>
      <c r="D4720" s="2">
        <v>7.7899999999999997E-2</v>
      </c>
      <c r="E4720" s="2">
        <v>3.6200000000000003E-2</v>
      </c>
      <c r="F4720" s="2">
        <v>1.0699999999999999E-2</v>
      </c>
      <c r="G4720" s="2">
        <v>1.4800000000000001E-2</v>
      </c>
      <c r="H4720" s="2">
        <v>1.8E-3</v>
      </c>
      <c r="I4720">
        <v>1963</v>
      </c>
    </row>
    <row r="4721" spans="1:10" x14ac:dyDescent="0.35">
      <c r="A4721" t="s">
        <v>228</v>
      </c>
      <c r="B4721" t="s">
        <v>228</v>
      </c>
      <c r="C4721" s="2">
        <v>0.86029999999999995</v>
      </c>
      <c r="D4721" s="2">
        <v>7.46E-2</v>
      </c>
      <c r="E4721" s="2">
        <v>3.3799999999999997E-2</v>
      </c>
      <c r="F4721" s="2">
        <v>1.4E-2</v>
      </c>
      <c r="G4721" s="2">
        <v>1.35E-2</v>
      </c>
      <c r="H4721" s="2">
        <v>3.7000000000000002E-3</v>
      </c>
      <c r="I4721">
        <v>2813</v>
      </c>
    </row>
    <row r="4723" spans="1:10" x14ac:dyDescent="0.35">
      <c r="A4723" s="1" t="s">
        <v>1434</v>
      </c>
    </row>
    <row r="4724" spans="1:10" x14ac:dyDescent="0.35">
      <c r="A4724" t="s">
        <v>219</v>
      </c>
      <c r="B4724" t="s">
        <v>301</v>
      </c>
      <c r="C4724" t="s">
        <v>1418</v>
      </c>
      <c r="D4724" t="s">
        <v>1419</v>
      </c>
      <c r="E4724" t="s">
        <v>1420</v>
      </c>
      <c r="F4724" t="s">
        <v>1421</v>
      </c>
      <c r="G4724" t="s">
        <v>277</v>
      </c>
      <c r="H4724" t="s">
        <v>282</v>
      </c>
      <c r="I4724" t="s">
        <v>226</v>
      </c>
    </row>
    <row r="4725" spans="1:10" x14ac:dyDescent="0.35">
      <c r="A4725" t="s">
        <v>227</v>
      </c>
      <c r="B4725" t="s">
        <v>1339</v>
      </c>
      <c r="C4725" s="2">
        <v>0.85019999999999996</v>
      </c>
      <c r="D4725" s="2">
        <v>0.1164</v>
      </c>
      <c r="E4725" s="2">
        <v>3.8E-3</v>
      </c>
      <c r="F4725" s="2">
        <v>2.8400000000000002E-2</v>
      </c>
      <c r="G4725" s="2">
        <v>1.1999999999999999E-3</v>
      </c>
      <c r="I4725">
        <v>51</v>
      </c>
    </row>
    <row r="4726" spans="1:10" x14ac:dyDescent="0.35">
      <c r="A4726" t="s">
        <v>227</v>
      </c>
      <c r="B4726" t="s">
        <v>1340</v>
      </c>
      <c r="C4726" s="2">
        <v>0.86639999999999995</v>
      </c>
      <c r="D4726" s="2">
        <v>6.5000000000000002E-2</v>
      </c>
      <c r="E4726" s="2">
        <v>4.2799999999999998E-2</v>
      </c>
      <c r="F4726" s="2">
        <v>1.06E-2</v>
      </c>
      <c r="G4726" s="2">
        <v>1.4800000000000001E-2</v>
      </c>
      <c r="H4726" s="2">
        <v>5.0000000000000001E-4</v>
      </c>
      <c r="I4726">
        <v>729</v>
      </c>
    </row>
    <row r="4727" spans="1:10" x14ac:dyDescent="0.35">
      <c r="A4727" t="s">
        <v>227</v>
      </c>
      <c r="B4727" t="s">
        <v>1341</v>
      </c>
      <c r="C4727" s="2">
        <v>0.84909999999999997</v>
      </c>
      <c r="D4727" s="2">
        <v>8.7099999999999997E-2</v>
      </c>
      <c r="E4727" s="2">
        <v>3.9800000000000002E-2</v>
      </c>
      <c r="F4727" s="2">
        <v>1.34E-2</v>
      </c>
      <c r="G4727" s="2">
        <v>8.0000000000000002E-3</v>
      </c>
      <c r="H4727" s="2">
        <v>2.5000000000000001E-3</v>
      </c>
      <c r="I4727">
        <v>1344</v>
      </c>
    </row>
    <row r="4728" spans="1:10" x14ac:dyDescent="0.35">
      <c r="A4728" t="s">
        <v>227</v>
      </c>
      <c r="B4728" t="s">
        <v>1342</v>
      </c>
      <c r="C4728" s="2">
        <v>0.879</v>
      </c>
      <c r="D4728" s="2">
        <v>5.3499999999999999E-2</v>
      </c>
      <c r="E4728" s="2">
        <v>1.46E-2</v>
      </c>
      <c r="F4728" s="2">
        <v>1.7399999999999999E-2</v>
      </c>
      <c r="G4728" s="2">
        <v>2.53E-2</v>
      </c>
      <c r="H4728" s="2">
        <v>1.0200000000000001E-2</v>
      </c>
      <c r="I4728">
        <v>689</v>
      </c>
    </row>
    <row r="4729" spans="1:10" x14ac:dyDescent="0.35">
      <c r="A4729" t="s">
        <v>228</v>
      </c>
      <c r="B4729" t="s">
        <v>228</v>
      </c>
      <c r="C4729" s="2">
        <v>0.86029999999999995</v>
      </c>
      <c r="D4729" s="2">
        <v>7.46E-2</v>
      </c>
      <c r="E4729" s="2">
        <v>3.3799999999999997E-2</v>
      </c>
      <c r="F4729" s="2">
        <v>1.4E-2</v>
      </c>
      <c r="G4729" s="2">
        <v>1.35E-2</v>
      </c>
      <c r="H4729" s="2">
        <v>3.7000000000000002E-3</v>
      </c>
      <c r="I4729">
        <v>2813</v>
      </c>
    </row>
    <row r="4731" spans="1:10" x14ac:dyDescent="0.35">
      <c r="A4731" s="1" t="s">
        <v>1435</v>
      </c>
    </row>
    <row r="4732" spans="1:10" x14ac:dyDescent="0.35">
      <c r="A4732" t="s">
        <v>219</v>
      </c>
      <c r="B4732" t="s">
        <v>301</v>
      </c>
      <c r="C4732" t="s">
        <v>325</v>
      </c>
      <c r="D4732" t="s">
        <v>1418</v>
      </c>
      <c r="E4732" t="s">
        <v>1419</v>
      </c>
      <c r="F4732" t="s">
        <v>1420</v>
      </c>
      <c r="G4732" t="s">
        <v>1421</v>
      </c>
      <c r="H4732" t="s">
        <v>277</v>
      </c>
      <c r="I4732" t="s">
        <v>282</v>
      </c>
      <c r="J4732" t="s">
        <v>226</v>
      </c>
    </row>
    <row r="4733" spans="1:10" x14ac:dyDescent="0.35">
      <c r="A4733" s="3" t="s">
        <v>227</v>
      </c>
      <c r="B4733" s="3" t="s">
        <v>1335</v>
      </c>
      <c r="C4733" s="3" t="s">
        <v>1339</v>
      </c>
      <c r="D4733" s="4">
        <v>0.97270000000000001</v>
      </c>
      <c r="E4733" s="4">
        <v>2.7300000000000001E-2</v>
      </c>
      <c r="F4733" s="5"/>
      <c r="G4733" s="5"/>
      <c r="H4733" s="5"/>
      <c r="I4733" s="5"/>
      <c r="J4733" s="5" t="s">
        <v>427</v>
      </c>
    </row>
    <row r="4734" spans="1:10" x14ac:dyDescent="0.35">
      <c r="A4734" t="s">
        <v>227</v>
      </c>
      <c r="B4734" t="s">
        <v>1335</v>
      </c>
      <c r="C4734" t="s">
        <v>1340</v>
      </c>
      <c r="D4734" s="2">
        <v>0.87929999999999997</v>
      </c>
      <c r="E4734" s="2">
        <v>5.7099999999999998E-2</v>
      </c>
      <c r="F4734" s="2">
        <v>3.8600000000000002E-2</v>
      </c>
      <c r="G4734" s="2">
        <v>1.4E-2</v>
      </c>
      <c r="H4734" s="2">
        <v>1.0999999999999999E-2</v>
      </c>
      <c r="J4734">
        <v>252</v>
      </c>
    </row>
    <row r="4735" spans="1:10" x14ac:dyDescent="0.35">
      <c r="A4735" t="s">
        <v>227</v>
      </c>
      <c r="B4735" t="s">
        <v>1335</v>
      </c>
      <c r="C4735" t="s">
        <v>1341</v>
      </c>
      <c r="D4735" s="2">
        <v>0.8508</v>
      </c>
      <c r="E4735" s="2">
        <v>7.1599999999999997E-2</v>
      </c>
      <c r="F4735" s="2">
        <v>3.5099999999999999E-2</v>
      </c>
      <c r="G4735" s="2">
        <v>2.1700000000000001E-2</v>
      </c>
      <c r="H4735" s="2">
        <v>1.5900000000000001E-2</v>
      </c>
      <c r="I4735" s="2">
        <v>4.8999999999999998E-3</v>
      </c>
      <c r="J4735">
        <v>419</v>
      </c>
    </row>
    <row r="4736" spans="1:10" x14ac:dyDescent="0.35">
      <c r="A4736" t="s">
        <v>227</v>
      </c>
      <c r="B4736" t="s">
        <v>1335</v>
      </c>
      <c r="C4736" t="s">
        <v>1342</v>
      </c>
      <c r="D4736" s="2">
        <v>0.85840000000000005</v>
      </c>
      <c r="E4736" s="2">
        <v>8.0299999999999996E-2</v>
      </c>
      <c r="F4736" s="2">
        <v>5.4000000000000003E-3</v>
      </c>
      <c r="G4736" s="2">
        <v>3.0099999999999998E-2</v>
      </c>
      <c r="I4736" s="2">
        <v>2.58E-2</v>
      </c>
      <c r="J4736">
        <v>157</v>
      </c>
    </row>
    <row r="4737" spans="1:10" x14ac:dyDescent="0.35">
      <c r="A4737" s="3" t="s">
        <v>227</v>
      </c>
      <c r="B4737" s="3" t="s">
        <v>1336</v>
      </c>
      <c r="C4737" s="3" t="s">
        <v>1341</v>
      </c>
      <c r="D4737" s="4">
        <v>1</v>
      </c>
      <c r="E4737" s="5"/>
      <c r="F4737" s="5"/>
      <c r="G4737" s="5"/>
      <c r="H4737" s="5"/>
      <c r="I4737" s="5"/>
      <c r="J4737" s="5" t="s">
        <v>434</v>
      </c>
    </row>
    <row r="4738" spans="1:10" x14ac:dyDescent="0.35">
      <c r="A4738" t="s">
        <v>227</v>
      </c>
      <c r="B4738" t="s">
        <v>1337</v>
      </c>
      <c r="C4738" t="s">
        <v>1339</v>
      </c>
      <c r="D4738" s="2">
        <v>0.77939999999999998</v>
      </c>
      <c r="E4738" s="2">
        <v>0.1678</v>
      </c>
      <c r="F4738" s="2">
        <v>6.1000000000000004E-3</v>
      </c>
      <c r="G4738" s="2">
        <v>4.48E-2</v>
      </c>
      <c r="H4738" s="2">
        <v>1.9E-3</v>
      </c>
      <c r="J4738">
        <v>31</v>
      </c>
    </row>
    <row r="4739" spans="1:10" x14ac:dyDescent="0.35">
      <c r="A4739" t="s">
        <v>227</v>
      </c>
      <c r="B4739" t="s">
        <v>1337</v>
      </c>
      <c r="C4739" t="s">
        <v>1340</v>
      </c>
      <c r="D4739" s="2">
        <v>0.85909999999999997</v>
      </c>
      <c r="E4739" s="2">
        <v>6.9400000000000003E-2</v>
      </c>
      <c r="F4739" s="2">
        <v>4.5199999999999997E-2</v>
      </c>
      <c r="G4739" s="2">
        <v>8.6E-3</v>
      </c>
      <c r="H4739" s="2">
        <v>1.6899999999999998E-2</v>
      </c>
      <c r="I4739" s="2">
        <v>8.0000000000000004E-4</v>
      </c>
      <c r="J4739">
        <v>477</v>
      </c>
    </row>
    <row r="4740" spans="1:10" x14ac:dyDescent="0.35">
      <c r="A4740" t="s">
        <v>227</v>
      </c>
      <c r="B4740" t="s">
        <v>1337</v>
      </c>
      <c r="C4740" t="s">
        <v>1341</v>
      </c>
      <c r="D4740" s="2">
        <v>0.84750000000000003</v>
      </c>
      <c r="E4740" s="2">
        <v>9.5699999999999993E-2</v>
      </c>
      <c r="F4740" s="2">
        <v>4.2599999999999999E-2</v>
      </c>
      <c r="G4740" s="2">
        <v>9.1000000000000004E-3</v>
      </c>
      <c r="H4740" s="2">
        <v>3.8999999999999998E-3</v>
      </c>
      <c r="I4740" s="2">
        <v>1.1999999999999999E-3</v>
      </c>
      <c r="J4740">
        <v>923</v>
      </c>
    </row>
    <row r="4741" spans="1:10" x14ac:dyDescent="0.35">
      <c r="A4741" t="s">
        <v>227</v>
      </c>
      <c r="B4741" t="s">
        <v>1337</v>
      </c>
      <c r="C4741" t="s">
        <v>1342</v>
      </c>
      <c r="D4741" s="2">
        <v>0.88690000000000002</v>
      </c>
      <c r="E4741" s="2">
        <v>4.3099999999999999E-2</v>
      </c>
      <c r="F4741" s="2">
        <v>1.8200000000000001E-2</v>
      </c>
      <c r="G4741" s="2">
        <v>1.26E-2</v>
      </c>
      <c r="H4741" s="2">
        <v>3.5000000000000003E-2</v>
      </c>
      <c r="I4741" s="2">
        <v>4.1999999999999997E-3</v>
      </c>
      <c r="J4741">
        <v>532</v>
      </c>
    </row>
    <row r="4742" spans="1:10" x14ac:dyDescent="0.35">
      <c r="A4742" t="s">
        <v>228</v>
      </c>
      <c r="B4742" t="s">
        <v>228</v>
      </c>
      <c r="C4742" t="s">
        <v>228</v>
      </c>
      <c r="D4742" s="2">
        <v>0.86029999999999995</v>
      </c>
      <c r="E4742" s="2">
        <v>7.46E-2</v>
      </c>
      <c r="F4742" s="2">
        <v>3.3799999999999997E-2</v>
      </c>
      <c r="G4742" s="2">
        <v>1.4E-2</v>
      </c>
      <c r="H4742" s="2">
        <v>1.35E-2</v>
      </c>
      <c r="I4742" s="2">
        <v>3.7000000000000002E-3</v>
      </c>
      <c r="J4742">
        <v>2813</v>
      </c>
    </row>
    <row r="4744" spans="1:10" x14ac:dyDescent="0.35">
      <c r="A4744" s="1" t="s">
        <v>1436</v>
      </c>
    </row>
    <row r="4745" spans="1:10" x14ac:dyDescent="0.35">
      <c r="A4745" t="s">
        <v>219</v>
      </c>
      <c r="B4745" t="s">
        <v>1418</v>
      </c>
      <c r="C4745" t="s">
        <v>1419</v>
      </c>
      <c r="D4745" t="s">
        <v>1420</v>
      </c>
      <c r="E4745" t="s">
        <v>1421</v>
      </c>
      <c r="F4745" t="s">
        <v>277</v>
      </c>
      <c r="G4745" t="s">
        <v>282</v>
      </c>
      <c r="H4745" t="s">
        <v>226</v>
      </c>
    </row>
    <row r="4746" spans="1:10" x14ac:dyDescent="0.35">
      <c r="A4746" t="s">
        <v>227</v>
      </c>
      <c r="B4746" s="2">
        <v>0.79069999999999996</v>
      </c>
      <c r="C4746" s="2">
        <v>9.7799999999999998E-2</v>
      </c>
      <c r="D4746" s="2">
        <v>5.1799999999999999E-2</v>
      </c>
      <c r="E4746" s="2">
        <v>5.04E-2</v>
      </c>
      <c r="F4746" s="2">
        <v>7.4999999999999997E-3</v>
      </c>
      <c r="G4746" s="2">
        <v>1.8E-3</v>
      </c>
      <c r="H4746">
        <v>2813</v>
      </c>
    </row>
    <row r="4747" spans="1:10" x14ac:dyDescent="0.35">
      <c r="A4747" t="s">
        <v>228</v>
      </c>
      <c r="B4747" s="2">
        <v>0.79069999999999996</v>
      </c>
      <c r="C4747" s="2">
        <v>9.7799999999999998E-2</v>
      </c>
      <c r="D4747" s="2">
        <v>5.1799999999999999E-2</v>
      </c>
      <c r="E4747" s="2">
        <v>5.04E-2</v>
      </c>
      <c r="F4747" s="2">
        <v>7.4999999999999997E-3</v>
      </c>
      <c r="G4747" s="2">
        <v>1.8E-3</v>
      </c>
      <c r="H4747">
        <v>2813</v>
      </c>
    </row>
    <row r="4749" spans="1:10" x14ac:dyDescent="0.35">
      <c r="A4749" s="1" t="s">
        <v>1437</v>
      </c>
    </row>
    <row r="4750" spans="1:10" x14ac:dyDescent="0.35">
      <c r="A4750" t="s">
        <v>219</v>
      </c>
      <c r="B4750" t="s">
        <v>301</v>
      </c>
      <c r="C4750" t="s">
        <v>1418</v>
      </c>
      <c r="D4750" t="s">
        <v>1419</v>
      </c>
      <c r="E4750" t="s">
        <v>1420</v>
      </c>
      <c r="F4750" t="s">
        <v>1421</v>
      </c>
      <c r="G4750" t="s">
        <v>277</v>
      </c>
      <c r="H4750" t="s">
        <v>282</v>
      </c>
      <c r="I4750" t="s">
        <v>226</v>
      </c>
    </row>
    <row r="4751" spans="1:10" x14ac:dyDescent="0.35">
      <c r="A4751" t="s">
        <v>227</v>
      </c>
      <c r="B4751" t="s">
        <v>238</v>
      </c>
      <c r="C4751" s="2">
        <v>0.75539999999999996</v>
      </c>
      <c r="D4751" s="2">
        <v>0.1197</v>
      </c>
      <c r="E4751" s="2">
        <v>5.0799999999999998E-2</v>
      </c>
      <c r="F4751" s="2">
        <v>5.8500000000000003E-2</v>
      </c>
      <c r="G4751" s="2">
        <v>1.34E-2</v>
      </c>
      <c r="H4751" s="2">
        <v>2.3E-3</v>
      </c>
      <c r="I4751">
        <v>1005</v>
      </c>
    </row>
    <row r="4752" spans="1:10" x14ac:dyDescent="0.35">
      <c r="A4752" t="s">
        <v>227</v>
      </c>
      <c r="B4752" t="s">
        <v>237</v>
      </c>
      <c r="C4752" s="2">
        <v>0.81120000000000003</v>
      </c>
      <c r="D4752" s="2">
        <v>8.5099999999999995E-2</v>
      </c>
      <c r="E4752" s="2">
        <v>5.2400000000000002E-2</v>
      </c>
      <c r="F4752" s="2">
        <v>4.5699999999999998E-2</v>
      </c>
      <c r="G4752" s="2">
        <v>4.1000000000000003E-3</v>
      </c>
      <c r="H4752" s="2">
        <v>1.5E-3</v>
      </c>
      <c r="I4752">
        <v>1808</v>
      </c>
    </row>
    <row r="4753" spans="1:9" x14ac:dyDescent="0.35">
      <c r="A4753" t="s">
        <v>228</v>
      </c>
      <c r="B4753" t="s">
        <v>228</v>
      </c>
      <c r="C4753" s="2">
        <v>0.79069999999999996</v>
      </c>
      <c r="D4753" s="2">
        <v>9.7799999999999998E-2</v>
      </c>
      <c r="E4753" s="2">
        <v>5.1799999999999999E-2</v>
      </c>
      <c r="F4753" s="2">
        <v>5.04E-2</v>
      </c>
      <c r="G4753" s="2">
        <v>7.4999999999999997E-3</v>
      </c>
      <c r="H4753" s="2">
        <v>1.8E-3</v>
      </c>
      <c r="I4753">
        <v>2813</v>
      </c>
    </row>
    <row r="4755" spans="1:9" x14ac:dyDescent="0.35">
      <c r="A4755" s="1" t="s">
        <v>1438</v>
      </c>
    </row>
    <row r="4756" spans="1:9" x14ac:dyDescent="0.35">
      <c r="A4756" t="s">
        <v>219</v>
      </c>
      <c r="B4756" t="s">
        <v>301</v>
      </c>
      <c r="C4756" t="s">
        <v>1418</v>
      </c>
      <c r="D4756" t="s">
        <v>1419</v>
      </c>
      <c r="E4756" t="s">
        <v>1420</v>
      </c>
      <c r="F4756" t="s">
        <v>1421</v>
      </c>
      <c r="G4756" t="s">
        <v>277</v>
      </c>
      <c r="H4756" t="s">
        <v>282</v>
      </c>
      <c r="I4756" t="s">
        <v>226</v>
      </c>
    </row>
    <row r="4757" spans="1:9" x14ac:dyDescent="0.35">
      <c r="A4757" t="s">
        <v>227</v>
      </c>
      <c r="B4757" t="s">
        <v>235</v>
      </c>
      <c r="C4757" s="2">
        <v>0.83050000000000002</v>
      </c>
      <c r="D4757" s="2">
        <v>7.4800000000000005E-2</v>
      </c>
      <c r="E4757" s="2">
        <v>5.1499999999999997E-2</v>
      </c>
      <c r="F4757" s="2">
        <v>3.8300000000000001E-2</v>
      </c>
      <c r="G4757" s="2">
        <v>5.0000000000000001E-3</v>
      </c>
      <c r="I4757">
        <v>992</v>
      </c>
    </row>
    <row r="4758" spans="1:9" x14ac:dyDescent="0.35">
      <c r="A4758" t="s">
        <v>227</v>
      </c>
      <c r="B4758" t="s">
        <v>234</v>
      </c>
      <c r="C4758" s="2">
        <v>0.77400000000000002</v>
      </c>
      <c r="D4758" s="2">
        <v>0.1075</v>
      </c>
      <c r="E4758" s="2">
        <v>5.1999999999999998E-2</v>
      </c>
      <c r="F4758" s="2">
        <v>5.5500000000000001E-2</v>
      </c>
      <c r="G4758" s="2">
        <v>8.6E-3</v>
      </c>
      <c r="H4758" s="2">
        <v>2.5999999999999999E-3</v>
      </c>
      <c r="I4758">
        <v>1821</v>
      </c>
    </row>
    <row r="4759" spans="1:9" x14ac:dyDescent="0.35">
      <c r="A4759" t="s">
        <v>228</v>
      </c>
      <c r="B4759" t="s">
        <v>228</v>
      </c>
      <c r="C4759" s="2">
        <v>0.79069999999999996</v>
      </c>
      <c r="D4759" s="2">
        <v>9.7799999999999998E-2</v>
      </c>
      <c r="E4759" s="2">
        <v>5.1799999999999999E-2</v>
      </c>
      <c r="F4759" s="2">
        <v>5.04E-2</v>
      </c>
      <c r="G4759" s="2">
        <v>7.4999999999999997E-3</v>
      </c>
      <c r="H4759" s="2">
        <v>1.8E-3</v>
      </c>
      <c r="I4759">
        <v>2813</v>
      </c>
    </row>
    <row r="4761" spans="1:9" x14ac:dyDescent="0.35">
      <c r="A4761" s="1" t="s">
        <v>1439</v>
      </c>
    </row>
    <row r="4762" spans="1:9" x14ac:dyDescent="0.35">
      <c r="A4762" t="s">
        <v>219</v>
      </c>
      <c r="B4762" t="s">
        <v>301</v>
      </c>
      <c r="C4762" t="s">
        <v>1418</v>
      </c>
      <c r="D4762" t="s">
        <v>1419</v>
      </c>
      <c r="E4762" t="s">
        <v>1420</v>
      </c>
      <c r="F4762" t="s">
        <v>1421</v>
      </c>
      <c r="G4762" t="s">
        <v>277</v>
      </c>
      <c r="H4762" t="s">
        <v>282</v>
      </c>
      <c r="I4762" t="s">
        <v>226</v>
      </c>
    </row>
    <row r="4763" spans="1:9" x14ac:dyDescent="0.35">
      <c r="A4763" t="s">
        <v>227</v>
      </c>
      <c r="B4763" t="s">
        <v>240</v>
      </c>
      <c r="C4763" s="2">
        <v>0.78380000000000005</v>
      </c>
      <c r="D4763" s="2">
        <v>9.4200000000000006E-2</v>
      </c>
      <c r="E4763" s="2">
        <v>5.4100000000000002E-2</v>
      </c>
      <c r="F4763" s="2">
        <v>5.5899999999999998E-2</v>
      </c>
      <c r="G4763" s="2">
        <v>9.4000000000000004E-3</v>
      </c>
      <c r="H4763" s="2">
        <v>2.7000000000000001E-3</v>
      </c>
      <c r="I4763">
        <v>1756</v>
      </c>
    </row>
    <row r="4764" spans="1:9" x14ac:dyDescent="0.35">
      <c r="A4764" t="s">
        <v>227</v>
      </c>
      <c r="B4764" t="s">
        <v>241</v>
      </c>
      <c r="C4764" s="2">
        <v>0.81730000000000003</v>
      </c>
      <c r="D4764" s="2">
        <v>9.4E-2</v>
      </c>
      <c r="E4764" s="2">
        <v>4.0500000000000001E-2</v>
      </c>
      <c r="F4764" s="2">
        <v>4.2700000000000002E-2</v>
      </c>
      <c r="G4764" s="2">
        <v>5.1999999999999998E-3</v>
      </c>
      <c r="H4764" s="2">
        <v>4.0000000000000002E-4</v>
      </c>
      <c r="I4764">
        <v>891</v>
      </c>
    </row>
    <row r="4765" spans="1:9" x14ac:dyDescent="0.35">
      <c r="A4765" t="s">
        <v>227</v>
      </c>
      <c r="B4765" t="s">
        <v>242</v>
      </c>
      <c r="C4765" s="2">
        <v>0.73839999999999995</v>
      </c>
      <c r="D4765" s="2">
        <v>0.15</v>
      </c>
      <c r="E4765" s="2">
        <v>8.0100000000000005E-2</v>
      </c>
      <c r="F4765" s="2">
        <v>3.1399999999999997E-2</v>
      </c>
      <c r="I4765">
        <v>166</v>
      </c>
    </row>
    <row r="4766" spans="1:9" x14ac:dyDescent="0.35">
      <c r="A4766" t="s">
        <v>228</v>
      </c>
      <c r="B4766" t="s">
        <v>228</v>
      </c>
      <c r="C4766" s="2">
        <v>0.79069999999999996</v>
      </c>
      <c r="D4766" s="2">
        <v>9.7799999999999998E-2</v>
      </c>
      <c r="E4766" s="2">
        <v>5.1799999999999999E-2</v>
      </c>
      <c r="F4766" s="2">
        <v>5.04E-2</v>
      </c>
      <c r="G4766" s="2">
        <v>7.4999999999999997E-3</v>
      </c>
      <c r="H4766" s="2">
        <v>1.8E-3</v>
      </c>
      <c r="I4766">
        <v>2813</v>
      </c>
    </row>
    <row r="4768" spans="1:9" x14ac:dyDescent="0.35">
      <c r="A4768" s="1" t="s">
        <v>1440</v>
      </c>
    </row>
    <row r="4769" spans="1:9" x14ac:dyDescent="0.35">
      <c r="A4769" t="s">
        <v>219</v>
      </c>
      <c r="B4769" t="s">
        <v>301</v>
      </c>
      <c r="C4769" t="s">
        <v>1418</v>
      </c>
      <c r="D4769" t="s">
        <v>1419</v>
      </c>
      <c r="E4769" t="s">
        <v>1420</v>
      </c>
      <c r="F4769" t="s">
        <v>1421</v>
      </c>
      <c r="G4769" t="s">
        <v>277</v>
      </c>
      <c r="H4769" t="s">
        <v>282</v>
      </c>
      <c r="I4769" t="s">
        <v>226</v>
      </c>
    </row>
    <row r="4770" spans="1:9" x14ac:dyDescent="0.35">
      <c r="A4770" t="s">
        <v>227</v>
      </c>
      <c r="B4770" t="s">
        <v>334</v>
      </c>
      <c r="C4770" s="2">
        <v>0.78310000000000002</v>
      </c>
      <c r="D4770" s="2">
        <v>9.9099999999999994E-2</v>
      </c>
      <c r="E4770" s="2">
        <v>5.4399999999999997E-2</v>
      </c>
      <c r="F4770" s="2">
        <v>4.0399999999999998E-2</v>
      </c>
      <c r="G4770" s="2">
        <v>1.9900000000000001E-2</v>
      </c>
      <c r="H4770" s="2">
        <v>3.0999999999999999E-3</v>
      </c>
      <c r="I4770">
        <v>625</v>
      </c>
    </row>
    <row r="4771" spans="1:9" x14ac:dyDescent="0.35">
      <c r="A4771" t="s">
        <v>227</v>
      </c>
      <c r="B4771" t="s">
        <v>335</v>
      </c>
      <c r="C4771" s="2">
        <v>0.80430000000000001</v>
      </c>
      <c r="D4771" s="2">
        <v>9.7100000000000006E-2</v>
      </c>
      <c r="E4771" s="2">
        <v>5.2999999999999999E-2</v>
      </c>
      <c r="F4771" s="2">
        <v>3.6999999999999998E-2</v>
      </c>
      <c r="G4771" s="2">
        <v>7.9000000000000008E-3</v>
      </c>
      <c r="H4771" s="2">
        <v>6.9999999999999999E-4</v>
      </c>
      <c r="I4771">
        <v>628</v>
      </c>
    </row>
    <row r="4772" spans="1:9" x14ac:dyDescent="0.35">
      <c r="A4772" t="s">
        <v>227</v>
      </c>
      <c r="B4772" t="s">
        <v>336</v>
      </c>
      <c r="C4772" s="2">
        <v>0.78810000000000002</v>
      </c>
      <c r="D4772" s="2">
        <v>0.1071</v>
      </c>
      <c r="E4772" s="2">
        <v>4.1399999999999999E-2</v>
      </c>
      <c r="F4772" s="2">
        <v>6.2399999999999997E-2</v>
      </c>
      <c r="G4772" s="2">
        <v>1E-3</v>
      </c>
      <c r="I4772">
        <v>621</v>
      </c>
    </row>
    <row r="4773" spans="1:9" x14ac:dyDescent="0.35">
      <c r="A4773" t="s">
        <v>227</v>
      </c>
      <c r="B4773" t="s">
        <v>337</v>
      </c>
      <c r="C4773" s="2">
        <v>0.80900000000000005</v>
      </c>
      <c r="D4773" s="2">
        <v>9.1800000000000007E-2</v>
      </c>
      <c r="E4773" s="2">
        <v>6.0499999999999998E-2</v>
      </c>
      <c r="F4773" s="2">
        <v>3.1600000000000003E-2</v>
      </c>
      <c r="G4773" s="2">
        <v>2.8999999999999998E-3</v>
      </c>
      <c r="H4773" s="2">
        <v>4.1000000000000003E-3</v>
      </c>
      <c r="I4773">
        <v>602</v>
      </c>
    </row>
    <row r="4774" spans="1:9" x14ac:dyDescent="0.35">
      <c r="A4774" t="s">
        <v>228</v>
      </c>
      <c r="B4774" t="s">
        <v>228</v>
      </c>
      <c r="C4774" s="2">
        <v>0.79069999999999996</v>
      </c>
      <c r="D4774" s="2">
        <v>9.7799999999999998E-2</v>
      </c>
      <c r="E4774" s="2">
        <v>5.1799999999999999E-2</v>
      </c>
      <c r="F4774" s="2">
        <v>5.04E-2</v>
      </c>
      <c r="G4774" s="2">
        <v>7.4999999999999997E-3</v>
      </c>
      <c r="H4774" s="2">
        <v>1.8E-3</v>
      </c>
      <c r="I4774">
        <v>2476</v>
      </c>
    </row>
    <row r="4776" spans="1:9" x14ac:dyDescent="0.35">
      <c r="A4776" s="1" t="s">
        <v>1441</v>
      </c>
    </row>
    <row r="4777" spans="1:9" x14ac:dyDescent="0.35">
      <c r="A4777" t="s">
        <v>219</v>
      </c>
      <c r="B4777" t="s">
        <v>301</v>
      </c>
      <c r="C4777" t="s">
        <v>1418</v>
      </c>
      <c r="D4777" t="s">
        <v>1419</v>
      </c>
      <c r="E4777" t="s">
        <v>1420</v>
      </c>
      <c r="F4777" t="s">
        <v>1421</v>
      </c>
      <c r="G4777" t="s">
        <v>277</v>
      </c>
      <c r="H4777" t="s">
        <v>282</v>
      </c>
      <c r="I4777" t="s">
        <v>226</v>
      </c>
    </row>
    <row r="4778" spans="1:9" x14ac:dyDescent="0.35">
      <c r="A4778" t="s">
        <v>227</v>
      </c>
      <c r="B4778" t="s">
        <v>263</v>
      </c>
      <c r="C4778" s="2">
        <v>0.82120000000000004</v>
      </c>
      <c r="D4778" s="2">
        <v>7.7499999999999999E-2</v>
      </c>
      <c r="E4778" s="2">
        <v>5.0299999999999997E-2</v>
      </c>
      <c r="F4778" s="2">
        <v>4.9299999999999997E-2</v>
      </c>
      <c r="G4778" s="2">
        <v>1.1999999999999999E-3</v>
      </c>
      <c r="H4778" s="2">
        <v>5.0000000000000001E-4</v>
      </c>
      <c r="I4778">
        <v>589</v>
      </c>
    </row>
    <row r="4779" spans="1:9" x14ac:dyDescent="0.35">
      <c r="A4779" t="s">
        <v>227</v>
      </c>
      <c r="B4779" t="s">
        <v>262</v>
      </c>
      <c r="C4779" s="2">
        <v>0.79049999999999998</v>
      </c>
      <c r="D4779" s="2">
        <v>0.1076</v>
      </c>
      <c r="E4779" s="2">
        <v>4.87E-2</v>
      </c>
      <c r="F4779" s="2">
        <v>4.24E-2</v>
      </c>
      <c r="G4779" s="2">
        <v>6.3E-3</v>
      </c>
      <c r="H4779" s="2">
        <v>4.4000000000000003E-3</v>
      </c>
      <c r="I4779">
        <v>1160</v>
      </c>
    </row>
    <row r="4780" spans="1:9" x14ac:dyDescent="0.35">
      <c r="A4780" t="s">
        <v>227</v>
      </c>
      <c r="B4780" t="s">
        <v>261</v>
      </c>
      <c r="C4780" s="2">
        <v>0.77669999999999995</v>
      </c>
      <c r="D4780" s="2">
        <v>9.9599999999999994E-2</v>
      </c>
      <c r="E4780" s="2">
        <v>5.3900000000000003E-2</v>
      </c>
      <c r="F4780" s="2">
        <v>5.8000000000000003E-2</v>
      </c>
      <c r="G4780" s="2">
        <v>1.17E-2</v>
      </c>
      <c r="H4780" s="2">
        <v>2.0000000000000001E-4</v>
      </c>
      <c r="I4780">
        <v>1062</v>
      </c>
    </row>
    <row r="4781" spans="1:9" x14ac:dyDescent="0.35">
      <c r="A4781" s="3" t="s">
        <v>227</v>
      </c>
      <c r="B4781" s="3" t="s">
        <v>232</v>
      </c>
      <c r="C4781" s="4">
        <v>0.5</v>
      </c>
      <c r="D4781" s="5"/>
      <c r="E4781" s="4">
        <v>0.5</v>
      </c>
      <c r="F4781" s="5"/>
      <c r="G4781" s="5"/>
      <c r="H4781" s="5"/>
      <c r="I4781" s="5" t="s">
        <v>434</v>
      </c>
    </row>
    <row r="4782" spans="1:9" x14ac:dyDescent="0.35">
      <c r="A4782" t="s">
        <v>228</v>
      </c>
      <c r="B4782" t="s">
        <v>228</v>
      </c>
      <c r="C4782" s="2">
        <v>0.79069999999999996</v>
      </c>
      <c r="D4782" s="2">
        <v>9.7799999999999998E-2</v>
      </c>
      <c r="E4782" s="2">
        <v>5.1799999999999999E-2</v>
      </c>
      <c r="F4782" s="2">
        <v>5.04E-2</v>
      </c>
      <c r="G4782" s="2">
        <v>7.4999999999999997E-3</v>
      </c>
      <c r="H4782" s="2">
        <v>1.8E-3</v>
      </c>
      <c r="I4782">
        <v>2813</v>
      </c>
    </row>
    <row r="4784" spans="1:9" x14ac:dyDescent="0.35">
      <c r="A4784" s="1" t="s">
        <v>1442</v>
      </c>
    </row>
    <row r="4785" spans="1:9" x14ac:dyDescent="0.35">
      <c r="A4785" t="s">
        <v>219</v>
      </c>
      <c r="B4785" t="s">
        <v>301</v>
      </c>
      <c r="C4785" t="s">
        <v>1418</v>
      </c>
      <c r="D4785" t="s">
        <v>1419</v>
      </c>
      <c r="E4785" t="s">
        <v>1420</v>
      </c>
      <c r="F4785" t="s">
        <v>1421</v>
      </c>
      <c r="G4785" t="s">
        <v>277</v>
      </c>
      <c r="H4785" t="s">
        <v>282</v>
      </c>
      <c r="I4785" t="s">
        <v>226</v>
      </c>
    </row>
    <row r="4786" spans="1:9" x14ac:dyDescent="0.35">
      <c r="A4786" t="s">
        <v>227</v>
      </c>
      <c r="B4786" t="s">
        <v>248</v>
      </c>
      <c r="C4786" s="2">
        <v>0.81279999999999997</v>
      </c>
      <c r="D4786" s="2">
        <v>0.1052</v>
      </c>
      <c r="E4786" s="2">
        <v>2.8299999999999999E-2</v>
      </c>
      <c r="F4786" s="2">
        <v>4.5699999999999998E-2</v>
      </c>
      <c r="G4786" s="2">
        <v>8.0000000000000002E-3</v>
      </c>
      <c r="I4786">
        <v>796</v>
      </c>
    </row>
    <row r="4787" spans="1:9" x14ac:dyDescent="0.35">
      <c r="A4787" t="s">
        <v>227</v>
      </c>
      <c r="B4787" t="s">
        <v>249</v>
      </c>
      <c r="C4787" s="2">
        <v>0.78129999999999999</v>
      </c>
      <c r="D4787" s="2">
        <v>0.11260000000000001</v>
      </c>
      <c r="E4787" s="2">
        <v>4.1500000000000002E-2</v>
      </c>
      <c r="F4787" s="2">
        <v>5.1700000000000003E-2</v>
      </c>
      <c r="G4787" s="2">
        <v>9.4999999999999998E-3</v>
      </c>
      <c r="H4787" s="2">
        <v>3.3E-3</v>
      </c>
      <c r="I4787">
        <v>541</v>
      </c>
    </row>
    <row r="4788" spans="1:9" x14ac:dyDescent="0.35">
      <c r="A4788" t="s">
        <v>227</v>
      </c>
      <c r="B4788" t="s">
        <v>247</v>
      </c>
      <c r="C4788" s="2">
        <v>0.78259999999999996</v>
      </c>
      <c r="D4788" s="2">
        <v>8.8599999999999998E-2</v>
      </c>
      <c r="E4788" s="2">
        <v>6.7699999999999996E-2</v>
      </c>
      <c r="F4788" s="2">
        <v>5.2400000000000002E-2</v>
      </c>
      <c r="G4788" s="2">
        <v>6.4999999999999997E-3</v>
      </c>
      <c r="H4788" s="2">
        <v>2.2000000000000001E-3</v>
      </c>
      <c r="I4788">
        <v>1476</v>
      </c>
    </row>
    <row r="4789" spans="1:9" x14ac:dyDescent="0.35">
      <c r="A4789" t="s">
        <v>228</v>
      </c>
      <c r="B4789" t="s">
        <v>228</v>
      </c>
      <c r="C4789" s="2">
        <v>0.79069999999999996</v>
      </c>
      <c r="D4789" s="2">
        <v>9.7799999999999998E-2</v>
      </c>
      <c r="E4789" s="2">
        <v>5.1799999999999999E-2</v>
      </c>
      <c r="F4789" s="2">
        <v>5.04E-2</v>
      </c>
      <c r="G4789" s="2">
        <v>7.4999999999999997E-3</v>
      </c>
      <c r="H4789" s="2">
        <v>1.8E-3</v>
      </c>
      <c r="I4789">
        <v>2813</v>
      </c>
    </row>
    <row r="4791" spans="1:9" x14ac:dyDescent="0.35">
      <c r="A4791" s="1" t="s">
        <v>1443</v>
      </c>
    </row>
    <row r="4792" spans="1:9" x14ac:dyDescent="0.35">
      <c r="A4792" t="s">
        <v>219</v>
      </c>
      <c r="B4792" t="s">
        <v>301</v>
      </c>
      <c r="C4792" t="s">
        <v>1418</v>
      </c>
      <c r="D4792" t="s">
        <v>1419</v>
      </c>
      <c r="E4792" t="s">
        <v>1420</v>
      </c>
      <c r="F4792" t="s">
        <v>1421</v>
      </c>
      <c r="G4792" t="s">
        <v>277</v>
      </c>
      <c r="H4792" t="s">
        <v>282</v>
      </c>
      <c r="I4792" t="s">
        <v>226</v>
      </c>
    </row>
    <row r="4793" spans="1:9" x14ac:dyDescent="0.35">
      <c r="A4793" t="s">
        <v>227</v>
      </c>
      <c r="B4793" t="s">
        <v>245</v>
      </c>
      <c r="C4793" s="2">
        <v>0.75</v>
      </c>
      <c r="D4793" s="2">
        <v>0.11219999999999999</v>
      </c>
      <c r="E4793" s="2">
        <v>8.1699999999999995E-2</v>
      </c>
      <c r="F4793" s="2">
        <v>0.05</v>
      </c>
      <c r="G4793" s="2">
        <v>6.0000000000000001E-3</v>
      </c>
      <c r="I4793">
        <v>783</v>
      </c>
    </row>
    <row r="4794" spans="1:9" x14ac:dyDescent="0.35">
      <c r="A4794" t="s">
        <v>227</v>
      </c>
      <c r="B4794" t="s">
        <v>244</v>
      </c>
      <c r="C4794" s="2">
        <v>0.80669999999999997</v>
      </c>
      <c r="D4794" s="2">
        <v>9.2100000000000001E-2</v>
      </c>
      <c r="E4794" s="2">
        <v>0.04</v>
      </c>
      <c r="F4794" s="2">
        <v>5.0599999999999999E-2</v>
      </c>
      <c r="G4794" s="2">
        <v>8.0999999999999996E-3</v>
      </c>
      <c r="H4794" s="2">
        <v>2.5000000000000001E-3</v>
      </c>
      <c r="I4794">
        <v>2030</v>
      </c>
    </row>
    <row r="4795" spans="1:9" x14ac:dyDescent="0.35">
      <c r="A4795" t="s">
        <v>228</v>
      </c>
      <c r="B4795" t="s">
        <v>228</v>
      </c>
      <c r="C4795" s="2">
        <v>0.79069999999999996</v>
      </c>
      <c r="D4795" s="2">
        <v>9.7799999999999998E-2</v>
      </c>
      <c r="E4795" s="2">
        <v>5.1799999999999999E-2</v>
      </c>
      <c r="F4795" s="2">
        <v>5.04E-2</v>
      </c>
      <c r="G4795" s="2">
        <v>7.4999999999999997E-3</v>
      </c>
      <c r="H4795" s="2">
        <v>1.8E-3</v>
      </c>
      <c r="I4795">
        <v>2813</v>
      </c>
    </row>
    <row r="4797" spans="1:9" x14ac:dyDescent="0.35">
      <c r="A4797" s="1" t="s">
        <v>1444</v>
      </c>
    </row>
    <row r="4798" spans="1:9" x14ac:dyDescent="0.35">
      <c r="A4798" t="s">
        <v>219</v>
      </c>
      <c r="B4798" t="s">
        <v>301</v>
      </c>
      <c r="C4798" t="s">
        <v>1418</v>
      </c>
      <c r="D4798" t="s">
        <v>1419</v>
      </c>
      <c r="E4798" t="s">
        <v>1420</v>
      </c>
      <c r="F4798" t="s">
        <v>1421</v>
      </c>
      <c r="G4798" t="s">
        <v>277</v>
      </c>
      <c r="H4798" t="s">
        <v>282</v>
      </c>
      <c r="I4798" t="s">
        <v>226</v>
      </c>
    </row>
    <row r="4799" spans="1:9" x14ac:dyDescent="0.35">
      <c r="A4799" t="s">
        <v>227</v>
      </c>
      <c r="B4799" t="s">
        <v>259</v>
      </c>
      <c r="C4799" s="2">
        <v>0.77810000000000001</v>
      </c>
      <c r="D4799" s="2">
        <v>0.1318</v>
      </c>
      <c r="E4799" s="2">
        <v>2.6800000000000001E-2</v>
      </c>
      <c r="F4799" s="2">
        <v>5.7000000000000002E-2</v>
      </c>
      <c r="G4799" s="2">
        <v>6.3E-3</v>
      </c>
      <c r="I4799">
        <v>69</v>
      </c>
    </row>
    <row r="4800" spans="1:9" x14ac:dyDescent="0.35">
      <c r="A4800" t="s">
        <v>227</v>
      </c>
      <c r="B4800" t="s">
        <v>257</v>
      </c>
      <c r="C4800" s="2">
        <v>0.53490000000000004</v>
      </c>
      <c r="D4800" s="2">
        <v>0.22500000000000001</v>
      </c>
      <c r="E4800" s="2">
        <v>7.0699999999999999E-2</v>
      </c>
      <c r="F4800" s="2">
        <v>0.15820000000000001</v>
      </c>
      <c r="G4800" s="2">
        <v>7.4000000000000003E-3</v>
      </c>
      <c r="H4800" s="2">
        <v>3.8E-3</v>
      </c>
      <c r="I4800">
        <v>405</v>
      </c>
    </row>
    <row r="4801" spans="1:9" x14ac:dyDescent="0.35">
      <c r="A4801" t="s">
        <v>227</v>
      </c>
      <c r="B4801" t="s">
        <v>256</v>
      </c>
      <c r="C4801" s="2">
        <v>0.86990000000000001</v>
      </c>
      <c r="D4801" s="2">
        <v>6.4000000000000001E-2</v>
      </c>
      <c r="E4801" s="2">
        <v>3.7999999999999999E-2</v>
      </c>
      <c r="F4801" s="2">
        <v>2.0199999999999999E-2</v>
      </c>
      <c r="G4801" s="2">
        <v>7.7999999999999996E-3</v>
      </c>
      <c r="H4801" s="2">
        <v>2.0000000000000001E-4</v>
      </c>
      <c r="I4801">
        <v>1803</v>
      </c>
    </row>
    <row r="4802" spans="1:9" x14ac:dyDescent="0.35">
      <c r="A4802" s="3" t="s">
        <v>227</v>
      </c>
      <c r="B4802" s="3" t="s">
        <v>232</v>
      </c>
      <c r="C4802" s="4">
        <v>0.1832</v>
      </c>
      <c r="D4802" s="4">
        <v>0.1211</v>
      </c>
      <c r="E4802" s="4">
        <v>8.1900000000000001E-2</v>
      </c>
      <c r="F4802" s="4">
        <v>0.35160000000000002</v>
      </c>
      <c r="G4802" s="4">
        <v>0.26219999999999999</v>
      </c>
      <c r="H4802" s="5"/>
      <c r="I4802" s="5" t="s">
        <v>307</v>
      </c>
    </row>
    <row r="4803" spans="1:9" x14ac:dyDescent="0.35">
      <c r="A4803" t="s">
        <v>227</v>
      </c>
      <c r="B4803" t="s">
        <v>258</v>
      </c>
      <c r="C4803" s="2">
        <v>0.73580000000000001</v>
      </c>
      <c r="D4803" s="2">
        <v>0.10059999999999999</v>
      </c>
      <c r="E4803" s="2">
        <v>9.5000000000000001E-2</v>
      </c>
      <c r="F4803" s="2">
        <v>5.8400000000000001E-2</v>
      </c>
      <c r="G4803" s="2">
        <v>3.2000000000000002E-3</v>
      </c>
      <c r="H4803" s="2">
        <v>7.1000000000000004E-3</v>
      </c>
      <c r="I4803">
        <v>525</v>
      </c>
    </row>
    <row r="4804" spans="1:9" x14ac:dyDescent="0.35">
      <c r="A4804" t="s">
        <v>228</v>
      </c>
      <c r="B4804" t="s">
        <v>228</v>
      </c>
      <c r="C4804" s="2">
        <v>0.79069999999999996</v>
      </c>
      <c r="D4804" s="2">
        <v>9.7799999999999998E-2</v>
      </c>
      <c r="E4804" s="2">
        <v>5.1799999999999999E-2</v>
      </c>
      <c r="F4804" s="2">
        <v>5.04E-2</v>
      </c>
      <c r="G4804" s="2">
        <v>7.4999999999999997E-3</v>
      </c>
      <c r="H4804" s="2">
        <v>1.8E-3</v>
      </c>
      <c r="I4804">
        <v>2813</v>
      </c>
    </row>
    <row r="4806" spans="1:9" x14ac:dyDescent="0.35">
      <c r="A4806" s="1" t="s">
        <v>1445</v>
      </c>
    </row>
    <row r="4807" spans="1:9" x14ac:dyDescent="0.35">
      <c r="A4807" t="s">
        <v>219</v>
      </c>
      <c r="B4807" t="s">
        <v>301</v>
      </c>
      <c r="C4807" t="s">
        <v>1418</v>
      </c>
      <c r="D4807" t="s">
        <v>1419</v>
      </c>
      <c r="E4807" t="s">
        <v>1420</v>
      </c>
      <c r="F4807" t="s">
        <v>1421</v>
      </c>
      <c r="G4807" t="s">
        <v>277</v>
      </c>
      <c r="H4807" t="s">
        <v>282</v>
      </c>
      <c r="I4807" t="s">
        <v>226</v>
      </c>
    </row>
    <row r="4808" spans="1:9" x14ac:dyDescent="0.35">
      <c r="A4808" t="s">
        <v>227</v>
      </c>
      <c r="B4808" t="s">
        <v>343</v>
      </c>
      <c r="C4808" s="2">
        <v>0.53490000000000004</v>
      </c>
      <c r="D4808" s="2">
        <v>0.22500000000000001</v>
      </c>
      <c r="E4808" s="2">
        <v>7.0699999999999999E-2</v>
      </c>
      <c r="F4808" s="2">
        <v>0.15820000000000001</v>
      </c>
      <c r="G4808" s="2">
        <v>7.4000000000000003E-3</v>
      </c>
      <c r="H4808" s="2">
        <v>3.8E-3</v>
      </c>
      <c r="I4808">
        <v>405</v>
      </c>
    </row>
    <row r="4809" spans="1:9" x14ac:dyDescent="0.35">
      <c r="A4809" t="s">
        <v>227</v>
      </c>
      <c r="B4809" t="s">
        <v>344</v>
      </c>
      <c r="C4809" s="2">
        <v>0.8427</v>
      </c>
      <c r="D4809" s="2">
        <v>7.1999999999999995E-2</v>
      </c>
      <c r="E4809" s="2">
        <v>4.8000000000000001E-2</v>
      </c>
      <c r="F4809" s="2">
        <v>2.8500000000000001E-2</v>
      </c>
      <c r="G4809" s="2">
        <v>7.4999999999999997E-3</v>
      </c>
      <c r="H4809" s="2">
        <v>1.4E-3</v>
      </c>
      <c r="I4809">
        <v>2408</v>
      </c>
    </row>
    <row r="4810" spans="1:9" x14ac:dyDescent="0.35">
      <c r="A4810" t="s">
        <v>228</v>
      </c>
      <c r="B4810" t="s">
        <v>228</v>
      </c>
      <c r="C4810" s="2">
        <v>0.79069999999999996</v>
      </c>
      <c r="D4810" s="2">
        <v>9.7799999999999998E-2</v>
      </c>
      <c r="E4810" s="2">
        <v>5.1799999999999999E-2</v>
      </c>
      <c r="F4810" s="2">
        <v>5.04E-2</v>
      </c>
      <c r="G4810" s="2">
        <v>7.4999999999999997E-3</v>
      </c>
      <c r="H4810" s="2">
        <v>1.8E-3</v>
      </c>
      <c r="I4810">
        <v>2813</v>
      </c>
    </row>
    <row r="4812" spans="1:9" x14ac:dyDescent="0.35">
      <c r="A4812" s="1" t="s">
        <v>1446</v>
      </c>
    </row>
    <row r="4813" spans="1:9" x14ac:dyDescent="0.35">
      <c r="A4813" t="s">
        <v>219</v>
      </c>
      <c r="B4813" t="s">
        <v>301</v>
      </c>
      <c r="C4813" t="s">
        <v>1418</v>
      </c>
      <c r="D4813" t="s">
        <v>1419</v>
      </c>
      <c r="E4813" t="s">
        <v>1420</v>
      </c>
      <c r="F4813" t="s">
        <v>1421</v>
      </c>
      <c r="G4813" t="s">
        <v>277</v>
      </c>
      <c r="H4813" t="s">
        <v>282</v>
      </c>
      <c r="I4813" t="s">
        <v>226</v>
      </c>
    </row>
    <row r="4814" spans="1:9" x14ac:dyDescent="0.35">
      <c r="A4814" t="s">
        <v>227</v>
      </c>
      <c r="B4814" t="s">
        <v>346</v>
      </c>
      <c r="C4814" s="2">
        <v>0.81259999999999999</v>
      </c>
      <c r="D4814" s="2">
        <v>8.5300000000000001E-2</v>
      </c>
      <c r="E4814" s="2">
        <v>4.65E-2</v>
      </c>
      <c r="F4814" s="2">
        <v>4.65E-2</v>
      </c>
      <c r="G4814" s="2">
        <v>7.4000000000000003E-3</v>
      </c>
      <c r="H4814" s="2">
        <v>1.6999999999999999E-3</v>
      </c>
      <c r="I4814">
        <v>1463</v>
      </c>
    </row>
    <row r="4815" spans="1:9" x14ac:dyDescent="0.35">
      <c r="A4815" t="s">
        <v>227</v>
      </c>
      <c r="B4815" t="s">
        <v>347</v>
      </c>
      <c r="C4815" s="2">
        <v>0.58579999999999999</v>
      </c>
      <c r="D4815" s="2">
        <v>0.22670000000000001</v>
      </c>
      <c r="E4815" s="2">
        <v>9.3299999999999994E-2</v>
      </c>
      <c r="F4815" s="2">
        <v>7.5300000000000006E-2</v>
      </c>
      <c r="G4815" s="2">
        <v>1.04E-2</v>
      </c>
      <c r="H4815" s="2">
        <v>8.3999999999999995E-3</v>
      </c>
      <c r="I4815">
        <v>585</v>
      </c>
    </row>
    <row r="4816" spans="1:9" x14ac:dyDescent="0.35">
      <c r="A4816" t="s">
        <v>227</v>
      </c>
      <c r="B4816" t="s">
        <v>348</v>
      </c>
      <c r="C4816" s="2">
        <v>0.66979999999999995</v>
      </c>
      <c r="D4816" s="2">
        <v>0.16259999999999999</v>
      </c>
      <c r="E4816" s="2">
        <v>8.4400000000000003E-2</v>
      </c>
      <c r="F4816" s="2">
        <v>7.5999999999999998E-2</v>
      </c>
      <c r="G4816" s="2">
        <v>7.1999999999999998E-3</v>
      </c>
      <c r="I4816">
        <v>765</v>
      </c>
    </row>
    <row r="4817" spans="1:9" x14ac:dyDescent="0.35">
      <c r="A4817" t="s">
        <v>228</v>
      </c>
      <c r="B4817" t="s">
        <v>228</v>
      </c>
      <c r="C4817" s="2">
        <v>0.79069999999999996</v>
      </c>
      <c r="D4817" s="2">
        <v>9.7799999999999998E-2</v>
      </c>
      <c r="E4817" s="2">
        <v>5.1799999999999999E-2</v>
      </c>
      <c r="F4817" s="2">
        <v>5.04E-2</v>
      </c>
      <c r="G4817" s="2">
        <v>7.4999999999999997E-3</v>
      </c>
      <c r="H4817" s="2">
        <v>1.8E-3</v>
      </c>
      <c r="I4817">
        <v>2813</v>
      </c>
    </row>
    <row r="4819" spans="1:9" x14ac:dyDescent="0.35">
      <c r="A4819" s="1" t="s">
        <v>1447</v>
      </c>
    </row>
    <row r="4820" spans="1:9" x14ac:dyDescent="0.35">
      <c r="A4820" t="s">
        <v>219</v>
      </c>
      <c r="B4820" t="s">
        <v>301</v>
      </c>
      <c r="C4820" t="s">
        <v>1418</v>
      </c>
      <c r="D4820" t="s">
        <v>1419</v>
      </c>
      <c r="E4820" t="s">
        <v>1420</v>
      </c>
      <c r="F4820" t="s">
        <v>1421</v>
      </c>
      <c r="G4820" t="s">
        <v>277</v>
      </c>
      <c r="H4820" t="s">
        <v>282</v>
      </c>
      <c r="I4820" t="s">
        <v>226</v>
      </c>
    </row>
    <row r="4821" spans="1:9" x14ac:dyDescent="0.35">
      <c r="A4821" t="s">
        <v>227</v>
      </c>
      <c r="B4821" t="s">
        <v>251</v>
      </c>
      <c r="C4821" s="2">
        <v>0.80669999999999997</v>
      </c>
      <c r="D4821" s="2">
        <v>9.2100000000000001E-2</v>
      </c>
      <c r="E4821" s="2">
        <v>0.04</v>
      </c>
      <c r="F4821" s="2">
        <v>5.0599999999999999E-2</v>
      </c>
      <c r="G4821" s="2">
        <v>8.0999999999999996E-3</v>
      </c>
      <c r="H4821" s="2">
        <v>2.5000000000000001E-3</v>
      </c>
      <c r="I4821">
        <v>2030</v>
      </c>
    </row>
    <row r="4822" spans="1:9" x14ac:dyDescent="0.35">
      <c r="A4822" t="s">
        <v>227</v>
      </c>
      <c r="B4822" t="s">
        <v>252</v>
      </c>
      <c r="C4822" s="2">
        <v>0.73750000000000004</v>
      </c>
      <c r="D4822" s="2">
        <v>0.1211</v>
      </c>
      <c r="E4822" s="2">
        <v>8.09E-2</v>
      </c>
      <c r="F4822" s="2">
        <v>5.6800000000000003E-2</v>
      </c>
      <c r="G4822" s="2">
        <v>3.7000000000000002E-3</v>
      </c>
      <c r="I4822">
        <v>621</v>
      </c>
    </row>
    <row r="4823" spans="1:9" x14ac:dyDescent="0.35">
      <c r="A4823" t="s">
        <v>227</v>
      </c>
      <c r="B4823" t="s">
        <v>253</v>
      </c>
      <c r="C4823" s="2">
        <v>0.79879999999999995</v>
      </c>
      <c r="D4823" s="2">
        <v>7.7100000000000002E-2</v>
      </c>
      <c r="E4823" s="2">
        <v>8.5699999999999998E-2</v>
      </c>
      <c r="F4823" s="2">
        <v>2.18E-2</v>
      </c>
      <c r="G4823" s="2">
        <v>1.66E-2</v>
      </c>
      <c r="I4823">
        <v>153</v>
      </c>
    </row>
    <row r="4824" spans="1:9" x14ac:dyDescent="0.35">
      <c r="A4824" s="3" t="s">
        <v>227</v>
      </c>
      <c r="B4824" s="3" t="s">
        <v>254</v>
      </c>
      <c r="C4824" s="4">
        <v>0.92720000000000002</v>
      </c>
      <c r="D4824" s="5"/>
      <c r="E4824" s="4">
        <v>7.2800000000000004E-2</v>
      </c>
      <c r="F4824" s="5"/>
      <c r="G4824" s="5"/>
      <c r="H4824" s="5"/>
      <c r="I4824" s="5" t="s">
        <v>515</v>
      </c>
    </row>
    <row r="4825" spans="1:9" x14ac:dyDescent="0.35">
      <c r="A4825" t="s">
        <v>228</v>
      </c>
      <c r="B4825" t="s">
        <v>228</v>
      </c>
      <c r="C4825" s="2">
        <v>0.79069999999999996</v>
      </c>
      <c r="D4825" s="2">
        <v>9.7799999999999998E-2</v>
      </c>
      <c r="E4825" s="2">
        <v>5.1799999999999999E-2</v>
      </c>
      <c r="F4825" s="2">
        <v>5.04E-2</v>
      </c>
      <c r="G4825" s="2">
        <v>7.4999999999999997E-3</v>
      </c>
      <c r="H4825" s="2">
        <v>1.8E-3</v>
      </c>
      <c r="I4825">
        <v>2813</v>
      </c>
    </row>
    <row r="4827" spans="1:9" x14ac:dyDescent="0.35">
      <c r="A4827" s="1" t="s">
        <v>1448</v>
      </c>
    </row>
    <row r="4828" spans="1:9" x14ac:dyDescent="0.35">
      <c r="A4828" t="s">
        <v>219</v>
      </c>
      <c r="B4828" t="s">
        <v>301</v>
      </c>
      <c r="C4828" t="s">
        <v>1418</v>
      </c>
      <c r="D4828" t="s">
        <v>1419</v>
      </c>
      <c r="E4828" t="s">
        <v>1420</v>
      </c>
      <c r="F4828" t="s">
        <v>1421</v>
      </c>
      <c r="G4828" t="s">
        <v>277</v>
      </c>
      <c r="H4828" t="s">
        <v>282</v>
      </c>
      <c r="I4828" t="s">
        <v>226</v>
      </c>
    </row>
    <row r="4829" spans="1:9" x14ac:dyDescent="0.35">
      <c r="A4829" t="s">
        <v>227</v>
      </c>
      <c r="B4829" t="s">
        <v>1335</v>
      </c>
      <c r="C4829" s="2">
        <v>0.80740000000000001</v>
      </c>
      <c r="D4829" s="2">
        <v>7.4999999999999997E-2</v>
      </c>
      <c r="E4829" s="2">
        <v>4.7899999999999998E-2</v>
      </c>
      <c r="F4829" s="2">
        <v>6.2300000000000001E-2</v>
      </c>
      <c r="G4829" s="2">
        <v>7.1000000000000004E-3</v>
      </c>
      <c r="H4829" s="2">
        <v>2.9999999999999997E-4</v>
      </c>
      <c r="I4829">
        <v>848</v>
      </c>
    </row>
    <row r="4830" spans="1:9" x14ac:dyDescent="0.35">
      <c r="A4830" s="3" t="s">
        <v>227</v>
      </c>
      <c r="B4830" s="3" t="s">
        <v>1336</v>
      </c>
      <c r="C4830" s="4">
        <v>0.59340000000000004</v>
      </c>
      <c r="D4830" s="5"/>
      <c r="E4830" s="4">
        <v>0.40660000000000002</v>
      </c>
      <c r="F4830" s="5"/>
      <c r="G4830" s="5"/>
      <c r="H4830" s="5"/>
      <c r="I4830" s="5" t="s">
        <v>434</v>
      </c>
    </row>
    <row r="4831" spans="1:9" x14ac:dyDescent="0.35">
      <c r="A4831" t="s">
        <v>227</v>
      </c>
      <c r="B4831" t="s">
        <v>1337</v>
      </c>
      <c r="C4831" s="2">
        <v>0.78269999999999995</v>
      </c>
      <c r="D4831" s="2">
        <v>0.1095</v>
      </c>
      <c r="E4831" s="2">
        <v>5.2900000000000003E-2</v>
      </c>
      <c r="F4831" s="2">
        <v>4.4499999999999998E-2</v>
      </c>
      <c r="G4831" s="2">
        <v>7.7999999999999996E-3</v>
      </c>
      <c r="H4831" s="2">
        <v>2.5999999999999999E-3</v>
      </c>
      <c r="I4831">
        <v>1963</v>
      </c>
    </row>
    <row r="4832" spans="1:9" x14ac:dyDescent="0.35">
      <c r="A4832" t="s">
        <v>228</v>
      </c>
      <c r="B4832" t="s">
        <v>228</v>
      </c>
      <c r="C4832" s="2">
        <v>0.79069999999999996</v>
      </c>
      <c r="D4832" s="2">
        <v>9.7799999999999998E-2</v>
      </c>
      <c r="E4832" s="2">
        <v>5.1799999999999999E-2</v>
      </c>
      <c r="F4832" s="2">
        <v>5.04E-2</v>
      </c>
      <c r="G4832" s="2">
        <v>7.4999999999999997E-3</v>
      </c>
      <c r="H4832" s="2">
        <v>1.8E-3</v>
      </c>
      <c r="I4832">
        <v>2813</v>
      </c>
    </row>
    <row r="4834" spans="1:10" x14ac:dyDescent="0.35">
      <c r="A4834" s="1" t="s">
        <v>1449</v>
      </c>
    </row>
    <row r="4835" spans="1:10" x14ac:dyDescent="0.35">
      <c r="A4835" t="s">
        <v>219</v>
      </c>
      <c r="B4835" t="s">
        <v>301</v>
      </c>
      <c r="C4835" t="s">
        <v>1418</v>
      </c>
      <c r="D4835" t="s">
        <v>1419</v>
      </c>
      <c r="E4835" t="s">
        <v>1420</v>
      </c>
      <c r="F4835" t="s">
        <v>1421</v>
      </c>
      <c r="G4835" t="s">
        <v>277</v>
      </c>
      <c r="H4835" t="s">
        <v>282</v>
      </c>
      <c r="I4835" t="s">
        <v>226</v>
      </c>
    </row>
    <row r="4836" spans="1:10" x14ac:dyDescent="0.35">
      <c r="A4836" t="s">
        <v>227</v>
      </c>
      <c r="B4836" t="s">
        <v>1339</v>
      </c>
      <c r="C4836" s="2">
        <v>0.75619999999999998</v>
      </c>
      <c r="D4836" s="2">
        <v>4.24E-2</v>
      </c>
      <c r="E4836" s="2">
        <v>1.9099999999999999E-2</v>
      </c>
      <c r="F4836" s="2">
        <v>0.18229999999999999</v>
      </c>
      <c r="I4836">
        <v>51</v>
      </c>
    </row>
    <row r="4837" spans="1:10" x14ac:dyDescent="0.35">
      <c r="A4837" t="s">
        <v>227</v>
      </c>
      <c r="B4837" t="s">
        <v>1340</v>
      </c>
      <c r="C4837" s="2">
        <v>0.77310000000000001</v>
      </c>
      <c r="D4837" s="2">
        <v>8.9499999999999996E-2</v>
      </c>
      <c r="E4837" s="2">
        <v>8.14E-2</v>
      </c>
      <c r="F4837" s="2">
        <v>4.6699999999999998E-2</v>
      </c>
      <c r="G4837" s="2">
        <v>5.7999999999999996E-3</v>
      </c>
      <c r="H4837" s="2">
        <v>3.5999999999999999E-3</v>
      </c>
      <c r="I4837">
        <v>729</v>
      </c>
    </row>
    <row r="4838" spans="1:10" x14ac:dyDescent="0.35">
      <c r="A4838" t="s">
        <v>227</v>
      </c>
      <c r="B4838" t="s">
        <v>1341</v>
      </c>
      <c r="C4838" s="2">
        <v>0.78669999999999995</v>
      </c>
      <c r="D4838" s="2">
        <v>0.1074</v>
      </c>
      <c r="E4838" s="2">
        <v>5.28E-2</v>
      </c>
      <c r="F4838" s="2">
        <v>4.4699999999999997E-2</v>
      </c>
      <c r="G4838" s="2">
        <v>7.7999999999999996E-3</v>
      </c>
      <c r="H4838" s="2">
        <v>5.9999999999999995E-4</v>
      </c>
      <c r="I4838">
        <v>1344</v>
      </c>
    </row>
    <row r="4839" spans="1:10" x14ac:dyDescent="0.35">
      <c r="A4839" t="s">
        <v>227</v>
      </c>
      <c r="B4839" t="s">
        <v>1342</v>
      </c>
      <c r="C4839" s="2">
        <v>0.82040000000000002</v>
      </c>
      <c r="D4839" s="2">
        <v>9.0899999999999995E-2</v>
      </c>
      <c r="E4839" s="2">
        <v>2.2800000000000001E-2</v>
      </c>
      <c r="F4839" s="2">
        <v>5.3699999999999998E-2</v>
      </c>
      <c r="G4839" s="2">
        <v>9.4999999999999998E-3</v>
      </c>
      <c r="H4839" s="2">
        <v>2.8E-3</v>
      </c>
      <c r="I4839">
        <v>689</v>
      </c>
    </row>
    <row r="4840" spans="1:10" x14ac:dyDescent="0.35">
      <c r="A4840" t="s">
        <v>228</v>
      </c>
      <c r="B4840" t="s">
        <v>228</v>
      </c>
      <c r="C4840" s="2">
        <v>0.79069999999999996</v>
      </c>
      <c r="D4840" s="2">
        <v>9.7799999999999998E-2</v>
      </c>
      <c r="E4840" s="2">
        <v>5.1799999999999999E-2</v>
      </c>
      <c r="F4840" s="2">
        <v>5.04E-2</v>
      </c>
      <c r="G4840" s="2">
        <v>7.4999999999999997E-3</v>
      </c>
      <c r="H4840" s="2">
        <v>1.8E-3</v>
      </c>
      <c r="I4840">
        <v>2813</v>
      </c>
    </row>
    <row r="4842" spans="1:10" x14ac:dyDescent="0.35">
      <c r="A4842" s="1" t="s">
        <v>1450</v>
      </c>
    </row>
    <row r="4843" spans="1:10" x14ac:dyDescent="0.35">
      <c r="A4843" t="s">
        <v>219</v>
      </c>
      <c r="B4843" t="s">
        <v>301</v>
      </c>
      <c r="C4843" t="s">
        <v>325</v>
      </c>
      <c r="D4843" t="s">
        <v>1418</v>
      </c>
      <c r="E4843" t="s">
        <v>1419</v>
      </c>
      <c r="F4843" t="s">
        <v>1420</v>
      </c>
      <c r="G4843" t="s">
        <v>1421</v>
      </c>
      <c r="H4843" t="s">
        <v>277</v>
      </c>
      <c r="I4843" t="s">
        <v>282</v>
      </c>
      <c r="J4843" t="s">
        <v>226</v>
      </c>
    </row>
    <row r="4844" spans="1:10" x14ac:dyDescent="0.35">
      <c r="A4844" s="3" t="s">
        <v>227</v>
      </c>
      <c r="B4844" s="3" t="s">
        <v>1335</v>
      </c>
      <c r="C4844" s="3" t="s">
        <v>1339</v>
      </c>
      <c r="D4844" s="4">
        <v>0.58750000000000002</v>
      </c>
      <c r="E4844" s="4">
        <v>0.10290000000000001</v>
      </c>
      <c r="F4844" s="4">
        <v>3.04E-2</v>
      </c>
      <c r="G4844" s="4">
        <v>0.2792</v>
      </c>
      <c r="H4844" s="5"/>
      <c r="I4844" s="5"/>
      <c r="J4844" s="5" t="s">
        <v>427</v>
      </c>
    </row>
    <row r="4845" spans="1:10" x14ac:dyDescent="0.35">
      <c r="A4845" t="s">
        <v>227</v>
      </c>
      <c r="B4845" t="s">
        <v>1335</v>
      </c>
      <c r="C4845" t="s">
        <v>1340</v>
      </c>
      <c r="D4845" s="2">
        <v>0.81399999999999995</v>
      </c>
      <c r="E4845" s="2">
        <v>6.9900000000000004E-2</v>
      </c>
      <c r="F4845" s="2">
        <v>6.4500000000000002E-2</v>
      </c>
      <c r="G4845" s="2">
        <v>5.0500000000000003E-2</v>
      </c>
      <c r="H4845" s="2">
        <v>1.1000000000000001E-3</v>
      </c>
      <c r="J4845">
        <v>252</v>
      </c>
    </row>
    <row r="4846" spans="1:10" x14ac:dyDescent="0.35">
      <c r="A4846" t="s">
        <v>227</v>
      </c>
      <c r="B4846" t="s">
        <v>1335</v>
      </c>
      <c r="C4846" t="s">
        <v>1341</v>
      </c>
      <c r="D4846" s="2">
        <v>0.77839999999999998</v>
      </c>
      <c r="E4846" s="2">
        <v>9.6600000000000005E-2</v>
      </c>
      <c r="F4846" s="2">
        <v>4.9700000000000001E-2</v>
      </c>
      <c r="G4846" s="2">
        <v>6.3500000000000001E-2</v>
      </c>
      <c r="H4846" s="2">
        <v>1.11E-2</v>
      </c>
      <c r="I4846" s="2">
        <v>5.9999999999999995E-4</v>
      </c>
      <c r="J4846">
        <v>419</v>
      </c>
    </row>
    <row r="4847" spans="1:10" x14ac:dyDescent="0.35">
      <c r="A4847" t="s">
        <v>227</v>
      </c>
      <c r="B4847" t="s">
        <v>1335</v>
      </c>
      <c r="C4847" t="s">
        <v>1342</v>
      </c>
      <c r="D4847" s="2">
        <v>0.90480000000000005</v>
      </c>
      <c r="E4847" s="2">
        <v>2.01E-2</v>
      </c>
      <c r="F4847" s="2">
        <v>2.29E-2</v>
      </c>
      <c r="G4847" s="2">
        <v>4.7199999999999999E-2</v>
      </c>
      <c r="H4847" s="2">
        <v>5.0000000000000001E-3</v>
      </c>
      <c r="J4847">
        <v>157</v>
      </c>
    </row>
    <row r="4848" spans="1:10" x14ac:dyDescent="0.35">
      <c r="A4848" s="3" t="s">
        <v>227</v>
      </c>
      <c r="B4848" s="3" t="s">
        <v>1336</v>
      </c>
      <c r="C4848" s="3" t="s">
        <v>1341</v>
      </c>
      <c r="D4848" s="4">
        <v>0.59340000000000004</v>
      </c>
      <c r="E4848" s="5"/>
      <c r="F4848" s="4">
        <v>0.40660000000000002</v>
      </c>
      <c r="G4848" s="5"/>
      <c r="H4848" s="5"/>
      <c r="I4848" s="5"/>
      <c r="J4848" s="5" t="s">
        <v>434</v>
      </c>
    </row>
    <row r="4849" spans="1:10" x14ac:dyDescent="0.35">
      <c r="A4849" t="s">
        <v>227</v>
      </c>
      <c r="B4849" t="s">
        <v>1337</v>
      </c>
      <c r="C4849" t="s">
        <v>1339</v>
      </c>
      <c r="D4849" s="2">
        <v>0.85370000000000001</v>
      </c>
      <c r="E4849" s="2">
        <v>7.4000000000000003E-3</v>
      </c>
      <c r="F4849" s="2">
        <v>1.26E-2</v>
      </c>
      <c r="G4849" s="2">
        <v>0.1263</v>
      </c>
      <c r="J4849">
        <v>31</v>
      </c>
    </row>
    <row r="4850" spans="1:10" x14ac:dyDescent="0.35">
      <c r="A4850" t="s">
        <v>227</v>
      </c>
      <c r="B4850" t="s">
        <v>1337</v>
      </c>
      <c r="C4850" t="s">
        <v>1340</v>
      </c>
      <c r="D4850" s="2">
        <v>0.74980000000000002</v>
      </c>
      <c r="E4850" s="2">
        <v>0.1007</v>
      </c>
      <c r="F4850" s="2">
        <v>9.0999999999999998E-2</v>
      </c>
      <c r="G4850" s="2">
        <v>4.4400000000000002E-2</v>
      </c>
      <c r="H4850" s="2">
        <v>8.5000000000000006E-3</v>
      </c>
      <c r="I4850" s="2">
        <v>5.5999999999999999E-3</v>
      </c>
      <c r="J4850">
        <v>477</v>
      </c>
    </row>
    <row r="4851" spans="1:10" x14ac:dyDescent="0.35">
      <c r="A4851" t="s">
        <v>227</v>
      </c>
      <c r="B4851" t="s">
        <v>1337</v>
      </c>
      <c r="C4851" t="s">
        <v>1341</v>
      </c>
      <c r="D4851" s="2">
        <v>0.79210000000000003</v>
      </c>
      <c r="E4851" s="2">
        <v>0.1137</v>
      </c>
      <c r="F4851" s="2">
        <v>5.2600000000000001E-2</v>
      </c>
      <c r="G4851" s="2">
        <v>3.49E-2</v>
      </c>
      <c r="H4851" s="2">
        <v>6.0000000000000001E-3</v>
      </c>
      <c r="I4851" s="2">
        <v>5.9999999999999995E-4</v>
      </c>
      <c r="J4851">
        <v>923</v>
      </c>
    </row>
    <row r="4852" spans="1:10" x14ac:dyDescent="0.35">
      <c r="A4852" t="s">
        <v>227</v>
      </c>
      <c r="B4852" t="s">
        <v>1337</v>
      </c>
      <c r="C4852" t="s">
        <v>1342</v>
      </c>
      <c r="D4852" s="2">
        <v>0.78790000000000004</v>
      </c>
      <c r="E4852" s="2">
        <v>0.1181</v>
      </c>
      <c r="F4852" s="2">
        <v>2.2800000000000001E-2</v>
      </c>
      <c r="G4852" s="2">
        <v>5.62E-2</v>
      </c>
      <c r="H4852" s="2">
        <v>1.12E-2</v>
      </c>
      <c r="I4852" s="2">
        <v>3.8E-3</v>
      </c>
      <c r="J4852">
        <v>532</v>
      </c>
    </row>
    <row r="4853" spans="1:10" x14ac:dyDescent="0.35">
      <c r="A4853" t="s">
        <v>228</v>
      </c>
      <c r="B4853" t="s">
        <v>228</v>
      </c>
      <c r="C4853" t="s">
        <v>228</v>
      </c>
      <c r="D4853" s="2">
        <v>0.79069999999999996</v>
      </c>
      <c r="E4853" s="2">
        <v>9.7799999999999998E-2</v>
      </c>
      <c r="F4853" s="2">
        <v>5.1799999999999999E-2</v>
      </c>
      <c r="G4853" s="2">
        <v>5.04E-2</v>
      </c>
      <c r="H4853" s="2">
        <v>7.4999999999999997E-3</v>
      </c>
      <c r="I4853" s="2">
        <v>1.8E-3</v>
      </c>
      <c r="J4853">
        <v>2813</v>
      </c>
    </row>
    <row r="4855" spans="1:10" x14ac:dyDescent="0.35">
      <c r="A4855" s="1" t="s">
        <v>1451</v>
      </c>
    </row>
    <row r="4856" spans="1:10" x14ac:dyDescent="0.35">
      <c r="A4856" t="s">
        <v>219</v>
      </c>
      <c r="B4856" t="s">
        <v>1418</v>
      </c>
      <c r="C4856" t="s">
        <v>1421</v>
      </c>
      <c r="D4856" t="s">
        <v>277</v>
      </c>
      <c r="E4856" t="s">
        <v>1420</v>
      </c>
      <c r="F4856" t="s">
        <v>1419</v>
      </c>
      <c r="G4856" t="s">
        <v>282</v>
      </c>
      <c r="H4856" t="s">
        <v>226</v>
      </c>
    </row>
    <row r="4857" spans="1:10" x14ac:dyDescent="0.35">
      <c r="A4857" t="s">
        <v>227</v>
      </c>
      <c r="B4857" s="2">
        <v>0.91669999999999996</v>
      </c>
      <c r="C4857" s="2">
        <v>2.3599999999999999E-2</v>
      </c>
      <c r="D4857" s="2">
        <v>2.29E-2</v>
      </c>
      <c r="E4857" s="2">
        <v>2.2700000000000001E-2</v>
      </c>
      <c r="F4857" s="2">
        <v>1.3299999999999999E-2</v>
      </c>
      <c r="G4857" s="2">
        <v>8.9999999999999998E-4</v>
      </c>
      <c r="H4857">
        <v>2813</v>
      </c>
    </row>
    <row r="4858" spans="1:10" x14ac:dyDescent="0.35">
      <c r="A4858" t="s">
        <v>228</v>
      </c>
      <c r="B4858" s="2">
        <v>0.91669999999999996</v>
      </c>
      <c r="C4858" s="2">
        <v>2.3599999999999999E-2</v>
      </c>
      <c r="D4858" s="2">
        <v>2.29E-2</v>
      </c>
      <c r="E4858" s="2">
        <v>2.2700000000000001E-2</v>
      </c>
      <c r="F4858" s="2">
        <v>1.3299999999999999E-2</v>
      </c>
      <c r="G4858" s="2">
        <v>8.9999999999999998E-4</v>
      </c>
      <c r="H4858">
        <v>2813</v>
      </c>
    </row>
    <row r="4860" spans="1:10" x14ac:dyDescent="0.35">
      <c r="A4860" s="1" t="s">
        <v>1452</v>
      </c>
    </row>
    <row r="4861" spans="1:10" x14ac:dyDescent="0.35">
      <c r="A4861" t="s">
        <v>219</v>
      </c>
      <c r="B4861" t="s">
        <v>301</v>
      </c>
      <c r="C4861" t="s">
        <v>1418</v>
      </c>
      <c r="D4861" t="s">
        <v>1421</v>
      </c>
      <c r="E4861" t="s">
        <v>277</v>
      </c>
      <c r="F4861" t="s">
        <v>1420</v>
      </c>
      <c r="G4861" t="s">
        <v>1419</v>
      </c>
      <c r="H4861" t="s">
        <v>282</v>
      </c>
      <c r="I4861" t="s">
        <v>226</v>
      </c>
    </row>
    <row r="4862" spans="1:10" x14ac:dyDescent="0.35">
      <c r="A4862" t="s">
        <v>227</v>
      </c>
      <c r="B4862" t="s">
        <v>238</v>
      </c>
      <c r="C4862" s="2">
        <v>0.89470000000000005</v>
      </c>
      <c r="D4862" s="2">
        <v>2.4899999999999999E-2</v>
      </c>
      <c r="E4862" s="2">
        <v>3.3300000000000003E-2</v>
      </c>
      <c r="F4862" s="2">
        <v>0.03</v>
      </c>
      <c r="G4862" s="2">
        <v>1.52E-2</v>
      </c>
      <c r="H4862" s="2">
        <v>1.9E-3</v>
      </c>
      <c r="I4862">
        <v>1005</v>
      </c>
    </row>
    <row r="4863" spans="1:10" x14ac:dyDescent="0.35">
      <c r="A4863" t="s">
        <v>227</v>
      </c>
      <c r="B4863" t="s">
        <v>237</v>
      </c>
      <c r="C4863" s="2">
        <v>0.92949999999999999</v>
      </c>
      <c r="D4863" s="2">
        <v>2.29E-2</v>
      </c>
      <c r="E4863" s="2">
        <v>1.67E-2</v>
      </c>
      <c r="F4863" s="2">
        <v>1.84E-2</v>
      </c>
      <c r="G4863" s="2">
        <v>1.23E-2</v>
      </c>
      <c r="H4863" s="2">
        <v>2.0000000000000001E-4</v>
      </c>
      <c r="I4863">
        <v>1808</v>
      </c>
    </row>
    <row r="4864" spans="1:10" x14ac:dyDescent="0.35">
      <c r="A4864" t="s">
        <v>228</v>
      </c>
      <c r="B4864" t="s">
        <v>228</v>
      </c>
      <c r="C4864" s="2">
        <v>0.91669999999999996</v>
      </c>
      <c r="D4864" s="2">
        <v>2.3599999999999999E-2</v>
      </c>
      <c r="E4864" s="2">
        <v>2.29E-2</v>
      </c>
      <c r="F4864" s="2">
        <v>2.2700000000000001E-2</v>
      </c>
      <c r="G4864" s="2">
        <v>1.3299999999999999E-2</v>
      </c>
      <c r="H4864" s="2">
        <v>8.9999999999999998E-4</v>
      </c>
      <c r="I4864">
        <v>2813</v>
      </c>
    </row>
    <row r="4866" spans="1:9" x14ac:dyDescent="0.35">
      <c r="A4866" s="1" t="s">
        <v>1453</v>
      </c>
    </row>
    <row r="4867" spans="1:9" x14ac:dyDescent="0.35">
      <c r="A4867" t="s">
        <v>219</v>
      </c>
      <c r="B4867" t="s">
        <v>301</v>
      </c>
      <c r="C4867" t="s">
        <v>1418</v>
      </c>
      <c r="D4867" t="s">
        <v>1421</v>
      </c>
      <c r="E4867" t="s">
        <v>277</v>
      </c>
      <c r="F4867" t="s">
        <v>1420</v>
      </c>
      <c r="G4867" t="s">
        <v>1419</v>
      </c>
      <c r="H4867" t="s">
        <v>282</v>
      </c>
      <c r="I4867" t="s">
        <v>226</v>
      </c>
    </row>
    <row r="4868" spans="1:9" x14ac:dyDescent="0.35">
      <c r="A4868" t="s">
        <v>227</v>
      </c>
      <c r="B4868" t="s">
        <v>235</v>
      </c>
      <c r="C4868" s="2">
        <v>0.94899999999999995</v>
      </c>
      <c r="D4868" s="2">
        <v>1.18E-2</v>
      </c>
      <c r="E4868" s="2">
        <v>2.1000000000000001E-2</v>
      </c>
      <c r="F4868" s="2">
        <v>1.23E-2</v>
      </c>
      <c r="G4868" s="2">
        <v>3.5999999999999999E-3</v>
      </c>
      <c r="H4868" s="2">
        <v>2.3999999999999998E-3</v>
      </c>
      <c r="I4868">
        <v>992</v>
      </c>
    </row>
    <row r="4869" spans="1:9" x14ac:dyDescent="0.35">
      <c r="A4869" t="s">
        <v>227</v>
      </c>
      <c r="B4869" t="s">
        <v>234</v>
      </c>
      <c r="C4869" s="2">
        <v>0.90310000000000001</v>
      </c>
      <c r="D4869" s="2">
        <v>2.86E-2</v>
      </c>
      <c r="E4869" s="2">
        <v>2.3599999999999999E-2</v>
      </c>
      <c r="F4869" s="2">
        <v>2.7E-2</v>
      </c>
      <c r="G4869" s="2">
        <v>1.7399999999999999E-2</v>
      </c>
      <c r="H4869" s="2">
        <v>2.0000000000000001E-4</v>
      </c>
      <c r="I4869">
        <v>1821</v>
      </c>
    </row>
    <row r="4870" spans="1:9" x14ac:dyDescent="0.35">
      <c r="A4870" t="s">
        <v>228</v>
      </c>
      <c r="B4870" t="s">
        <v>228</v>
      </c>
      <c r="C4870" s="2">
        <v>0.91669999999999996</v>
      </c>
      <c r="D4870" s="2">
        <v>2.3599999999999999E-2</v>
      </c>
      <c r="E4870" s="2">
        <v>2.29E-2</v>
      </c>
      <c r="F4870" s="2">
        <v>2.2700000000000001E-2</v>
      </c>
      <c r="G4870" s="2">
        <v>1.3299999999999999E-2</v>
      </c>
      <c r="H4870" s="2">
        <v>8.9999999999999998E-4</v>
      </c>
      <c r="I4870">
        <v>2813</v>
      </c>
    </row>
    <row r="4872" spans="1:9" x14ac:dyDescent="0.35">
      <c r="A4872" s="1" t="s">
        <v>1454</v>
      </c>
    </row>
    <row r="4873" spans="1:9" x14ac:dyDescent="0.35">
      <c r="A4873" t="s">
        <v>219</v>
      </c>
      <c r="B4873" t="s">
        <v>301</v>
      </c>
      <c r="C4873" t="s">
        <v>1418</v>
      </c>
      <c r="D4873" t="s">
        <v>1421</v>
      </c>
      <c r="E4873" t="s">
        <v>277</v>
      </c>
      <c r="F4873" t="s">
        <v>1420</v>
      </c>
      <c r="G4873" t="s">
        <v>1419</v>
      </c>
      <c r="H4873" t="s">
        <v>282</v>
      </c>
      <c r="I4873" t="s">
        <v>226</v>
      </c>
    </row>
    <row r="4874" spans="1:9" x14ac:dyDescent="0.35">
      <c r="A4874" t="s">
        <v>227</v>
      </c>
      <c r="B4874" t="s">
        <v>240</v>
      </c>
      <c r="C4874" s="2">
        <v>0.9123</v>
      </c>
      <c r="D4874" s="2">
        <v>2.24E-2</v>
      </c>
      <c r="E4874" s="2">
        <v>2.8199999999999999E-2</v>
      </c>
      <c r="F4874" s="2">
        <v>2.4799999999999999E-2</v>
      </c>
      <c r="G4874" s="2">
        <v>1.21E-2</v>
      </c>
      <c r="H4874" s="2">
        <v>2.0000000000000001E-4</v>
      </c>
      <c r="I4874">
        <v>1756</v>
      </c>
    </row>
    <row r="4875" spans="1:9" x14ac:dyDescent="0.35">
      <c r="A4875" t="s">
        <v>227</v>
      </c>
      <c r="B4875" t="s">
        <v>241</v>
      </c>
      <c r="C4875" s="2">
        <v>0.91869999999999996</v>
      </c>
      <c r="D4875" s="2">
        <v>3.1099999999999999E-2</v>
      </c>
      <c r="E4875" s="2">
        <v>1.3100000000000001E-2</v>
      </c>
      <c r="F4875" s="2">
        <v>1.9099999999999999E-2</v>
      </c>
      <c r="G4875" s="2">
        <v>1.5599999999999999E-2</v>
      </c>
      <c r="H4875" s="2">
        <v>2.3999999999999998E-3</v>
      </c>
      <c r="I4875">
        <v>891</v>
      </c>
    </row>
    <row r="4876" spans="1:9" x14ac:dyDescent="0.35">
      <c r="A4876" t="s">
        <v>227</v>
      </c>
      <c r="B4876" t="s">
        <v>242</v>
      </c>
      <c r="C4876" s="2">
        <v>0.94969999999999999</v>
      </c>
      <c r="D4876" s="2">
        <v>2.5999999999999999E-3</v>
      </c>
      <c r="E4876" s="2">
        <v>1.49E-2</v>
      </c>
      <c r="F4876" s="2">
        <v>1.7500000000000002E-2</v>
      </c>
      <c r="G4876" s="2">
        <v>1.52E-2</v>
      </c>
      <c r="I4876">
        <v>166</v>
      </c>
    </row>
    <row r="4877" spans="1:9" x14ac:dyDescent="0.35">
      <c r="A4877" t="s">
        <v>228</v>
      </c>
      <c r="B4877" t="s">
        <v>228</v>
      </c>
      <c r="C4877" s="2">
        <v>0.91669999999999996</v>
      </c>
      <c r="D4877" s="2">
        <v>2.3599999999999999E-2</v>
      </c>
      <c r="E4877" s="2">
        <v>2.29E-2</v>
      </c>
      <c r="F4877" s="2">
        <v>2.2700000000000001E-2</v>
      </c>
      <c r="G4877" s="2">
        <v>1.3299999999999999E-2</v>
      </c>
      <c r="H4877" s="2">
        <v>8.9999999999999998E-4</v>
      </c>
      <c r="I4877">
        <v>2813</v>
      </c>
    </row>
    <row r="4879" spans="1:9" x14ac:dyDescent="0.35">
      <c r="A4879" s="1" t="s">
        <v>1455</v>
      </c>
    </row>
    <row r="4880" spans="1:9" x14ac:dyDescent="0.35">
      <c r="A4880" t="s">
        <v>219</v>
      </c>
      <c r="B4880" t="s">
        <v>301</v>
      </c>
      <c r="C4880" t="s">
        <v>1418</v>
      </c>
      <c r="D4880" t="s">
        <v>1421</v>
      </c>
      <c r="E4880" t="s">
        <v>277</v>
      </c>
      <c r="F4880" t="s">
        <v>1420</v>
      </c>
      <c r="G4880" t="s">
        <v>1419</v>
      </c>
      <c r="H4880" t="s">
        <v>282</v>
      </c>
      <c r="I4880" t="s">
        <v>226</v>
      </c>
    </row>
    <row r="4881" spans="1:9" x14ac:dyDescent="0.35">
      <c r="A4881" t="s">
        <v>227</v>
      </c>
      <c r="B4881" t="s">
        <v>334</v>
      </c>
      <c r="C4881" s="2">
        <v>0.92849999999999999</v>
      </c>
      <c r="D4881" s="2">
        <v>1.9599999999999999E-2</v>
      </c>
      <c r="E4881" s="2">
        <v>1.9400000000000001E-2</v>
      </c>
      <c r="F4881" s="2">
        <v>1.8700000000000001E-2</v>
      </c>
      <c r="G4881" s="2">
        <v>1.0500000000000001E-2</v>
      </c>
      <c r="H4881" s="2">
        <v>3.3999999999999998E-3</v>
      </c>
      <c r="I4881">
        <v>625</v>
      </c>
    </row>
    <row r="4882" spans="1:9" x14ac:dyDescent="0.35">
      <c r="A4882" t="s">
        <v>227</v>
      </c>
      <c r="B4882" t="s">
        <v>335</v>
      </c>
      <c r="C4882" s="2">
        <v>0.89119999999999999</v>
      </c>
      <c r="D4882" s="2">
        <v>3.0700000000000002E-2</v>
      </c>
      <c r="E4882" s="2">
        <v>2.5399999999999999E-2</v>
      </c>
      <c r="F4882" s="2">
        <v>3.1699999999999999E-2</v>
      </c>
      <c r="G4882" s="2">
        <v>2.12E-2</v>
      </c>
      <c r="I4882">
        <v>628</v>
      </c>
    </row>
    <row r="4883" spans="1:9" x14ac:dyDescent="0.35">
      <c r="A4883" t="s">
        <v>227</v>
      </c>
      <c r="B4883" t="s">
        <v>336</v>
      </c>
      <c r="C4883" s="2">
        <v>0.93530000000000002</v>
      </c>
      <c r="D4883" s="2">
        <v>1.89E-2</v>
      </c>
      <c r="E4883" s="2">
        <v>2.0500000000000001E-2</v>
      </c>
      <c r="F4883" s="2">
        <v>1.49E-2</v>
      </c>
      <c r="G4883" s="2">
        <v>1.04E-2</v>
      </c>
      <c r="I4883">
        <v>621</v>
      </c>
    </row>
    <row r="4884" spans="1:9" x14ac:dyDescent="0.35">
      <c r="A4884" t="s">
        <v>227</v>
      </c>
      <c r="B4884" t="s">
        <v>337</v>
      </c>
      <c r="C4884" s="2">
        <v>0.90839999999999999</v>
      </c>
      <c r="D4884" s="2">
        <v>2.8199999999999999E-2</v>
      </c>
      <c r="E4884" s="2">
        <v>2.93E-2</v>
      </c>
      <c r="F4884" s="2">
        <v>2.4299999999999999E-2</v>
      </c>
      <c r="G4884" s="2">
        <v>9.5999999999999992E-3</v>
      </c>
      <c r="H4884" s="2">
        <v>2.0000000000000001E-4</v>
      </c>
      <c r="I4884">
        <v>602</v>
      </c>
    </row>
    <row r="4885" spans="1:9" x14ac:dyDescent="0.35">
      <c r="A4885" t="s">
        <v>228</v>
      </c>
      <c r="B4885" t="s">
        <v>228</v>
      </c>
      <c r="C4885" s="2">
        <v>0.91669999999999996</v>
      </c>
      <c r="D4885" s="2">
        <v>2.3599999999999999E-2</v>
      </c>
      <c r="E4885" s="2">
        <v>2.29E-2</v>
      </c>
      <c r="F4885" s="2">
        <v>2.2700000000000001E-2</v>
      </c>
      <c r="G4885" s="2">
        <v>1.3299999999999999E-2</v>
      </c>
      <c r="H4885" s="2">
        <v>8.9999999999999998E-4</v>
      </c>
      <c r="I4885">
        <v>2476</v>
      </c>
    </row>
    <row r="4887" spans="1:9" x14ac:dyDescent="0.35">
      <c r="A4887" s="1" t="s">
        <v>1456</v>
      </c>
    </row>
    <row r="4888" spans="1:9" x14ac:dyDescent="0.35">
      <c r="A4888" t="s">
        <v>219</v>
      </c>
      <c r="B4888" t="s">
        <v>301</v>
      </c>
      <c r="C4888" t="s">
        <v>1418</v>
      </c>
      <c r="D4888" t="s">
        <v>1421</v>
      </c>
      <c r="E4888" t="s">
        <v>277</v>
      </c>
      <c r="F4888" t="s">
        <v>1420</v>
      </c>
      <c r="G4888" t="s">
        <v>1419</v>
      </c>
      <c r="H4888" t="s">
        <v>282</v>
      </c>
      <c r="I4888" t="s">
        <v>226</v>
      </c>
    </row>
    <row r="4889" spans="1:9" x14ac:dyDescent="0.35">
      <c r="A4889" t="s">
        <v>227</v>
      </c>
      <c r="B4889" t="s">
        <v>263</v>
      </c>
      <c r="C4889" s="2">
        <v>0.8881</v>
      </c>
      <c r="D4889" s="2">
        <v>3.2000000000000001E-2</v>
      </c>
      <c r="E4889" s="2">
        <v>2.9899999999999999E-2</v>
      </c>
      <c r="F4889" s="2">
        <v>1.4800000000000001E-2</v>
      </c>
      <c r="G4889" s="2">
        <v>3.5299999999999998E-2</v>
      </c>
      <c r="I4889">
        <v>589</v>
      </c>
    </row>
    <row r="4890" spans="1:9" x14ac:dyDescent="0.35">
      <c r="A4890" t="s">
        <v>227</v>
      </c>
      <c r="B4890" t="s">
        <v>262</v>
      </c>
      <c r="C4890" s="2">
        <v>0.91459999999999997</v>
      </c>
      <c r="D4890" s="2">
        <v>3.0499999999999999E-2</v>
      </c>
      <c r="E4890" s="2">
        <v>1.7399999999999999E-2</v>
      </c>
      <c r="F4890" s="2">
        <v>2.5499999999999998E-2</v>
      </c>
      <c r="G4890" s="2">
        <v>1.01E-2</v>
      </c>
      <c r="H4890" s="2">
        <v>1.9E-3</v>
      </c>
      <c r="I4890">
        <v>1160</v>
      </c>
    </row>
    <row r="4891" spans="1:9" x14ac:dyDescent="0.35">
      <c r="A4891" t="s">
        <v>227</v>
      </c>
      <c r="B4891" t="s">
        <v>261</v>
      </c>
      <c r="C4891" s="2">
        <v>0.93220000000000003</v>
      </c>
      <c r="D4891" s="2">
        <v>1.37E-2</v>
      </c>
      <c r="E4891" s="2">
        <v>2.4199999999999999E-2</v>
      </c>
      <c r="F4891" s="2">
        <v>2.41E-2</v>
      </c>
      <c r="G4891" s="2">
        <v>5.4999999999999997E-3</v>
      </c>
      <c r="H4891" s="2">
        <v>2.9999999999999997E-4</v>
      </c>
      <c r="I4891">
        <v>1062</v>
      </c>
    </row>
    <row r="4892" spans="1:9" x14ac:dyDescent="0.35">
      <c r="A4892" s="3" t="s">
        <v>227</v>
      </c>
      <c r="B4892" s="3" t="s">
        <v>232</v>
      </c>
      <c r="C4892" s="4">
        <v>1</v>
      </c>
      <c r="D4892" s="5"/>
      <c r="E4892" s="5"/>
      <c r="F4892" s="5"/>
      <c r="G4892" s="5"/>
      <c r="H4892" s="5"/>
      <c r="I4892" s="5" t="s">
        <v>434</v>
      </c>
    </row>
    <row r="4893" spans="1:9" x14ac:dyDescent="0.35">
      <c r="A4893" t="s">
        <v>228</v>
      </c>
      <c r="B4893" t="s">
        <v>228</v>
      </c>
      <c r="C4893" s="2">
        <v>0.91669999999999996</v>
      </c>
      <c r="D4893" s="2">
        <v>2.3599999999999999E-2</v>
      </c>
      <c r="E4893" s="2">
        <v>2.29E-2</v>
      </c>
      <c r="F4893" s="2">
        <v>2.2700000000000001E-2</v>
      </c>
      <c r="G4893" s="2">
        <v>1.3299999999999999E-2</v>
      </c>
      <c r="H4893" s="2">
        <v>8.9999999999999998E-4</v>
      </c>
      <c r="I4893">
        <v>2813</v>
      </c>
    </row>
    <row r="4895" spans="1:9" x14ac:dyDescent="0.35">
      <c r="A4895" s="1" t="s">
        <v>1457</v>
      </c>
    </row>
    <row r="4896" spans="1:9" x14ac:dyDescent="0.35">
      <c r="A4896" t="s">
        <v>219</v>
      </c>
      <c r="B4896" t="s">
        <v>301</v>
      </c>
      <c r="C4896" t="s">
        <v>1418</v>
      </c>
      <c r="D4896" t="s">
        <v>1421</v>
      </c>
      <c r="E4896" t="s">
        <v>277</v>
      </c>
      <c r="F4896" t="s">
        <v>1420</v>
      </c>
      <c r="G4896" t="s">
        <v>1419</v>
      </c>
      <c r="H4896" t="s">
        <v>282</v>
      </c>
      <c r="I4896" t="s">
        <v>226</v>
      </c>
    </row>
    <row r="4897" spans="1:9" x14ac:dyDescent="0.35">
      <c r="A4897" t="s">
        <v>227</v>
      </c>
      <c r="B4897" t="s">
        <v>248</v>
      </c>
      <c r="C4897" s="2">
        <v>0.93640000000000001</v>
      </c>
      <c r="D4897" s="2">
        <v>1.3899999999999999E-2</v>
      </c>
      <c r="E4897" s="2">
        <v>3.15E-2</v>
      </c>
      <c r="F4897" s="2">
        <v>9.4000000000000004E-3</v>
      </c>
      <c r="G4897" s="2">
        <v>6.1999999999999998E-3</v>
      </c>
      <c r="H4897" s="2">
        <v>2.5999999999999999E-3</v>
      </c>
      <c r="I4897">
        <v>796</v>
      </c>
    </row>
    <row r="4898" spans="1:9" x14ac:dyDescent="0.35">
      <c r="A4898" t="s">
        <v>227</v>
      </c>
      <c r="B4898" t="s">
        <v>249</v>
      </c>
      <c r="C4898" s="2">
        <v>0.91439999999999999</v>
      </c>
      <c r="D4898" s="2">
        <v>1.49E-2</v>
      </c>
      <c r="E4898" s="2">
        <v>2.69E-2</v>
      </c>
      <c r="F4898" s="2">
        <v>2.6499999999999999E-2</v>
      </c>
      <c r="G4898" s="2">
        <v>1.7299999999999999E-2</v>
      </c>
      <c r="I4898">
        <v>541</v>
      </c>
    </row>
    <row r="4899" spans="1:9" x14ac:dyDescent="0.35">
      <c r="A4899" t="s">
        <v>227</v>
      </c>
      <c r="B4899" t="s">
        <v>247</v>
      </c>
      <c r="C4899" s="2">
        <v>0.9073</v>
      </c>
      <c r="D4899" s="2">
        <v>3.1899999999999998E-2</v>
      </c>
      <c r="E4899" s="2">
        <v>1.6899999999999998E-2</v>
      </c>
      <c r="F4899" s="2">
        <v>2.81E-2</v>
      </c>
      <c r="G4899" s="2">
        <v>1.5599999999999999E-2</v>
      </c>
      <c r="H4899" s="2">
        <v>2.9999999999999997E-4</v>
      </c>
      <c r="I4899">
        <v>1476</v>
      </c>
    </row>
    <row r="4900" spans="1:9" x14ac:dyDescent="0.35">
      <c r="A4900" t="s">
        <v>228</v>
      </c>
      <c r="B4900" t="s">
        <v>228</v>
      </c>
      <c r="C4900" s="2">
        <v>0.91669999999999996</v>
      </c>
      <c r="D4900" s="2">
        <v>2.3599999999999999E-2</v>
      </c>
      <c r="E4900" s="2">
        <v>2.29E-2</v>
      </c>
      <c r="F4900" s="2">
        <v>2.2700000000000001E-2</v>
      </c>
      <c r="G4900" s="2">
        <v>1.3299999999999999E-2</v>
      </c>
      <c r="H4900" s="2">
        <v>8.9999999999999998E-4</v>
      </c>
      <c r="I4900">
        <v>2813</v>
      </c>
    </row>
    <row r="4902" spans="1:9" x14ac:dyDescent="0.35">
      <c r="A4902" s="1" t="s">
        <v>1458</v>
      </c>
    </row>
    <row r="4903" spans="1:9" x14ac:dyDescent="0.35">
      <c r="A4903" t="s">
        <v>219</v>
      </c>
      <c r="B4903" t="s">
        <v>301</v>
      </c>
      <c r="C4903" t="s">
        <v>1418</v>
      </c>
      <c r="D4903" t="s">
        <v>1421</v>
      </c>
      <c r="E4903" t="s">
        <v>277</v>
      </c>
      <c r="F4903" t="s">
        <v>1420</v>
      </c>
      <c r="G4903" t="s">
        <v>1419</v>
      </c>
      <c r="H4903" t="s">
        <v>282</v>
      </c>
      <c r="I4903" t="s">
        <v>226</v>
      </c>
    </row>
    <row r="4904" spans="1:9" x14ac:dyDescent="0.35">
      <c r="A4904" t="s">
        <v>227</v>
      </c>
      <c r="B4904" t="s">
        <v>245</v>
      </c>
      <c r="C4904" s="2">
        <v>0.90600000000000003</v>
      </c>
      <c r="D4904" s="2">
        <v>1.67E-2</v>
      </c>
      <c r="E4904" s="2">
        <v>1.9199999999999998E-2</v>
      </c>
      <c r="F4904" s="2">
        <v>4.19E-2</v>
      </c>
      <c r="G4904" s="2">
        <v>1.6E-2</v>
      </c>
      <c r="H4904" s="2">
        <v>2.0000000000000001E-4</v>
      </c>
      <c r="I4904">
        <v>783</v>
      </c>
    </row>
    <row r="4905" spans="1:9" x14ac:dyDescent="0.35">
      <c r="A4905" t="s">
        <v>227</v>
      </c>
      <c r="B4905" t="s">
        <v>244</v>
      </c>
      <c r="C4905" s="2">
        <v>0.92090000000000005</v>
      </c>
      <c r="D4905" s="2">
        <v>2.64E-2</v>
      </c>
      <c r="E4905" s="2">
        <v>2.4299999999999999E-2</v>
      </c>
      <c r="F4905" s="2">
        <v>1.4999999999999999E-2</v>
      </c>
      <c r="G4905" s="2">
        <v>1.23E-2</v>
      </c>
      <c r="H4905" s="2">
        <v>1.1000000000000001E-3</v>
      </c>
      <c r="I4905">
        <v>2030</v>
      </c>
    </row>
    <row r="4906" spans="1:9" x14ac:dyDescent="0.35">
      <c r="A4906" t="s">
        <v>228</v>
      </c>
      <c r="B4906" t="s">
        <v>228</v>
      </c>
      <c r="C4906" s="2">
        <v>0.91669999999999996</v>
      </c>
      <c r="D4906" s="2">
        <v>2.3599999999999999E-2</v>
      </c>
      <c r="E4906" s="2">
        <v>2.29E-2</v>
      </c>
      <c r="F4906" s="2">
        <v>2.2700000000000001E-2</v>
      </c>
      <c r="G4906" s="2">
        <v>1.3299999999999999E-2</v>
      </c>
      <c r="H4906" s="2">
        <v>8.9999999999999998E-4</v>
      </c>
      <c r="I4906">
        <v>2813</v>
      </c>
    </row>
    <row r="4908" spans="1:9" x14ac:dyDescent="0.35">
      <c r="A4908" s="1" t="s">
        <v>1459</v>
      </c>
    </row>
    <row r="4909" spans="1:9" x14ac:dyDescent="0.35">
      <c r="A4909" t="s">
        <v>219</v>
      </c>
      <c r="B4909" t="s">
        <v>301</v>
      </c>
      <c r="C4909" t="s">
        <v>1418</v>
      </c>
      <c r="D4909" t="s">
        <v>1421</v>
      </c>
      <c r="E4909" t="s">
        <v>277</v>
      </c>
      <c r="F4909" t="s">
        <v>1420</v>
      </c>
      <c r="G4909" t="s">
        <v>1419</v>
      </c>
      <c r="H4909" t="s">
        <v>282</v>
      </c>
      <c r="I4909" t="s">
        <v>226</v>
      </c>
    </row>
    <row r="4910" spans="1:9" x14ac:dyDescent="0.35">
      <c r="A4910" t="s">
        <v>227</v>
      </c>
      <c r="B4910" t="s">
        <v>259</v>
      </c>
      <c r="C4910" s="2">
        <v>0.98270000000000002</v>
      </c>
      <c r="D4910" s="2">
        <v>6.3E-3</v>
      </c>
      <c r="E4910" s="2">
        <v>3.0999999999999999E-3</v>
      </c>
      <c r="F4910" s="2">
        <v>5.1000000000000004E-3</v>
      </c>
      <c r="G4910" s="2">
        <v>2.8E-3</v>
      </c>
      <c r="I4910">
        <v>69</v>
      </c>
    </row>
    <row r="4911" spans="1:9" x14ac:dyDescent="0.35">
      <c r="A4911" t="s">
        <v>227</v>
      </c>
      <c r="B4911" t="s">
        <v>257</v>
      </c>
      <c r="C4911" s="2">
        <v>0.91920000000000002</v>
      </c>
      <c r="D4911" s="2">
        <v>3.4200000000000001E-2</v>
      </c>
      <c r="E4911" s="2">
        <v>1.3299999999999999E-2</v>
      </c>
      <c r="F4911" s="2">
        <v>2.1000000000000001E-2</v>
      </c>
      <c r="G4911" s="2">
        <v>1.23E-2</v>
      </c>
      <c r="I4911">
        <v>405</v>
      </c>
    </row>
    <row r="4912" spans="1:9" x14ac:dyDescent="0.35">
      <c r="A4912" t="s">
        <v>227</v>
      </c>
      <c r="B4912" t="s">
        <v>256</v>
      </c>
      <c r="C4912" s="2">
        <v>0.91920000000000002</v>
      </c>
      <c r="D4912" s="2">
        <v>2.3300000000000001E-2</v>
      </c>
      <c r="E4912" s="2">
        <v>2.7199999999999998E-2</v>
      </c>
      <c r="F4912" s="2">
        <v>1.66E-2</v>
      </c>
      <c r="G4912" s="2">
        <v>1.2500000000000001E-2</v>
      </c>
      <c r="H4912" s="2">
        <v>1.1000000000000001E-3</v>
      </c>
      <c r="I4912">
        <v>1803</v>
      </c>
    </row>
    <row r="4913" spans="1:9" x14ac:dyDescent="0.35">
      <c r="A4913" s="3" t="s">
        <v>227</v>
      </c>
      <c r="B4913" s="3" t="s">
        <v>232</v>
      </c>
      <c r="C4913" s="4">
        <v>0.89419999999999999</v>
      </c>
      <c r="D4913" s="5"/>
      <c r="E4913" s="4">
        <v>2.3900000000000001E-2</v>
      </c>
      <c r="F4913" s="4">
        <v>8.1900000000000001E-2</v>
      </c>
      <c r="G4913" s="5"/>
      <c r="H4913" s="5"/>
      <c r="I4913" s="5" t="s">
        <v>307</v>
      </c>
    </row>
    <row r="4914" spans="1:9" x14ac:dyDescent="0.35">
      <c r="A4914" t="s">
        <v>227</v>
      </c>
      <c r="B4914" t="s">
        <v>258</v>
      </c>
      <c r="C4914" s="2">
        <v>0.89480000000000004</v>
      </c>
      <c r="D4914" s="2">
        <v>1.55E-2</v>
      </c>
      <c r="E4914" s="2">
        <v>1.6199999999999999E-2</v>
      </c>
      <c r="F4914" s="2">
        <v>5.3100000000000001E-2</v>
      </c>
      <c r="G4914" s="2">
        <v>1.9699999999999999E-2</v>
      </c>
      <c r="H4914" s="2">
        <v>5.9999999999999995E-4</v>
      </c>
      <c r="I4914">
        <v>525</v>
      </c>
    </row>
    <row r="4915" spans="1:9" x14ac:dyDescent="0.35">
      <c r="A4915" t="s">
        <v>228</v>
      </c>
      <c r="B4915" t="s">
        <v>228</v>
      </c>
      <c r="C4915" s="2">
        <v>0.91669999999999996</v>
      </c>
      <c r="D4915" s="2">
        <v>2.3599999999999999E-2</v>
      </c>
      <c r="E4915" s="2">
        <v>2.29E-2</v>
      </c>
      <c r="F4915" s="2">
        <v>2.2700000000000001E-2</v>
      </c>
      <c r="G4915" s="2">
        <v>1.3299999999999999E-2</v>
      </c>
      <c r="H4915" s="2">
        <v>8.9999999999999998E-4</v>
      </c>
      <c r="I4915">
        <v>2813</v>
      </c>
    </row>
    <row r="4917" spans="1:9" x14ac:dyDescent="0.35">
      <c r="A4917" s="1" t="s">
        <v>1460</v>
      </c>
    </row>
    <row r="4918" spans="1:9" x14ac:dyDescent="0.35">
      <c r="A4918" t="s">
        <v>219</v>
      </c>
      <c r="B4918" t="s">
        <v>301</v>
      </c>
      <c r="C4918" t="s">
        <v>1418</v>
      </c>
      <c r="D4918" t="s">
        <v>1421</v>
      </c>
      <c r="E4918" t="s">
        <v>277</v>
      </c>
      <c r="F4918" t="s">
        <v>1420</v>
      </c>
      <c r="G4918" t="s">
        <v>1419</v>
      </c>
      <c r="H4918" t="s">
        <v>282</v>
      </c>
      <c r="I4918" t="s">
        <v>226</v>
      </c>
    </row>
    <row r="4919" spans="1:9" x14ac:dyDescent="0.35">
      <c r="A4919" t="s">
        <v>227</v>
      </c>
      <c r="B4919" t="s">
        <v>343</v>
      </c>
      <c r="C4919" s="2">
        <v>0.91920000000000002</v>
      </c>
      <c r="D4919" s="2">
        <v>3.4200000000000001E-2</v>
      </c>
      <c r="E4919" s="2">
        <v>1.3299999999999999E-2</v>
      </c>
      <c r="F4919" s="2">
        <v>2.1000000000000001E-2</v>
      </c>
      <c r="G4919" s="2">
        <v>1.23E-2</v>
      </c>
      <c r="I4919">
        <v>405</v>
      </c>
    </row>
    <row r="4920" spans="1:9" x14ac:dyDescent="0.35">
      <c r="A4920" t="s">
        <v>227</v>
      </c>
      <c r="B4920" t="s">
        <v>344</v>
      </c>
      <c r="C4920" s="2">
        <v>0.91610000000000003</v>
      </c>
      <c r="D4920" s="2">
        <v>2.1499999999999998E-2</v>
      </c>
      <c r="E4920" s="2">
        <v>2.4799999999999999E-2</v>
      </c>
      <c r="F4920" s="2">
        <v>2.3E-2</v>
      </c>
      <c r="G4920" s="2">
        <v>1.3599999999999999E-2</v>
      </c>
      <c r="H4920" s="2">
        <v>1E-3</v>
      </c>
      <c r="I4920">
        <v>2408</v>
      </c>
    </row>
    <row r="4921" spans="1:9" x14ac:dyDescent="0.35">
      <c r="A4921" t="s">
        <v>228</v>
      </c>
      <c r="B4921" t="s">
        <v>228</v>
      </c>
      <c r="C4921" s="2">
        <v>0.91669999999999996</v>
      </c>
      <c r="D4921" s="2">
        <v>2.3599999999999999E-2</v>
      </c>
      <c r="E4921" s="2">
        <v>2.29E-2</v>
      </c>
      <c r="F4921" s="2">
        <v>2.2700000000000001E-2</v>
      </c>
      <c r="G4921" s="2">
        <v>1.3299999999999999E-2</v>
      </c>
      <c r="H4921" s="2">
        <v>8.9999999999999998E-4</v>
      </c>
      <c r="I4921">
        <v>2813</v>
      </c>
    </row>
    <row r="4923" spans="1:9" x14ac:dyDescent="0.35">
      <c r="A4923" s="1" t="s">
        <v>1461</v>
      </c>
    </row>
    <row r="4924" spans="1:9" x14ac:dyDescent="0.35">
      <c r="A4924" t="s">
        <v>219</v>
      </c>
      <c r="B4924" t="s">
        <v>301</v>
      </c>
      <c r="C4924" t="s">
        <v>1418</v>
      </c>
      <c r="D4924" t="s">
        <v>1421</v>
      </c>
      <c r="E4924" t="s">
        <v>277</v>
      </c>
      <c r="F4924" t="s">
        <v>1420</v>
      </c>
      <c r="G4924" t="s">
        <v>1419</v>
      </c>
      <c r="H4924" t="s">
        <v>282</v>
      </c>
      <c r="I4924" t="s">
        <v>226</v>
      </c>
    </row>
    <row r="4925" spans="1:9" x14ac:dyDescent="0.35">
      <c r="A4925" t="s">
        <v>227</v>
      </c>
      <c r="B4925" t="s">
        <v>346</v>
      </c>
      <c r="C4925" s="2">
        <v>0.91990000000000005</v>
      </c>
      <c r="D4925" s="2">
        <v>2.2599999999999999E-2</v>
      </c>
      <c r="E4925" s="2">
        <v>2.1999999999999999E-2</v>
      </c>
      <c r="F4925" s="2">
        <v>2.24E-2</v>
      </c>
      <c r="G4925" s="2">
        <v>1.21E-2</v>
      </c>
      <c r="H4925" s="2">
        <v>8.9999999999999998E-4</v>
      </c>
      <c r="I4925">
        <v>1463</v>
      </c>
    </row>
    <row r="4926" spans="1:9" x14ac:dyDescent="0.35">
      <c r="A4926" t="s">
        <v>227</v>
      </c>
      <c r="B4926" t="s">
        <v>347</v>
      </c>
      <c r="C4926" s="2">
        <v>0.92</v>
      </c>
      <c r="D4926" s="2">
        <v>2.06E-2</v>
      </c>
      <c r="E4926" s="2">
        <v>2.0199999999999999E-2</v>
      </c>
      <c r="F4926" s="2">
        <v>1.78E-2</v>
      </c>
      <c r="G4926" s="2">
        <v>1.8800000000000001E-2</v>
      </c>
      <c r="H4926" s="2">
        <v>2.5999999999999999E-3</v>
      </c>
      <c r="I4926">
        <v>585</v>
      </c>
    </row>
    <row r="4927" spans="1:9" x14ac:dyDescent="0.35">
      <c r="A4927" t="s">
        <v>227</v>
      </c>
      <c r="B4927" t="s">
        <v>348</v>
      </c>
      <c r="C4927" s="2">
        <v>0.88570000000000004</v>
      </c>
      <c r="D4927" s="2">
        <v>3.3799999999999997E-2</v>
      </c>
      <c r="E4927" s="2">
        <v>3.1199999999999999E-2</v>
      </c>
      <c r="F4927" s="2">
        <v>2.6700000000000002E-2</v>
      </c>
      <c r="G4927" s="2">
        <v>2.2700000000000001E-2</v>
      </c>
      <c r="I4927">
        <v>765</v>
      </c>
    </row>
    <row r="4928" spans="1:9" x14ac:dyDescent="0.35">
      <c r="A4928" t="s">
        <v>228</v>
      </c>
      <c r="B4928" t="s">
        <v>228</v>
      </c>
      <c r="C4928" s="2">
        <v>0.91669999999999996</v>
      </c>
      <c r="D4928" s="2">
        <v>2.3599999999999999E-2</v>
      </c>
      <c r="E4928" s="2">
        <v>2.29E-2</v>
      </c>
      <c r="F4928" s="2">
        <v>2.2700000000000001E-2</v>
      </c>
      <c r="G4928" s="2">
        <v>1.3299999999999999E-2</v>
      </c>
      <c r="H4928" s="2">
        <v>8.9999999999999998E-4</v>
      </c>
      <c r="I4928">
        <v>2813</v>
      </c>
    </row>
    <row r="4930" spans="1:9" x14ac:dyDescent="0.35">
      <c r="A4930" s="1" t="s">
        <v>1462</v>
      </c>
    </row>
    <row r="4931" spans="1:9" x14ac:dyDescent="0.35">
      <c r="A4931" t="s">
        <v>219</v>
      </c>
      <c r="B4931" t="s">
        <v>301</v>
      </c>
      <c r="C4931" t="s">
        <v>1418</v>
      </c>
      <c r="D4931" t="s">
        <v>1421</v>
      </c>
      <c r="E4931" t="s">
        <v>277</v>
      </c>
      <c r="F4931" t="s">
        <v>1420</v>
      </c>
      <c r="G4931" t="s">
        <v>1419</v>
      </c>
      <c r="H4931" t="s">
        <v>282</v>
      </c>
      <c r="I4931" t="s">
        <v>226</v>
      </c>
    </row>
    <row r="4932" spans="1:9" x14ac:dyDescent="0.35">
      <c r="A4932" t="s">
        <v>227</v>
      </c>
      <c r="B4932" t="s">
        <v>251</v>
      </c>
      <c r="C4932" s="2">
        <v>0.92090000000000005</v>
      </c>
      <c r="D4932" s="2">
        <v>2.64E-2</v>
      </c>
      <c r="E4932" s="2">
        <v>2.4299999999999999E-2</v>
      </c>
      <c r="F4932" s="2">
        <v>1.4999999999999999E-2</v>
      </c>
      <c r="G4932" s="2">
        <v>1.23E-2</v>
      </c>
      <c r="H4932" s="2">
        <v>1.1000000000000001E-3</v>
      </c>
      <c r="I4932">
        <v>2030</v>
      </c>
    </row>
    <row r="4933" spans="1:9" x14ac:dyDescent="0.35">
      <c r="A4933" t="s">
        <v>227</v>
      </c>
      <c r="B4933" t="s">
        <v>252</v>
      </c>
      <c r="C4933" s="2">
        <v>0.90400000000000003</v>
      </c>
      <c r="D4933" s="2">
        <v>1.0699999999999999E-2</v>
      </c>
      <c r="E4933" s="2">
        <v>2.3800000000000002E-2</v>
      </c>
      <c r="F4933" s="2">
        <v>4.19E-2</v>
      </c>
      <c r="G4933" s="2">
        <v>1.95E-2</v>
      </c>
      <c r="H4933" s="2">
        <v>2.0000000000000001E-4</v>
      </c>
      <c r="I4933">
        <v>621</v>
      </c>
    </row>
    <row r="4934" spans="1:9" x14ac:dyDescent="0.35">
      <c r="A4934" t="s">
        <v>227</v>
      </c>
      <c r="B4934" t="s">
        <v>253</v>
      </c>
      <c r="C4934" s="2">
        <v>0.9113</v>
      </c>
      <c r="D4934" s="2">
        <v>4.3400000000000001E-2</v>
      </c>
      <c r="F4934" s="2">
        <v>4.3700000000000003E-2</v>
      </c>
      <c r="G4934" s="2">
        <v>1.6999999999999999E-3</v>
      </c>
      <c r="I4934">
        <v>153</v>
      </c>
    </row>
    <row r="4935" spans="1:9" x14ac:dyDescent="0.35">
      <c r="A4935" s="3" t="s">
        <v>227</v>
      </c>
      <c r="B4935" s="3" t="s">
        <v>254</v>
      </c>
      <c r="C4935" s="4">
        <v>1</v>
      </c>
      <c r="D4935" s="5"/>
      <c r="E4935" s="5"/>
      <c r="F4935" s="5"/>
      <c r="G4935" s="5"/>
      <c r="H4935" s="5"/>
      <c r="I4935" s="5" t="s">
        <v>515</v>
      </c>
    </row>
    <row r="4936" spans="1:9" x14ac:dyDescent="0.35">
      <c r="A4936" t="s">
        <v>228</v>
      </c>
      <c r="B4936" t="s">
        <v>228</v>
      </c>
      <c r="C4936" s="2">
        <v>0.91669999999999996</v>
      </c>
      <c r="D4936" s="2">
        <v>2.3599999999999999E-2</v>
      </c>
      <c r="E4936" s="2">
        <v>2.29E-2</v>
      </c>
      <c r="F4936" s="2">
        <v>2.2700000000000001E-2</v>
      </c>
      <c r="G4936" s="2">
        <v>1.3299999999999999E-2</v>
      </c>
      <c r="H4936" s="2">
        <v>8.9999999999999998E-4</v>
      </c>
      <c r="I4936">
        <v>2813</v>
      </c>
    </row>
    <row r="4938" spans="1:9" x14ac:dyDescent="0.35">
      <c r="A4938" s="1" t="s">
        <v>1463</v>
      </c>
    </row>
    <row r="4939" spans="1:9" x14ac:dyDescent="0.35">
      <c r="A4939" t="s">
        <v>219</v>
      </c>
      <c r="B4939" t="s">
        <v>301</v>
      </c>
      <c r="C4939" t="s">
        <v>1418</v>
      </c>
      <c r="D4939" t="s">
        <v>1421</v>
      </c>
      <c r="E4939" t="s">
        <v>277</v>
      </c>
      <c r="F4939" t="s">
        <v>1420</v>
      </c>
      <c r="G4939" t="s">
        <v>1419</v>
      </c>
      <c r="H4939" t="s">
        <v>282</v>
      </c>
      <c r="I4939" t="s">
        <v>226</v>
      </c>
    </row>
    <row r="4940" spans="1:9" x14ac:dyDescent="0.35">
      <c r="A4940" t="s">
        <v>227</v>
      </c>
      <c r="B4940" t="s">
        <v>1335</v>
      </c>
      <c r="C4940" s="2">
        <v>0.91290000000000004</v>
      </c>
      <c r="D4940" s="2">
        <v>2.1000000000000001E-2</v>
      </c>
      <c r="E4940" s="2">
        <v>2.87E-2</v>
      </c>
      <c r="F4940" s="2">
        <v>2.1299999999999999E-2</v>
      </c>
      <c r="G4940" s="2">
        <v>1.61E-2</v>
      </c>
      <c r="I4940">
        <v>848</v>
      </c>
    </row>
    <row r="4941" spans="1:9" x14ac:dyDescent="0.35">
      <c r="A4941" s="3" t="s">
        <v>227</v>
      </c>
      <c r="B4941" s="3" t="s">
        <v>1336</v>
      </c>
      <c r="C4941" s="4">
        <v>1</v>
      </c>
      <c r="D4941" s="5"/>
      <c r="E4941" s="5"/>
      <c r="F4941" s="5"/>
      <c r="G4941" s="5"/>
      <c r="H4941" s="5"/>
      <c r="I4941" s="5" t="s">
        <v>434</v>
      </c>
    </row>
    <row r="4942" spans="1:9" x14ac:dyDescent="0.35">
      <c r="A4942" t="s">
        <v>227</v>
      </c>
      <c r="B4942" t="s">
        <v>1337</v>
      </c>
      <c r="C4942" s="2">
        <v>0.91830000000000001</v>
      </c>
      <c r="D4942" s="2">
        <v>2.5000000000000001E-2</v>
      </c>
      <c r="E4942" s="2">
        <v>0.02</v>
      </c>
      <c r="F4942" s="2">
        <v>2.3400000000000001E-2</v>
      </c>
      <c r="G4942" s="2">
        <v>1.2E-2</v>
      </c>
      <c r="H4942" s="2">
        <v>1.2999999999999999E-3</v>
      </c>
      <c r="I4942">
        <v>1963</v>
      </c>
    </row>
    <row r="4943" spans="1:9" x14ac:dyDescent="0.35">
      <c r="A4943" t="s">
        <v>228</v>
      </c>
      <c r="B4943" t="s">
        <v>228</v>
      </c>
      <c r="C4943" s="2">
        <v>0.91669999999999996</v>
      </c>
      <c r="D4943" s="2">
        <v>2.3599999999999999E-2</v>
      </c>
      <c r="E4943" s="2">
        <v>2.29E-2</v>
      </c>
      <c r="F4943" s="2">
        <v>2.2700000000000001E-2</v>
      </c>
      <c r="G4943" s="2">
        <v>1.3299999999999999E-2</v>
      </c>
      <c r="H4943" s="2">
        <v>8.9999999999999998E-4</v>
      </c>
      <c r="I4943">
        <v>2813</v>
      </c>
    </row>
    <row r="4945" spans="1:10" x14ac:dyDescent="0.35">
      <c r="A4945" s="1" t="s">
        <v>1464</v>
      </c>
    </row>
    <row r="4946" spans="1:10" x14ac:dyDescent="0.35">
      <c r="A4946" t="s">
        <v>219</v>
      </c>
      <c r="B4946" t="s">
        <v>301</v>
      </c>
      <c r="C4946" t="s">
        <v>1418</v>
      </c>
      <c r="D4946" t="s">
        <v>1421</v>
      </c>
      <c r="E4946" t="s">
        <v>277</v>
      </c>
      <c r="F4946" t="s">
        <v>1420</v>
      </c>
      <c r="G4946" t="s">
        <v>1419</v>
      </c>
      <c r="H4946" t="s">
        <v>282</v>
      </c>
      <c r="I4946" t="s">
        <v>226</v>
      </c>
    </row>
    <row r="4947" spans="1:10" x14ac:dyDescent="0.35">
      <c r="A4947" t="s">
        <v>227</v>
      </c>
      <c r="B4947" t="s">
        <v>1339</v>
      </c>
      <c r="C4947" s="2">
        <v>0.83340000000000003</v>
      </c>
      <c r="D4947" s="2">
        <v>0.15329999999999999</v>
      </c>
      <c r="E4947" s="2">
        <v>1.1999999999999999E-3</v>
      </c>
      <c r="G4947" s="2">
        <v>1.21E-2</v>
      </c>
      <c r="I4947">
        <v>51</v>
      </c>
    </row>
    <row r="4948" spans="1:10" x14ac:dyDescent="0.35">
      <c r="A4948" t="s">
        <v>227</v>
      </c>
      <c r="B4948" t="s">
        <v>1340</v>
      </c>
      <c r="C4948" s="2">
        <v>0.89349999999999996</v>
      </c>
      <c r="D4948" s="2">
        <v>3.2000000000000001E-2</v>
      </c>
      <c r="E4948" s="2">
        <v>9.4000000000000004E-3</v>
      </c>
      <c r="F4948" s="2">
        <v>4.65E-2</v>
      </c>
      <c r="G4948" s="2">
        <v>1.8599999999999998E-2</v>
      </c>
      <c r="I4948">
        <v>729</v>
      </c>
    </row>
    <row r="4949" spans="1:10" x14ac:dyDescent="0.35">
      <c r="A4949" t="s">
        <v>227</v>
      </c>
      <c r="B4949" t="s">
        <v>1341</v>
      </c>
      <c r="C4949" s="2">
        <v>0.92559999999999998</v>
      </c>
      <c r="D4949" s="2">
        <v>1.7600000000000001E-2</v>
      </c>
      <c r="E4949" s="2">
        <v>2.1499999999999998E-2</v>
      </c>
      <c r="F4949" s="2">
        <v>1.9400000000000001E-2</v>
      </c>
      <c r="G4949" s="2">
        <v>1.5599999999999999E-2</v>
      </c>
      <c r="H4949" s="2">
        <v>2.9999999999999997E-4</v>
      </c>
      <c r="I4949">
        <v>1344</v>
      </c>
    </row>
    <row r="4950" spans="1:10" x14ac:dyDescent="0.35">
      <c r="A4950" t="s">
        <v>227</v>
      </c>
      <c r="B4950" t="s">
        <v>1342</v>
      </c>
      <c r="C4950" s="2">
        <v>0.92889999999999995</v>
      </c>
      <c r="D4950" s="2">
        <v>1.5699999999999999E-2</v>
      </c>
      <c r="E4950" s="2">
        <v>4.1500000000000002E-2</v>
      </c>
      <c r="F4950" s="2">
        <v>7.6E-3</v>
      </c>
      <c r="G4950" s="2">
        <v>3.2000000000000002E-3</v>
      </c>
      <c r="H4950" s="2">
        <v>3.0000000000000001E-3</v>
      </c>
      <c r="I4950">
        <v>689</v>
      </c>
    </row>
    <row r="4951" spans="1:10" x14ac:dyDescent="0.35">
      <c r="A4951" t="s">
        <v>228</v>
      </c>
      <c r="B4951" t="s">
        <v>228</v>
      </c>
      <c r="C4951" s="2">
        <v>0.91669999999999996</v>
      </c>
      <c r="D4951" s="2">
        <v>2.3599999999999999E-2</v>
      </c>
      <c r="E4951" s="2">
        <v>2.29E-2</v>
      </c>
      <c r="F4951" s="2">
        <v>2.2700000000000001E-2</v>
      </c>
      <c r="G4951" s="2">
        <v>1.3299999999999999E-2</v>
      </c>
      <c r="H4951" s="2">
        <v>8.9999999999999998E-4</v>
      </c>
      <c r="I4951">
        <v>2813</v>
      </c>
    </row>
    <row r="4953" spans="1:10" x14ac:dyDescent="0.35">
      <c r="A4953" s="1" t="s">
        <v>1465</v>
      </c>
    </row>
    <row r="4954" spans="1:10" x14ac:dyDescent="0.35">
      <c r="A4954" t="s">
        <v>219</v>
      </c>
      <c r="B4954" t="s">
        <v>301</v>
      </c>
      <c r="C4954" t="s">
        <v>325</v>
      </c>
      <c r="D4954" t="s">
        <v>1418</v>
      </c>
      <c r="E4954" t="s">
        <v>1421</v>
      </c>
      <c r="F4954" t="s">
        <v>277</v>
      </c>
      <c r="G4954" t="s">
        <v>1420</v>
      </c>
      <c r="H4954" t="s">
        <v>1419</v>
      </c>
      <c r="I4954" t="s">
        <v>282</v>
      </c>
      <c r="J4954" t="s">
        <v>226</v>
      </c>
    </row>
    <row r="4955" spans="1:10" x14ac:dyDescent="0.35">
      <c r="A4955" s="3" t="s">
        <v>227</v>
      </c>
      <c r="B4955" s="3" t="s">
        <v>1335</v>
      </c>
      <c r="C4955" s="3" t="s">
        <v>1339</v>
      </c>
      <c r="D4955" s="4">
        <v>0.95720000000000005</v>
      </c>
      <c r="E4955" s="4">
        <v>9.7000000000000003E-3</v>
      </c>
      <c r="F4955" s="5"/>
      <c r="G4955" s="5"/>
      <c r="H4955" s="4">
        <v>3.3099999999999997E-2</v>
      </c>
      <c r="I4955" s="5"/>
      <c r="J4955" s="5" t="s">
        <v>427</v>
      </c>
    </row>
    <row r="4956" spans="1:10" x14ac:dyDescent="0.35">
      <c r="A4956" t="s">
        <v>227</v>
      </c>
      <c r="B4956" t="s">
        <v>1335</v>
      </c>
      <c r="C4956" t="s">
        <v>1340</v>
      </c>
      <c r="D4956" s="2">
        <v>0.92010000000000003</v>
      </c>
      <c r="E4956" s="2">
        <v>3.4700000000000002E-2</v>
      </c>
      <c r="F4956" s="2">
        <v>5.4000000000000003E-3</v>
      </c>
      <c r="G4956" s="2">
        <v>2.7099999999999999E-2</v>
      </c>
      <c r="H4956" s="2">
        <v>1.2800000000000001E-2</v>
      </c>
      <c r="J4956">
        <v>252</v>
      </c>
    </row>
    <row r="4957" spans="1:10" x14ac:dyDescent="0.35">
      <c r="A4957" t="s">
        <v>227</v>
      </c>
      <c r="B4957" t="s">
        <v>1335</v>
      </c>
      <c r="C4957" t="s">
        <v>1341</v>
      </c>
      <c r="D4957" s="2">
        <v>0.89670000000000005</v>
      </c>
      <c r="E4957" s="2">
        <v>2.2100000000000002E-2</v>
      </c>
      <c r="F4957" s="2">
        <v>3.1699999999999999E-2</v>
      </c>
      <c r="G4957" s="2">
        <v>2.7E-2</v>
      </c>
      <c r="H4957" s="2">
        <v>2.2499999999999999E-2</v>
      </c>
      <c r="J4957">
        <v>419</v>
      </c>
    </row>
    <row r="4958" spans="1:10" x14ac:dyDescent="0.35">
      <c r="A4958" t="s">
        <v>227</v>
      </c>
      <c r="B4958" t="s">
        <v>1335</v>
      </c>
      <c r="C4958" t="s">
        <v>1342</v>
      </c>
      <c r="D4958" s="2">
        <v>0.9415</v>
      </c>
      <c r="E4958" s="2">
        <v>1.1999999999999999E-3</v>
      </c>
      <c r="F4958" s="2">
        <v>5.5300000000000002E-2</v>
      </c>
      <c r="G4958" s="2">
        <v>8.0000000000000004E-4</v>
      </c>
      <c r="H4958" s="2">
        <v>1.1000000000000001E-3</v>
      </c>
      <c r="J4958">
        <v>157</v>
      </c>
    </row>
    <row r="4959" spans="1:10" x14ac:dyDescent="0.35">
      <c r="A4959" s="3" t="s">
        <v>227</v>
      </c>
      <c r="B4959" s="3" t="s">
        <v>1336</v>
      </c>
      <c r="C4959" s="3" t="s">
        <v>1341</v>
      </c>
      <c r="D4959" s="4">
        <v>1</v>
      </c>
      <c r="E4959" s="5"/>
      <c r="F4959" s="5"/>
      <c r="G4959" s="5"/>
      <c r="H4959" s="5"/>
      <c r="I4959" s="5"/>
      <c r="J4959" s="5" t="s">
        <v>434</v>
      </c>
    </row>
    <row r="4960" spans="1:10" x14ac:dyDescent="0.35">
      <c r="A4960" t="s">
        <v>227</v>
      </c>
      <c r="B4960" t="s">
        <v>1337</v>
      </c>
      <c r="C4960" t="s">
        <v>1339</v>
      </c>
      <c r="D4960" s="2">
        <v>0.76180000000000003</v>
      </c>
      <c r="E4960" s="2">
        <v>0.23630000000000001</v>
      </c>
      <c r="F4960" s="2">
        <v>1.9E-3</v>
      </c>
      <c r="J4960">
        <v>31</v>
      </c>
    </row>
    <row r="4961" spans="1:10" x14ac:dyDescent="0.35">
      <c r="A4961" t="s">
        <v>227</v>
      </c>
      <c r="B4961" t="s">
        <v>1337</v>
      </c>
      <c r="C4961" t="s">
        <v>1340</v>
      </c>
      <c r="D4961" s="2">
        <v>0.87839999999999996</v>
      </c>
      <c r="E4961" s="2">
        <v>3.04E-2</v>
      </c>
      <c r="F4961" s="2">
        <v>1.18E-2</v>
      </c>
      <c r="G4961" s="2">
        <v>5.7500000000000002E-2</v>
      </c>
      <c r="H4961" s="2">
        <v>2.1899999999999999E-2</v>
      </c>
      <c r="J4961">
        <v>477</v>
      </c>
    </row>
    <row r="4962" spans="1:10" x14ac:dyDescent="0.35">
      <c r="A4962" t="s">
        <v>227</v>
      </c>
      <c r="B4962" t="s">
        <v>1337</v>
      </c>
      <c r="C4962" t="s">
        <v>1341</v>
      </c>
      <c r="D4962" s="2">
        <v>0.94059999999999999</v>
      </c>
      <c r="E4962" s="2">
        <v>1.52E-2</v>
      </c>
      <c r="F4962" s="2">
        <v>1.6199999999999999E-2</v>
      </c>
      <c r="G4962" s="2">
        <v>1.55E-2</v>
      </c>
      <c r="H4962" s="2">
        <v>1.2E-2</v>
      </c>
      <c r="I4962" s="2">
        <v>4.0000000000000002E-4</v>
      </c>
      <c r="J4962">
        <v>923</v>
      </c>
    </row>
    <row r="4963" spans="1:10" x14ac:dyDescent="0.35">
      <c r="A4963" t="s">
        <v>227</v>
      </c>
      <c r="B4963" t="s">
        <v>1337</v>
      </c>
      <c r="C4963" t="s">
        <v>1342</v>
      </c>
      <c r="D4963" s="2">
        <v>0.92410000000000003</v>
      </c>
      <c r="E4963" s="2">
        <v>2.12E-2</v>
      </c>
      <c r="F4963" s="2">
        <v>3.6200000000000003E-2</v>
      </c>
      <c r="G4963" s="2">
        <v>1.0200000000000001E-2</v>
      </c>
      <c r="H4963" s="2">
        <v>4.0000000000000001E-3</v>
      </c>
      <c r="I4963" s="2">
        <v>4.1999999999999997E-3</v>
      </c>
      <c r="J4963">
        <v>532</v>
      </c>
    </row>
    <row r="4964" spans="1:10" x14ac:dyDescent="0.35">
      <c r="A4964" t="s">
        <v>228</v>
      </c>
      <c r="B4964" t="s">
        <v>228</v>
      </c>
      <c r="C4964" t="s">
        <v>228</v>
      </c>
      <c r="D4964" s="2">
        <v>0.91669999999999996</v>
      </c>
      <c r="E4964" s="2">
        <v>2.3599999999999999E-2</v>
      </c>
      <c r="F4964" s="2">
        <v>2.29E-2</v>
      </c>
      <c r="G4964" s="2">
        <v>2.2700000000000001E-2</v>
      </c>
      <c r="H4964" s="2">
        <v>1.3299999999999999E-2</v>
      </c>
      <c r="I4964" s="2">
        <v>8.9999999999999998E-4</v>
      </c>
      <c r="J4964">
        <v>2813</v>
      </c>
    </row>
    <row r="4966" spans="1:10" x14ac:dyDescent="0.35">
      <c r="A4966" s="1" t="s">
        <v>1466</v>
      </c>
    </row>
    <row r="4967" spans="1:10" x14ac:dyDescent="0.35">
      <c r="A4967" t="s">
        <v>219</v>
      </c>
      <c r="B4967" t="s">
        <v>1418</v>
      </c>
      <c r="C4967" t="s">
        <v>1420</v>
      </c>
      <c r="D4967" t="s">
        <v>1419</v>
      </c>
      <c r="E4967" t="s">
        <v>1421</v>
      </c>
      <c r="F4967" t="s">
        <v>277</v>
      </c>
      <c r="G4967" t="s">
        <v>282</v>
      </c>
      <c r="H4967" t="s">
        <v>226</v>
      </c>
    </row>
    <row r="4968" spans="1:10" x14ac:dyDescent="0.35">
      <c r="A4968" t="s">
        <v>227</v>
      </c>
      <c r="B4968" s="2">
        <v>0.93579999999999997</v>
      </c>
      <c r="C4968" s="2">
        <v>2.4899999999999999E-2</v>
      </c>
      <c r="D4968" s="2">
        <v>2.0400000000000001E-2</v>
      </c>
      <c r="E4968" s="2">
        <v>1.3899999999999999E-2</v>
      </c>
      <c r="F4968" s="2">
        <v>4.4000000000000003E-3</v>
      </c>
      <c r="G4968" s="2">
        <v>6.9999999999999999E-4</v>
      </c>
      <c r="H4968">
        <v>2813</v>
      </c>
    </row>
    <row r="4969" spans="1:10" x14ac:dyDescent="0.35">
      <c r="A4969" t="s">
        <v>228</v>
      </c>
      <c r="B4969" s="2">
        <v>0.93579999999999997</v>
      </c>
      <c r="C4969" s="2">
        <v>2.4899999999999999E-2</v>
      </c>
      <c r="D4969" s="2">
        <v>2.0400000000000001E-2</v>
      </c>
      <c r="E4969" s="2">
        <v>1.3899999999999999E-2</v>
      </c>
      <c r="F4969" s="2">
        <v>4.4000000000000003E-3</v>
      </c>
      <c r="G4969" s="2">
        <v>6.9999999999999999E-4</v>
      </c>
      <c r="H4969">
        <v>2813</v>
      </c>
    </row>
    <row r="4971" spans="1:10" x14ac:dyDescent="0.35">
      <c r="A4971" s="1" t="s">
        <v>1467</v>
      </c>
    </row>
    <row r="4972" spans="1:10" x14ac:dyDescent="0.35">
      <c r="A4972" t="s">
        <v>219</v>
      </c>
      <c r="B4972" t="s">
        <v>301</v>
      </c>
      <c r="C4972" t="s">
        <v>1418</v>
      </c>
      <c r="D4972" t="s">
        <v>1420</v>
      </c>
      <c r="E4972" t="s">
        <v>1419</v>
      </c>
      <c r="F4972" t="s">
        <v>1421</v>
      </c>
      <c r="G4972" t="s">
        <v>277</v>
      </c>
      <c r="H4972" t="s">
        <v>282</v>
      </c>
      <c r="I4972" t="s">
        <v>226</v>
      </c>
    </row>
    <row r="4973" spans="1:10" x14ac:dyDescent="0.35">
      <c r="A4973" t="s">
        <v>227</v>
      </c>
      <c r="B4973" t="s">
        <v>238</v>
      </c>
      <c r="C4973" s="2">
        <v>0.9204</v>
      </c>
      <c r="D4973" s="2">
        <v>2.7300000000000001E-2</v>
      </c>
      <c r="E4973" s="2">
        <v>3.0200000000000001E-2</v>
      </c>
      <c r="F4973" s="2">
        <v>1.6199999999999999E-2</v>
      </c>
      <c r="G4973" s="2">
        <v>5.7000000000000002E-3</v>
      </c>
      <c r="H4973" s="2">
        <v>2.0000000000000001E-4</v>
      </c>
      <c r="I4973">
        <v>1005</v>
      </c>
    </row>
    <row r="4974" spans="1:10" x14ac:dyDescent="0.35">
      <c r="A4974" t="s">
        <v>227</v>
      </c>
      <c r="B4974" t="s">
        <v>237</v>
      </c>
      <c r="C4974" s="2">
        <v>0.94469999999999998</v>
      </c>
      <c r="D4974" s="2">
        <v>2.35E-2</v>
      </c>
      <c r="E4974" s="2">
        <v>1.47E-2</v>
      </c>
      <c r="F4974" s="2">
        <v>1.26E-2</v>
      </c>
      <c r="G4974" s="2">
        <v>3.5000000000000001E-3</v>
      </c>
      <c r="H4974" s="2">
        <v>1E-3</v>
      </c>
      <c r="I4974">
        <v>1808</v>
      </c>
    </row>
    <row r="4975" spans="1:10" x14ac:dyDescent="0.35">
      <c r="A4975" t="s">
        <v>228</v>
      </c>
      <c r="B4975" t="s">
        <v>228</v>
      </c>
      <c r="C4975" s="2">
        <v>0.93579999999999997</v>
      </c>
      <c r="D4975" s="2">
        <v>2.4899999999999999E-2</v>
      </c>
      <c r="E4975" s="2">
        <v>2.0400000000000001E-2</v>
      </c>
      <c r="F4975" s="2">
        <v>1.3899999999999999E-2</v>
      </c>
      <c r="G4975" s="2">
        <v>4.4000000000000003E-3</v>
      </c>
      <c r="H4975" s="2">
        <v>6.9999999999999999E-4</v>
      </c>
      <c r="I4975">
        <v>2813</v>
      </c>
    </row>
    <row r="4977" spans="1:9" x14ac:dyDescent="0.35">
      <c r="A4977" s="1" t="s">
        <v>1468</v>
      </c>
    </row>
    <row r="4978" spans="1:9" x14ac:dyDescent="0.35">
      <c r="A4978" t="s">
        <v>219</v>
      </c>
      <c r="B4978" t="s">
        <v>301</v>
      </c>
      <c r="C4978" t="s">
        <v>1418</v>
      </c>
      <c r="D4978" t="s">
        <v>1420</v>
      </c>
      <c r="E4978" t="s">
        <v>1419</v>
      </c>
      <c r="F4978" t="s">
        <v>1421</v>
      </c>
      <c r="G4978" t="s">
        <v>277</v>
      </c>
      <c r="H4978" t="s">
        <v>282</v>
      </c>
      <c r="I4978" t="s">
        <v>226</v>
      </c>
    </row>
    <row r="4979" spans="1:9" x14ac:dyDescent="0.35">
      <c r="A4979" t="s">
        <v>227</v>
      </c>
      <c r="B4979" t="s">
        <v>235</v>
      </c>
      <c r="C4979" s="2">
        <v>0.95950000000000002</v>
      </c>
      <c r="D4979" s="2">
        <v>1.15E-2</v>
      </c>
      <c r="E4979" s="2">
        <v>1.0699999999999999E-2</v>
      </c>
      <c r="F4979" s="2">
        <v>1.06E-2</v>
      </c>
      <c r="G4979" s="2">
        <v>7.3000000000000001E-3</v>
      </c>
      <c r="H4979" s="2">
        <v>2.9999999999999997E-4</v>
      </c>
      <c r="I4979">
        <v>992</v>
      </c>
    </row>
    <row r="4980" spans="1:9" x14ac:dyDescent="0.35">
      <c r="A4980" t="s">
        <v>227</v>
      </c>
      <c r="B4980" t="s">
        <v>234</v>
      </c>
      <c r="C4980" s="2">
        <v>0.92579999999999996</v>
      </c>
      <c r="D4980" s="2">
        <v>3.0499999999999999E-2</v>
      </c>
      <c r="E4980" s="2">
        <v>2.4400000000000002E-2</v>
      </c>
      <c r="F4980" s="2">
        <v>1.5299999999999999E-2</v>
      </c>
      <c r="G4980" s="2">
        <v>3.0999999999999999E-3</v>
      </c>
      <c r="H4980" s="2">
        <v>8.0000000000000004E-4</v>
      </c>
      <c r="I4980">
        <v>1821</v>
      </c>
    </row>
    <row r="4981" spans="1:9" x14ac:dyDescent="0.35">
      <c r="A4981" t="s">
        <v>228</v>
      </c>
      <c r="B4981" t="s">
        <v>228</v>
      </c>
      <c r="C4981" s="2">
        <v>0.93579999999999997</v>
      </c>
      <c r="D4981" s="2">
        <v>2.4899999999999999E-2</v>
      </c>
      <c r="E4981" s="2">
        <v>2.0400000000000001E-2</v>
      </c>
      <c r="F4981" s="2">
        <v>1.3899999999999999E-2</v>
      </c>
      <c r="G4981" s="2">
        <v>4.4000000000000003E-3</v>
      </c>
      <c r="H4981" s="2">
        <v>6.9999999999999999E-4</v>
      </c>
      <c r="I4981">
        <v>2813</v>
      </c>
    </row>
    <row r="4983" spans="1:9" x14ac:dyDescent="0.35">
      <c r="A4983" s="1" t="s">
        <v>1469</v>
      </c>
    </row>
    <row r="4984" spans="1:9" x14ac:dyDescent="0.35">
      <c r="A4984" t="s">
        <v>219</v>
      </c>
      <c r="B4984" t="s">
        <v>301</v>
      </c>
      <c r="C4984" t="s">
        <v>1418</v>
      </c>
      <c r="D4984" t="s">
        <v>1420</v>
      </c>
      <c r="E4984" t="s">
        <v>1419</v>
      </c>
      <c r="F4984" t="s">
        <v>1421</v>
      </c>
      <c r="G4984" t="s">
        <v>277</v>
      </c>
      <c r="H4984" t="s">
        <v>282</v>
      </c>
      <c r="I4984" t="s">
        <v>226</v>
      </c>
    </row>
    <row r="4985" spans="1:9" x14ac:dyDescent="0.35">
      <c r="A4985" t="s">
        <v>227</v>
      </c>
      <c r="B4985" t="s">
        <v>240</v>
      </c>
      <c r="C4985" s="2">
        <v>0.93200000000000005</v>
      </c>
      <c r="D4985" s="2">
        <v>2.86E-2</v>
      </c>
      <c r="E4985" s="2">
        <v>2.46E-2</v>
      </c>
      <c r="F4985" s="2">
        <v>1.1299999999999999E-2</v>
      </c>
      <c r="G4985" s="2">
        <v>2.8E-3</v>
      </c>
      <c r="H4985" s="2">
        <v>6.9999999999999999E-4</v>
      </c>
      <c r="I4985">
        <v>1756</v>
      </c>
    </row>
    <row r="4986" spans="1:9" x14ac:dyDescent="0.35">
      <c r="A4986" t="s">
        <v>227</v>
      </c>
      <c r="B4986" t="s">
        <v>241</v>
      </c>
      <c r="C4986" s="2">
        <v>0.93899999999999995</v>
      </c>
      <c r="D4986" s="2">
        <v>1.8599999999999998E-2</v>
      </c>
      <c r="E4986" s="2">
        <v>1.09E-2</v>
      </c>
      <c r="F4986" s="2">
        <v>2.1999999999999999E-2</v>
      </c>
      <c r="G4986" s="2">
        <v>8.8000000000000005E-3</v>
      </c>
      <c r="H4986" s="2">
        <v>8.0000000000000004E-4</v>
      </c>
      <c r="I4986">
        <v>891</v>
      </c>
    </row>
    <row r="4987" spans="1:9" x14ac:dyDescent="0.35">
      <c r="A4987" t="s">
        <v>227</v>
      </c>
      <c r="B4987" t="s">
        <v>242</v>
      </c>
      <c r="C4987" s="2">
        <v>0.95799999999999996</v>
      </c>
      <c r="D4987" s="2">
        <v>1.6899999999999998E-2</v>
      </c>
      <c r="E4987" s="2">
        <v>2.1700000000000001E-2</v>
      </c>
      <c r="F4987" s="2">
        <v>3.3E-3</v>
      </c>
      <c r="I4987">
        <v>166</v>
      </c>
    </row>
    <row r="4988" spans="1:9" x14ac:dyDescent="0.35">
      <c r="A4988" t="s">
        <v>228</v>
      </c>
      <c r="B4988" t="s">
        <v>228</v>
      </c>
      <c r="C4988" s="2">
        <v>0.93579999999999997</v>
      </c>
      <c r="D4988" s="2">
        <v>2.4899999999999999E-2</v>
      </c>
      <c r="E4988" s="2">
        <v>2.0400000000000001E-2</v>
      </c>
      <c r="F4988" s="2">
        <v>1.3899999999999999E-2</v>
      </c>
      <c r="G4988" s="2">
        <v>4.4000000000000003E-3</v>
      </c>
      <c r="H4988" s="2">
        <v>6.9999999999999999E-4</v>
      </c>
      <c r="I4988">
        <v>2813</v>
      </c>
    </row>
    <row r="4990" spans="1:9" x14ac:dyDescent="0.35">
      <c r="A4990" s="1" t="s">
        <v>1470</v>
      </c>
    </row>
    <row r="4991" spans="1:9" x14ac:dyDescent="0.35">
      <c r="A4991" t="s">
        <v>219</v>
      </c>
      <c r="B4991" t="s">
        <v>301</v>
      </c>
      <c r="C4991" t="s">
        <v>1418</v>
      </c>
      <c r="D4991" t="s">
        <v>1420</v>
      </c>
      <c r="E4991" t="s">
        <v>1419</v>
      </c>
      <c r="F4991" t="s">
        <v>1421</v>
      </c>
      <c r="G4991" t="s">
        <v>277</v>
      </c>
      <c r="H4991" t="s">
        <v>282</v>
      </c>
      <c r="I4991" t="s">
        <v>226</v>
      </c>
    </row>
    <row r="4992" spans="1:9" x14ac:dyDescent="0.35">
      <c r="A4992" t="s">
        <v>227</v>
      </c>
      <c r="B4992" t="s">
        <v>334</v>
      </c>
      <c r="C4992" s="2">
        <v>0.94879999999999998</v>
      </c>
      <c r="D4992" s="2">
        <v>1.41E-2</v>
      </c>
      <c r="E4992" s="2">
        <v>1.2999999999999999E-2</v>
      </c>
      <c r="F4992" s="2">
        <v>1.3899999999999999E-2</v>
      </c>
      <c r="G4992" s="2">
        <v>9.2999999999999992E-3</v>
      </c>
      <c r="H4992" s="2">
        <v>1E-3</v>
      </c>
      <c r="I4992">
        <v>625</v>
      </c>
    </row>
    <row r="4993" spans="1:9" x14ac:dyDescent="0.35">
      <c r="A4993" t="s">
        <v>227</v>
      </c>
      <c r="B4993" t="s">
        <v>335</v>
      </c>
      <c r="C4993" s="2">
        <v>0.91669999999999996</v>
      </c>
      <c r="D4993" s="2">
        <v>4.6899999999999997E-2</v>
      </c>
      <c r="E4993" s="2">
        <v>2.7E-2</v>
      </c>
      <c r="F4993" s="2">
        <v>6.6E-3</v>
      </c>
      <c r="G4993" s="2">
        <v>2.8E-3</v>
      </c>
      <c r="I4993">
        <v>628</v>
      </c>
    </row>
    <row r="4994" spans="1:9" x14ac:dyDescent="0.35">
      <c r="A4994" t="s">
        <v>227</v>
      </c>
      <c r="B4994" t="s">
        <v>336</v>
      </c>
      <c r="C4994" s="2">
        <v>0.93879999999999997</v>
      </c>
      <c r="D4994" s="2">
        <v>1.89E-2</v>
      </c>
      <c r="E4994" s="2">
        <v>1.5299999999999999E-2</v>
      </c>
      <c r="F4994" s="2">
        <v>2.0500000000000001E-2</v>
      </c>
      <c r="G4994" s="2">
        <v>5.4000000000000003E-3</v>
      </c>
      <c r="H4994" s="2">
        <v>1.1000000000000001E-3</v>
      </c>
      <c r="I4994">
        <v>621</v>
      </c>
    </row>
    <row r="4995" spans="1:9" x14ac:dyDescent="0.35">
      <c r="A4995" t="s">
        <v>227</v>
      </c>
      <c r="B4995" t="s">
        <v>337</v>
      </c>
      <c r="C4995" s="2">
        <v>0.94399999999999995</v>
      </c>
      <c r="D4995" s="2">
        <v>1.0999999999999999E-2</v>
      </c>
      <c r="E4995" s="2">
        <v>2.5600000000000001E-2</v>
      </c>
      <c r="F4995" s="2">
        <v>1.67E-2</v>
      </c>
      <c r="G4995" s="2">
        <v>1.9E-3</v>
      </c>
      <c r="H4995" s="2">
        <v>8.0000000000000004E-4</v>
      </c>
      <c r="I4995">
        <v>602</v>
      </c>
    </row>
    <row r="4996" spans="1:9" x14ac:dyDescent="0.35">
      <c r="A4996" t="s">
        <v>228</v>
      </c>
      <c r="B4996" t="s">
        <v>228</v>
      </c>
      <c r="C4996" s="2">
        <v>0.93579999999999997</v>
      </c>
      <c r="D4996" s="2">
        <v>2.4899999999999999E-2</v>
      </c>
      <c r="E4996" s="2">
        <v>2.0400000000000001E-2</v>
      </c>
      <c r="F4996" s="2">
        <v>1.3899999999999999E-2</v>
      </c>
      <c r="G4996" s="2">
        <v>4.4000000000000003E-3</v>
      </c>
      <c r="H4996" s="2">
        <v>6.9999999999999999E-4</v>
      </c>
      <c r="I4996">
        <v>2476</v>
      </c>
    </row>
    <row r="4998" spans="1:9" x14ac:dyDescent="0.35">
      <c r="A4998" s="1" t="s">
        <v>1471</v>
      </c>
    </row>
    <row r="4999" spans="1:9" x14ac:dyDescent="0.35">
      <c r="A4999" t="s">
        <v>219</v>
      </c>
      <c r="B4999" t="s">
        <v>301</v>
      </c>
      <c r="C4999" t="s">
        <v>1418</v>
      </c>
      <c r="D4999" t="s">
        <v>1420</v>
      </c>
      <c r="E4999" t="s">
        <v>1419</v>
      </c>
      <c r="F4999" t="s">
        <v>1421</v>
      </c>
      <c r="G4999" t="s">
        <v>277</v>
      </c>
      <c r="H4999" t="s">
        <v>282</v>
      </c>
      <c r="I4999" t="s">
        <v>226</v>
      </c>
    </row>
    <row r="5000" spans="1:9" x14ac:dyDescent="0.35">
      <c r="A5000" t="s">
        <v>227</v>
      </c>
      <c r="B5000" t="s">
        <v>263</v>
      </c>
      <c r="C5000" s="2">
        <v>0.90349999999999997</v>
      </c>
      <c r="D5000" s="2">
        <v>3.3799999999999997E-2</v>
      </c>
      <c r="E5000" s="2">
        <v>3.3000000000000002E-2</v>
      </c>
      <c r="F5000" s="2">
        <v>1.72E-2</v>
      </c>
      <c r="G5000" s="2">
        <v>0.01</v>
      </c>
      <c r="H5000" s="2">
        <v>2.3999999999999998E-3</v>
      </c>
      <c r="I5000">
        <v>589</v>
      </c>
    </row>
    <row r="5001" spans="1:9" x14ac:dyDescent="0.35">
      <c r="A5001" t="s">
        <v>227</v>
      </c>
      <c r="B5001" t="s">
        <v>262</v>
      </c>
      <c r="C5001" s="2">
        <v>0.94469999999999998</v>
      </c>
      <c r="D5001" s="2">
        <v>1.38E-2</v>
      </c>
      <c r="E5001" s="2">
        <v>2.0400000000000001E-2</v>
      </c>
      <c r="F5001" s="2">
        <v>1.5699999999999999E-2</v>
      </c>
      <c r="G5001" s="2">
        <v>5.4000000000000003E-3</v>
      </c>
      <c r="I5001">
        <v>1160</v>
      </c>
    </row>
    <row r="5002" spans="1:9" x14ac:dyDescent="0.35">
      <c r="A5002" t="s">
        <v>227</v>
      </c>
      <c r="B5002" t="s">
        <v>261</v>
      </c>
      <c r="C5002" s="2">
        <v>0.94520000000000004</v>
      </c>
      <c r="D5002" s="2">
        <v>3.0099999999999998E-2</v>
      </c>
      <c r="E5002" s="2">
        <v>1.2699999999999999E-2</v>
      </c>
      <c r="F5002" s="2">
        <v>1.0800000000000001E-2</v>
      </c>
      <c r="G5002" s="2">
        <v>6.9999999999999999E-4</v>
      </c>
      <c r="H5002" s="2">
        <v>4.0000000000000002E-4</v>
      </c>
      <c r="I5002">
        <v>1062</v>
      </c>
    </row>
    <row r="5003" spans="1:9" x14ac:dyDescent="0.35">
      <c r="A5003" s="3" t="s">
        <v>227</v>
      </c>
      <c r="B5003" s="3" t="s">
        <v>232</v>
      </c>
      <c r="C5003" s="4">
        <v>0.5</v>
      </c>
      <c r="D5003" s="5"/>
      <c r="E5003" s="4">
        <v>0.5</v>
      </c>
      <c r="F5003" s="5"/>
      <c r="G5003" s="5"/>
      <c r="H5003" s="5"/>
      <c r="I5003" s="5" t="s">
        <v>434</v>
      </c>
    </row>
    <row r="5004" spans="1:9" x14ac:dyDescent="0.35">
      <c r="A5004" t="s">
        <v>228</v>
      </c>
      <c r="B5004" t="s">
        <v>228</v>
      </c>
      <c r="C5004" s="2">
        <v>0.93579999999999997</v>
      </c>
      <c r="D5004" s="2">
        <v>2.4899999999999999E-2</v>
      </c>
      <c r="E5004" s="2">
        <v>2.0400000000000001E-2</v>
      </c>
      <c r="F5004" s="2">
        <v>1.3899999999999999E-2</v>
      </c>
      <c r="G5004" s="2">
        <v>4.4000000000000003E-3</v>
      </c>
      <c r="H5004" s="2">
        <v>6.9999999999999999E-4</v>
      </c>
      <c r="I5004">
        <v>2813</v>
      </c>
    </row>
    <row r="5006" spans="1:9" x14ac:dyDescent="0.35">
      <c r="A5006" s="1" t="s">
        <v>1472</v>
      </c>
    </row>
    <row r="5007" spans="1:9" x14ac:dyDescent="0.35">
      <c r="A5007" t="s">
        <v>219</v>
      </c>
      <c r="B5007" t="s">
        <v>301</v>
      </c>
      <c r="C5007" t="s">
        <v>1418</v>
      </c>
      <c r="D5007" t="s">
        <v>1420</v>
      </c>
      <c r="E5007" t="s">
        <v>1419</v>
      </c>
      <c r="F5007" t="s">
        <v>1421</v>
      </c>
      <c r="G5007" t="s">
        <v>277</v>
      </c>
      <c r="H5007" t="s">
        <v>282</v>
      </c>
      <c r="I5007" t="s">
        <v>226</v>
      </c>
    </row>
    <row r="5008" spans="1:9" x14ac:dyDescent="0.35">
      <c r="A5008" t="s">
        <v>227</v>
      </c>
      <c r="B5008" t="s">
        <v>248</v>
      </c>
      <c r="C5008" s="2">
        <v>0.96160000000000001</v>
      </c>
      <c r="D5008" s="2">
        <v>1.18E-2</v>
      </c>
      <c r="E5008" s="2">
        <v>1.1000000000000001E-3</v>
      </c>
      <c r="F5008" s="2">
        <v>1.7500000000000002E-2</v>
      </c>
      <c r="G5008" s="2">
        <v>8.0999999999999996E-3</v>
      </c>
      <c r="I5008">
        <v>796</v>
      </c>
    </row>
    <row r="5009" spans="1:9" x14ac:dyDescent="0.35">
      <c r="A5009" t="s">
        <v>227</v>
      </c>
      <c r="B5009" t="s">
        <v>249</v>
      </c>
      <c r="C5009" s="2">
        <v>0.92659999999999998</v>
      </c>
      <c r="D5009" s="2">
        <v>2.2599999999999999E-2</v>
      </c>
      <c r="E5009" s="2">
        <v>3.9399999999999998E-2</v>
      </c>
      <c r="F5009" s="2">
        <v>9.9000000000000008E-3</v>
      </c>
      <c r="G5009" s="2">
        <v>8.9999999999999998E-4</v>
      </c>
      <c r="H5009" s="2">
        <v>5.0000000000000001E-4</v>
      </c>
      <c r="I5009">
        <v>541</v>
      </c>
    </row>
    <row r="5010" spans="1:9" x14ac:dyDescent="0.35">
      <c r="A5010" t="s">
        <v>227</v>
      </c>
      <c r="B5010" t="s">
        <v>247</v>
      </c>
      <c r="C5010" s="2">
        <v>0.92579999999999996</v>
      </c>
      <c r="D5010" s="2">
        <v>3.2500000000000001E-2</v>
      </c>
      <c r="E5010" s="2">
        <v>2.3400000000000001E-2</v>
      </c>
      <c r="F5010" s="2">
        <v>1.3599999999999999E-2</v>
      </c>
      <c r="G5010" s="2">
        <v>3.7000000000000002E-3</v>
      </c>
      <c r="H5010" s="2">
        <v>1.1000000000000001E-3</v>
      </c>
      <c r="I5010">
        <v>1476</v>
      </c>
    </row>
    <row r="5011" spans="1:9" x14ac:dyDescent="0.35">
      <c r="A5011" t="s">
        <v>228</v>
      </c>
      <c r="B5011" t="s">
        <v>228</v>
      </c>
      <c r="C5011" s="2">
        <v>0.93579999999999997</v>
      </c>
      <c r="D5011" s="2">
        <v>2.4899999999999999E-2</v>
      </c>
      <c r="E5011" s="2">
        <v>2.0400000000000001E-2</v>
      </c>
      <c r="F5011" s="2">
        <v>1.3899999999999999E-2</v>
      </c>
      <c r="G5011" s="2">
        <v>4.4000000000000003E-3</v>
      </c>
      <c r="H5011" s="2">
        <v>6.9999999999999999E-4</v>
      </c>
      <c r="I5011">
        <v>2813</v>
      </c>
    </row>
    <row r="5013" spans="1:9" x14ac:dyDescent="0.35">
      <c r="A5013" s="1" t="s">
        <v>1473</v>
      </c>
    </row>
    <row r="5014" spans="1:9" x14ac:dyDescent="0.35">
      <c r="A5014" t="s">
        <v>219</v>
      </c>
      <c r="B5014" t="s">
        <v>301</v>
      </c>
      <c r="C5014" t="s">
        <v>1418</v>
      </c>
      <c r="D5014" t="s">
        <v>1420</v>
      </c>
      <c r="E5014" t="s">
        <v>1419</v>
      </c>
      <c r="F5014" t="s">
        <v>1421</v>
      </c>
      <c r="G5014" t="s">
        <v>277</v>
      </c>
      <c r="H5014" t="s">
        <v>282</v>
      </c>
      <c r="I5014" t="s">
        <v>226</v>
      </c>
    </row>
    <row r="5015" spans="1:9" x14ac:dyDescent="0.35">
      <c r="A5015" t="s">
        <v>227</v>
      </c>
      <c r="B5015" t="s">
        <v>245</v>
      </c>
      <c r="C5015" s="2">
        <v>0.93030000000000002</v>
      </c>
      <c r="D5015" s="2">
        <v>2.6800000000000001E-2</v>
      </c>
      <c r="E5015" s="2">
        <v>3.1600000000000003E-2</v>
      </c>
      <c r="F5015" s="2">
        <v>8.0999999999999996E-3</v>
      </c>
      <c r="G5015" s="2">
        <v>2.5999999999999999E-3</v>
      </c>
      <c r="H5015" s="2">
        <v>5.9999999999999995E-4</v>
      </c>
      <c r="I5015">
        <v>783</v>
      </c>
    </row>
    <row r="5016" spans="1:9" x14ac:dyDescent="0.35">
      <c r="A5016" t="s">
        <v>227</v>
      </c>
      <c r="B5016" t="s">
        <v>244</v>
      </c>
      <c r="C5016" s="2">
        <v>0.93789999999999996</v>
      </c>
      <c r="D5016" s="2">
        <v>2.41E-2</v>
      </c>
      <c r="E5016" s="2">
        <v>1.5900000000000001E-2</v>
      </c>
      <c r="F5016" s="2">
        <v>1.6199999999999999E-2</v>
      </c>
      <c r="G5016" s="2">
        <v>5.0000000000000001E-3</v>
      </c>
      <c r="H5016" s="2">
        <v>6.9999999999999999E-4</v>
      </c>
      <c r="I5016">
        <v>2030</v>
      </c>
    </row>
    <row r="5017" spans="1:9" x14ac:dyDescent="0.35">
      <c r="A5017" t="s">
        <v>228</v>
      </c>
      <c r="B5017" t="s">
        <v>228</v>
      </c>
      <c r="C5017" s="2">
        <v>0.93579999999999997</v>
      </c>
      <c r="D5017" s="2">
        <v>2.4899999999999999E-2</v>
      </c>
      <c r="E5017" s="2">
        <v>2.0400000000000001E-2</v>
      </c>
      <c r="F5017" s="2">
        <v>1.3899999999999999E-2</v>
      </c>
      <c r="G5017" s="2">
        <v>4.4000000000000003E-3</v>
      </c>
      <c r="H5017" s="2">
        <v>6.9999999999999999E-4</v>
      </c>
      <c r="I5017">
        <v>2813</v>
      </c>
    </row>
    <row r="5019" spans="1:9" x14ac:dyDescent="0.35">
      <c r="A5019" s="1" t="s">
        <v>1474</v>
      </c>
    </row>
    <row r="5020" spans="1:9" x14ac:dyDescent="0.35">
      <c r="A5020" t="s">
        <v>219</v>
      </c>
      <c r="B5020" t="s">
        <v>301</v>
      </c>
      <c r="C5020" t="s">
        <v>1418</v>
      </c>
      <c r="D5020" t="s">
        <v>1420</v>
      </c>
      <c r="E5020" t="s">
        <v>1419</v>
      </c>
      <c r="F5020" t="s">
        <v>1421</v>
      </c>
      <c r="G5020" t="s">
        <v>277</v>
      </c>
      <c r="H5020" t="s">
        <v>282</v>
      </c>
      <c r="I5020" t="s">
        <v>226</v>
      </c>
    </row>
    <row r="5021" spans="1:9" x14ac:dyDescent="0.35">
      <c r="A5021" t="s">
        <v>227</v>
      </c>
      <c r="B5021" t="s">
        <v>259</v>
      </c>
      <c r="C5021" s="2">
        <v>0.97509999999999997</v>
      </c>
      <c r="D5021" s="2">
        <v>1.8599999999999998E-2</v>
      </c>
      <c r="G5021" s="2">
        <v>6.3E-3</v>
      </c>
      <c r="I5021">
        <v>69</v>
      </c>
    </row>
    <row r="5022" spans="1:9" x14ac:dyDescent="0.35">
      <c r="A5022" t="s">
        <v>227</v>
      </c>
      <c r="B5022" t="s">
        <v>257</v>
      </c>
      <c r="C5022" s="2">
        <v>0.88070000000000004</v>
      </c>
      <c r="D5022" s="2">
        <v>5.5500000000000001E-2</v>
      </c>
      <c r="E5022" s="2">
        <v>3.27E-2</v>
      </c>
      <c r="F5022" s="2">
        <v>3.04E-2</v>
      </c>
      <c r="G5022" s="2">
        <v>6.9999999999999999E-4</v>
      </c>
      <c r="I5022">
        <v>405</v>
      </c>
    </row>
    <row r="5023" spans="1:9" x14ac:dyDescent="0.35">
      <c r="A5023" t="s">
        <v>227</v>
      </c>
      <c r="B5023" t="s">
        <v>256</v>
      </c>
      <c r="C5023" s="2">
        <v>0.94979999999999998</v>
      </c>
      <c r="D5023" s="2">
        <v>1.2999999999999999E-2</v>
      </c>
      <c r="E5023" s="2">
        <v>1.8800000000000001E-2</v>
      </c>
      <c r="F5023" s="2">
        <v>1.15E-2</v>
      </c>
      <c r="G5023" s="2">
        <v>6.0000000000000001E-3</v>
      </c>
      <c r="H5023" s="2">
        <v>8.0000000000000004E-4</v>
      </c>
      <c r="I5023">
        <v>1803</v>
      </c>
    </row>
    <row r="5024" spans="1:9" x14ac:dyDescent="0.35">
      <c r="A5024" s="3" t="s">
        <v>227</v>
      </c>
      <c r="B5024" s="3" t="s">
        <v>232</v>
      </c>
      <c r="C5024" s="4">
        <v>0.90480000000000005</v>
      </c>
      <c r="D5024" s="5"/>
      <c r="E5024" s="4">
        <v>8.1900000000000001E-2</v>
      </c>
      <c r="F5024" s="5"/>
      <c r="G5024" s="5"/>
      <c r="H5024" s="4">
        <v>1.3299999999999999E-2</v>
      </c>
      <c r="I5024" s="5" t="s">
        <v>307</v>
      </c>
    </row>
    <row r="5025" spans="1:9" x14ac:dyDescent="0.35">
      <c r="A5025" t="s">
        <v>227</v>
      </c>
      <c r="B5025" t="s">
        <v>258</v>
      </c>
      <c r="C5025" s="2">
        <v>0.93149999999999999</v>
      </c>
      <c r="D5025" s="2">
        <v>4.4200000000000003E-2</v>
      </c>
      <c r="E5025" s="2">
        <v>1.4999999999999999E-2</v>
      </c>
      <c r="F5025" s="2">
        <v>7.9000000000000008E-3</v>
      </c>
      <c r="G5025" s="2">
        <v>6.9999999999999999E-4</v>
      </c>
      <c r="H5025" s="2">
        <v>5.9999999999999995E-4</v>
      </c>
      <c r="I5025">
        <v>525</v>
      </c>
    </row>
    <row r="5026" spans="1:9" x14ac:dyDescent="0.35">
      <c r="A5026" t="s">
        <v>228</v>
      </c>
      <c r="B5026" t="s">
        <v>228</v>
      </c>
      <c r="C5026" s="2">
        <v>0.93579999999999997</v>
      </c>
      <c r="D5026" s="2">
        <v>2.4899999999999999E-2</v>
      </c>
      <c r="E5026" s="2">
        <v>2.0400000000000001E-2</v>
      </c>
      <c r="F5026" s="2">
        <v>1.3899999999999999E-2</v>
      </c>
      <c r="G5026" s="2">
        <v>4.4000000000000003E-3</v>
      </c>
      <c r="H5026" s="2">
        <v>6.9999999999999999E-4</v>
      </c>
      <c r="I5026">
        <v>2813</v>
      </c>
    </row>
    <row r="5028" spans="1:9" x14ac:dyDescent="0.35">
      <c r="A5028" s="1" t="s">
        <v>1475</v>
      </c>
    </row>
    <row r="5029" spans="1:9" x14ac:dyDescent="0.35">
      <c r="A5029" t="s">
        <v>219</v>
      </c>
      <c r="B5029" t="s">
        <v>301</v>
      </c>
      <c r="C5029" t="s">
        <v>1418</v>
      </c>
      <c r="D5029" t="s">
        <v>1420</v>
      </c>
      <c r="E5029" t="s">
        <v>1419</v>
      </c>
      <c r="F5029" t="s">
        <v>1421</v>
      </c>
      <c r="G5029" t="s">
        <v>277</v>
      </c>
      <c r="H5029" t="s">
        <v>282</v>
      </c>
      <c r="I5029" t="s">
        <v>226</v>
      </c>
    </row>
    <row r="5030" spans="1:9" x14ac:dyDescent="0.35">
      <c r="A5030" t="s">
        <v>227</v>
      </c>
      <c r="B5030" t="s">
        <v>343</v>
      </c>
      <c r="C5030" s="2">
        <v>0.88070000000000004</v>
      </c>
      <c r="D5030" s="2">
        <v>5.5500000000000001E-2</v>
      </c>
      <c r="E5030" s="2">
        <v>3.27E-2</v>
      </c>
      <c r="F5030" s="2">
        <v>3.04E-2</v>
      </c>
      <c r="G5030" s="2">
        <v>6.9999999999999999E-4</v>
      </c>
      <c r="I5030">
        <v>405</v>
      </c>
    </row>
    <row r="5031" spans="1:9" x14ac:dyDescent="0.35">
      <c r="A5031" t="s">
        <v>227</v>
      </c>
      <c r="B5031" t="s">
        <v>344</v>
      </c>
      <c r="C5031" s="2">
        <v>0.94699999999999995</v>
      </c>
      <c r="D5031" s="2">
        <v>1.8700000000000001E-2</v>
      </c>
      <c r="E5031" s="2">
        <v>1.7899999999999999E-2</v>
      </c>
      <c r="F5031" s="2">
        <v>1.06E-2</v>
      </c>
      <c r="G5031" s="2">
        <v>5.1000000000000004E-3</v>
      </c>
      <c r="H5031" s="2">
        <v>8.0000000000000004E-4</v>
      </c>
      <c r="I5031">
        <v>2408</v>
      </c>
    </row>
    <row r="5032" spans="1:9" x14ac:dyDescent="0.35">
      <c r="A5032" t="s">
        <v>228</v>
      </c>
      <c r="B5032" t="s">
        <v>228</v>
      </c>
      <c r="C5032" s="2">
        <v>0.93579999999999997</v>
      </c>
      <c r="D5032" s="2">
        <v>2.4899999999999999E-2</v>
      </c>
      <c r="E5032" s="2">
        <v>2.0400000000000001E-2</v>
      </c>
      <c r="F5032" s="2">
        <v>1.3899999999999999E-2</v>
      </c>
      <c r="G5032" s="2">
        <v>4.4000000000000003E-3</v>
      </c>
      <c r="H5032" s="2">
        <v>6.9999999999999999E-4</v>
      </c>
      <c r="I5032">
        <v>2813</v>
      </c>
    </row>
    <row r="5034" spans="1:9" x14ac:dyDescent="0.35">
      <c r="A5034" s="1" t="s">
        <v>1476</v>
      </c>
    </row>
    <row r="5035" spans="1:9" x14ac:dyDescent="0.35">
      <c r="A5035" t="s">
        <v>219</v>
      </c>
      <c r="B5035" t="s">
        <v>301</v>
      </c>
      <c r="C5035" t="s">
        <v>1418</v>
      </c>
      <c r="D5035" t="s">
        <v>1420</v>
      </c>
      <c r="E5035" t="s">
        <v>1419</v>
      </c>
      <c r="F5035" t="s">
        <v>1421</v>
      </c>
      <c r="G5035" t="s">
        <v>277</v>
      </c>
      <c r="H5035" t="s">
        <v>282</v>
      </c>
      <c r="I5035" t="s">
        <v>226</v>
      </c>
    </row>
    <row r="5036" spans="1:9" x14ac:dyDescent="0.35">
      <c r="A5036" t="s">
        <v>227</v>
      </c>
      <c r="B5036" t="s">
        <v>346</v>
      </c>
      <c r="C5036" s="2">
        <v>0.93420000000000003</v>
      </c>
      <c r="D5036" s="2">
        <v>2.5899999999999999E-2</v>
      </c>
      <c r="E5036" s="2">
        <v>2.1299999999999999E-2</v>
      </c>
      <c r="F5036" s="2">
        <v>1.46E-2</v>
      </c>
      <c r="G5036" s="2">
        <v>3.8999999999999998E-3</v>
      </c>
      <c r="H5036" s="2">
        <v>1E-4</v>
      </c>
      <c r="I5036">
        <v>1463</v>
      </c>
    </row>
    <row r="5037" spans="1:9" x14ac:dyDescent="0.35">
      <c r="A5037" t="s">
        <v>227</v>
      </c>
      <c r="B5037" t="s">
        <v>347</v>
      </c>
      <c r="C5037" s="2">
        <v>0.94230000000000003</v>
      </c>
      <c r="D5037" s="2">
        <v>8.0999999999999996E-3</v>
      </c>
      <c r="E5037" s="2">
        <v>2.1399999999999999E-2</v>
      </c>
      <c r="F5037" s="2">
        <v>9.7999999999999997E-3</v>
      </c>
      <c r="G5037" s="2">
        <v>1.5100000000000001E-2</v>
      </c>
      <c r="H5037" s="2">
        <v>3.3E-3</v>
      </c>
      <c r="I5037">
        <v>585</v>
      </c>
    </row>
    <row r="5038" spans="1:9" x14ac:dyDescent="0.35">
      <c r="A5038" t="s">
        <v>227</v>
      </c>
      <c r="B5038" t="s">
        <v>348</v>
      </c>
      <c r="C5038" s="2">
        <v>0.94710000000000005</v>
      </c>
      <c r="D5038" s="2">
        <v>2.24E-2</v>
      </c>
      <c r="E5038" s="2">
        <v>1.14E-2</v>
      </c>
      <c r="F5038" s="2">
        <v>9.7000000000000003E-3</v>
      </c>
      <c r="G5038" s="2">
        <v>4.3E-3</v>
      </c>
      <c r="H5038" s="2">
        <v>5.1000000000000004E-3</v>
      </c>
      <c r="I5038">
        <v>765</v>
      </c>
    </row>
    <row r="5039" spans="1:9" x14ac:dyDescent="0.35">
      <c r="A5039" t="s">
        <v>228</v>
      </c>
      <c r="B5039" t="s">
        <v>228</v>
      </c>
      <c r="C5039" s="2">
        <v>0.93579999999999997</v>
      </c>
      <c r="D5039" s="2">
        <v>2.4899999999999999E-2</v>
      </c>
      <c r="E5039" s="2">
        <v>2.0400000000000001E-2</v>
      </c>
      <c r="F5039" s="2">
        <v>1.3899999999999999E-2</v>
      </c>
      <c r="G5039" s="2">
        <v>4.4000000000000003E-3</v>
      </c>
      <c r="H5039" s="2">
        <v>6.9999999999999999E-4</v>
      </c>
      <c r="I5039">
        <v>2813</v>
      </c>
    </row>
    <row r="5041" spans="1:9" x14ac:dyDescent="0.35">
      <c r="A5041" s="1" t="s">
        <v>1477</v>
      </c>
    </row>
    <row r="5042" spans="1:9" x14ac:dyDescent="0.35">
      <c r="A5042" t="s">
        <v>219</v>
      </c>
      <c r="B5042" t="s">
        <v>301</v>
      </c>
      <c r="C5042" t="s">
        <v>1418</v>
      </c>
      <c r="D5042" t="s">
        <v>1420</v>
      </c>
      <c r="E5042" t="s">
        <v>1419</v>
      </c>
      <c r="F5042" t="s">
        <v>1421</v>
      </c>
      <c r="G5042" t="s">
        <v>277</v>
      </c>
      <c r="H5042" t="s">
        <v>282</v>
      </c>
      <c r="I5042" t="s">
        <v>226</v>
      </c>
    </row>
    <row r="5043" spans="1:9" x14ac:dyDescent="0.35">
      <c r="A5043" t="s">
        <v>227</v>
      </c>
      <c r="B5043" t="s">
        <v>251</v>
      </c>
      <c r="C5043" s="2">
        <v>0.93789999999999996</v>
      </c>
      <c r="D5043" s="2">
        <v>2.41E-2</v>
      </c>
      <c r="E5043" s="2">
        <v>1.5900000000000001E-2</v>
      </c>
      <c r="F5043" s="2">
        <v>1.6199999999999999E-2</v>
      </c>
      <c r="G5043" s="2">
        <v>5.0000000000000001E-3</v>
      </c>
      <c r="H5043" s="2">
        <v>6.9999999999999999E-4</v>
      </c>
      <c r="I5043">
        <v>2030</v>
      </c>
    </row>
    <row r="5044" spans="1:9" x14ac:dyDescent="0.35">
      <c r="A5044" t="s">
        <v>227</v>
      </c>
      <c r="B5044" t="s">
        <v>252</v>
      </c>
      <c r="C5044" s="2">
        <v>0.93430000000000002</v>
      </c>
      <c r="D5044" s="2">
        <v>2.76E-2</v>
      </c>
      <c r="E5044" s="2">
        <v>2.7400000000000001E-2</v>
      </c>
      <c r="F5044" s="2">
        <v>6.7999999999999996E-3</v>
      </c>
      <c r="G5044" s="2">
        <v>3.2000000000000002E-3</v>
      </c>
      <c r="H5044" s="2">
        <v>6.9999999999999999E-4</v>
      </c>
      <c r="I5044">
        <v>621</v>
      </c>
    </row>
    <row r="5045" spans="1:9" x14ac:dyDescent="0.35">
      <c r="A5045" t="s">
        <v>227</v>
      </c>
      <c r="B5045" t="s">
        <v>253</v>
      </c>
      <c r="C5045" s="2">
        <v>0.91020000000000001</v>
      </c>
      <c r="D5045" s="2">
        <v>2.4400000000000002E-2</v>
      </c>
      <c r="E5045" s="2">
        <v>5.0999999999999997E-2</v>
      </c>
      <c r="F5045" s="2">
        <v>1.44E-2</v>
      </c>
      <c r="I5045">
        <v>153</v>
      </c>
    </row>
    <row r="5046" spans="1:9" x14ac:dyDescent="0.35">
      <c r="A5046" s="3" t="s">
        <v>227</v>
      </c>
      <c r="B5046" s="3" t="s">
        <v>254</v>
      </c>
      <c r="C5046" s="4">
        <v>1</v>
      </c>
      <c r="D5046" s="5"/>
      <c r="E5046" s="5"/>
      <c r="F5046" s="5"/>
      <c r="G5046" s="5"/>
      <c r="H5046" s="5"/>
      <c r="I5046" s="5" t="s">
        <v>515</v>
      </c>
    </row>
    <row r="5047" spans="1:9" x14ac:dyDescent="0.35">
      <c r="A5047" t="s">
        <v>228</v>
      </c>
      <c r="B5047" t="s">
        <v>228</v>
      </c>
      <c r="C5047" s="2">
        <v>0.93579999999999997</v>
      </c>
      <c r="D5047" s="2">
        <v>2.4899999999999999E-2</v>
      </c>
      <c r="E5047" s="2">
        <v>2.0400000000000001E-2</v>
      </c>
      <c r="F5047" s="2">
        <v>1.3899999999999999E-2</v>
      </c>
      <c r="G5047" s="2">
        <v>4.4000000000000003E-3</v>
      </c>
      <c r="H5047" s="2">
        <v>6.9999999999999999E-4</v>
      </c>
      <c r="I5047">
        <v>2813</v>
      </c>
    </row>
    <row r="5049" spans="1:9" x14ac:dyDescent="0.35">
      <c r="A5049" s="1" t="s">
        <v>1478</v>
      </c>
    </row>
    <row r="5050" spans="1:9" x14ac:dyDescent="0.35">
      <c r="A5050" t="s">
        <v>219</v>
      </c>
      <c r="B5050" t="s">
        <v>301</v>
      </c>
      <c r="C5050" t="s">
        <v>1418</v>
      </c>
      <c r="D5050" t="s">
        <v>1420</v>
      </c>
      <c r="E5050" t="s">
        <v>1419</v>
      </c>
      <c r="F5050" t="s">
        <v>1421</v>
      </c>
      <c r="G5050" t="s">
        <v>277</v>
      </c>
      <c r="H5050" t="s">
        <v>282</v>
      </c>
      <c r="I5050" t="s">
        <v>226</v>
      </c>
    </row>
    <row r="5051" spans="1:9" x14ac:dyDescent="0.35">
      <c r="A5051" t="s">
        <v>227</v>
      </c>
      <c r="B5051" t="s">
        <v>1335</v>
      </c>
      <c r="C5051" s="2">
        <v>0.91690000000000005</v>
      </c>
      <c r="D5051" s="2">
        <v>4.65E-2</v>
      </c>
      <c r="E5051" s="2">
        <v>1.95E-2</v>
      </c>
      <c r="F5051" s="2">
        <v>9.9000000000000008E-3</v>
      </c>
      <c r="G5051" s="2">
        <v>6.1999999999999998E-3</v>
      </c>
      <c r="H5051" s="2">
        <v>1E-3</v>
      </c>
      <c r="I5051">
        <v>848</v>
      </c>
    </row>
    <row r="5052" spans="1:9" x14ac:dyDescent="0.35">
      <c r="A5052" s="3" t="s">
        <v>227</v>
      </c>
      <c r="B5052" s="3" t="s">
        <v>1336</v>
      </c>
      <c r="C5052" s="4">
        <v>1</v>
      </c>
      <c r="D5052" s="5"/>
      <c r="E5052" s="5"/>
      <c r="F5052" s="5"/>
      <c r="G5052" s="5"/>
      <c r="H5052" s="5"/>
      <c r="I5052" s="5" t="s">
        <v>434</v>
      </c>
    </row>
    <row r="5053" spans="1:9" x14ac:dyDescent="0.35">
      <c r="A5053" t="s">
        <v>227</v>
      </c>
      <c r="B5053" t="s">
        <v>1337</v>
      </c>
      <c r="C5053" s="2">
        <v>0.94510000000000005</v>
      </c>
      <c r="D5053" s="2">
        <v>1.41E-2</v>
      </c>
      <c r="E5053" s="2">
        <v>2.0899999999999998E-2</v>
      </c>
      <c r="F5053" s="2">
        <v>1.6E-2</v>
      </c>
      <c r="G5053" s="2">
        <v>3.3999999999999998E-3</v>
      </c>
      <c r="H5053" s="2">
        <v>5.0000000000000001E-4</v>
      </c>
      <c r="I5053">
        <v>1963</v>
      </c>
    </row>
    <row r="5054" spans="1:9" x14ac:dyDescent="0.35">
      <c r="A5054" t="s">
        <v>228</v>
      </c>
      <c r="B5054" t="s">
        <v>228</v>
      </c>
      <c r="C5054" s="2">
        <v>0.93579999999999997</v>
      </c>
      <c r="D5054" s="2">
        <v>2.4899999999999999E-2</v>
      </c>
      <c r="E5054" s="2">
        <v>2.0400000000000001E-2</v>
      </c>
      <c r="F5054" s="2">
        <v>1.3899999999999999E-2</v>
      </c>
      <c r="G5054" s="2">
        <v>4.4000000000000003E-3</v>
      </c>
      <c r="H5054" s="2">
        <v>6.9999999999999999E-4</v>
      </c>
      <c r="I5054">
        <v>2813</v>
      </c>
    </row>
    <row r="5056" spans="1:9" x14ac:dyDescent="0.35">
      <c r="A5056" s="1" t="s">
        <v>1479</v>
      </c>
    </row>
    <row r="5057" spans="1:10" x14ac:dyDescent="0.35">
      <c r="A5057" t="s">
        <v>219</v>
      </c>
      <c r="B5057" t="s">
        <v>301</v>
      </c>
      <c r="C5057" t="s">
        <v>1418</v>
      </c>
      <c r="D5057" t="s">
        <v>1420</v>
      </c>
      <c r="E5057" t="s">
        <v>1419</v>
      </c>
      <c r="F5057" t="s">
        <v>1421</v>
      </c>
      <c r="G5057" t="s">
        <v>277</v>
      </c>
      <c r="H5057" t="s">
        <v>282</v>
      </c>
      <c r="I5057" t="s">
        <v>226</v>
      </c>
    </row>
    <row r="5058" spans="1:10" x14ac:dyDescent="0.35">
      <c r="A5058" t="s">
        <v>227</v>
      </c>
      <c r="B5058" t="s">
        <v>1339</v>
      </c>
      <c r="C5058" s="2">
        <v>0.99</v>
      </c>
      <c r="E5058" s="2">
        <v>0.01</v>
      </c>
      <c r="I5058">
        <v>51</v>
      </c>
    </row>
    <row r="5059" spans="1:10" x14ac:dyDescent="0.35">
      <c r="A5059" t="s">
        <v>227</v>
      </c>
      <c r="B5059" t="s">
        <v>1340</v>
      </c>
      <c r="C5059" s="2">
        <v>0.9113</v>
      </c>
      <c r="D5059" s="2">
        <v>4.3900000000000002E-2</v>
      </c>
      <c r="E5059" s="2">
        <v>2.86E-2</v>
      </c>
      <c r="F5059" s="2">
        <v>9.4000000000000004E-3</v>
      </c>
      <c r="G5059" s="2">
        <v>6.1000000000000004E-3</v>
      </c>
      <c r="H5059" s="2">
        <v>6.9999999999999999E-4</v>
      </c>
      <c r="I5059">
        <v>729</v>
      </c>
    </row>
    <row r="5060" spans="1:10" x14ac:dyDescent="0.35">
      <c r="A5060" t="s">
        <v>227</v>
      </c>
      <c r="B5060" t="s">
        <v>1341</v>
      </c>
      <c r="C5060" s="2">
        <v>0.93230000000000002</v>
      </c>
      <c r="D5060" s="2">
        <v>2.5700000000000001E-2</v>
      </c>
      <c r="E5060" s="2">
        <v>2.5999999999999999E-2</v>
      </c>
      <c r="F5060" s="2">
        <v>1.38E-2</v>
      </c>
      <c r="G5060" s="2">
        <v>1.2999999999999999E-3</v>
      </c>
      <c r="H5060" s="2">
        <v>8.9999999999999998E-4</v>
      </c>
      <c r="I5060">
        <v>1344</v>
      </c>
    </row>
    <row r="5061" spans="1:10" x14ac:dyDescent="0.35">
      <c r="A5061" t="s">
        <v>227</v>
      </c>
      <c r="B5061" t="s">
        <v>1342</v>
      </c>
      <c r="C5061" s="2">
        <v>0.96289999999999998</v>
      </c>
      <c r="D5061" s="2">
        <v>6.1000000000000004E-3</v>
      </c>
      <c r="E5061" s="2">
        <v>8.9999999999999998E-4</v>
      </c>
      <c r="F5061" s="2">
        <v>2.0199999999999999E-2</v>
      </c>
      <c r="G5061" s="2">
        <v>9.5999999999999992E-3</v>
      </c>
      <c r="H5061" s="2">
        <v>2.9999999999999997E-4</v>
      </c>
      <c r="I5061">
        <v>689</v>
      </c>
    </row>
    <row r="5062" spans="1:10" x14ac:dyDescent="0.35">
      <c r="A5062" t="s">
        <v>228</v>
      </c>
      <c r="B5062" t="s">
        <v>228</v>
      </c>
      <c r="C5062" s="2">
        <v>0.93579999999999997</v>
      </c>
      <c r="D5062" s="2">
        <v>2.4899999999999999E-2</v>
      </c>
      <c r="E5062" s="2">
        <v>2.0400000000000001E-2</v>
      </c>
      <c r="F5062" s="2">
        <v>1.3899999999999999E-2</v>
      </c>
      <c r="G5062" s="2">
        <v>4.4000000000000003E-3</v>
      </c>
      <c r="H5062" s="2">
        <v>6.9999999999999999E-4</v>
      </c>
      <c r="I5062">
        <v>2813</v>
      </c>
    </row>
    <row r="5064" spans="1:10" x14ac:dyDescent="0.35">
      <c r="A5064" s="1" t="s">
        <v>1480</v>
      </c>
    </row>
    <row r="5065" spans="1:10" x14ac:dyDescent="0.35">
      <c r="A5065" t="s">
        <v>219</v>
      </c>
      <c r="B5065" t="s">
        <v>301</v>
      </c>
      <c r="C5065" t="s">
        <v>325</v>
      </c>
      <c r="D5065" t="s">
        <v>1418</v>
      </c>
      <c r="E5065" t="s">
        <v>1420</v>
      </c>
      <c r="F5065" t="s">
        <v>1419</v>
      </c>
      <c r="G5065" t="s">
        <v>1421</v>
      </c>
      <c r="H5065" t="s">
        <v>277</v>
      </c>
      <c r="I5065" t="s">
        <v>282</v>
      </c>
      <c r="J5065" t="s">
        <v>226</v>
      </c>
    </row>
    <row r="5066" spans="1:10" x14ac:dyDescent="0.35">
      <c r="A5066" s="3" t="s">
        <v>227</v>
      </c>
      <c r="B5066" s="3" t="s">
        <v>1335</v>
      </c>
      <c r="C5066" s="3" t="s">
        <v>1339</v>
      </c>
      <c r="D5066" s="4">
        <v>0.97270000000000001</v>
      </c>
      <c r="E5066" s="5"/>
      <c r="F5066" s="4">
        <v>2.7300000000000001E-2</v>
      </c>
      <c r="G5066" s="5"/>
      <c r="H5066" s="5"/>
      <c r="I5066" s="5"/>
      <c r="J5066" s="5" t="s">
        <v>427</v>
      </c>
    </row>
    <row r="5067" spans="1:10" x14ac:dyDescent="0.35">
      <c r="A5067" t="s">
        <v>227</v>
      </c>
      <c r="B5067" t="s">
        <v>1335</v>
      </c>
      <c r="C5067" t="s">
        <v>1340</v>
      </c>
      <c r="D5067" s="2">
        <v>0.91239999999999999</v>
      </c>
      <c r="E5067" s="2">
        <v>6.7900000000000002E-2</v>
      </c>
      <c r="F5067" s="2">
        <v>1.9E-3</v>
      </c>
      <c r="G5067" s="2">
        <v>9.5999999999999992E-3</v>
      </c>
      <c r="H5067" s="2">
        <v>8.3000000000000001E-3</v>
      </c>
      <c r="J5067">
        <v>252</v>
      </c>
    </row>
    <row r="5068" spans="1:10" x14ac:dyDescent="0.35">
      <c r="A5068" t="s">
        <v>227</v>
      </c>
      <c r="B5068" t="s">
        <v>1335</v>
      </c>
      <c r="C5068" t="s">
        <v>1341</v>
      </c>
      <c r="D5068" s="2">
        <v>0.89549999999999996</v>
      </c>
      <c r="E5068" s="2">
        <v>5.2499999999999998E-2</v>
      </c>
      <c r="F5068" s="2">
        <v>3.4799999999999998E-2</v>
      </c>
      <c r="G5068" s="2">
        <v>1.4200000000000001E-2</v>
      </c>
      <c r="H5068" s="2">
        <v>1.6000000000000001E-3</v>
      </c>
      <c r="I5068" s="2">
        <v>1.4E-3</v>
      </c>
      <c r="J5068">
        <v>419</v>
      </c>
    </row>
    <row r="5069" spans="1:10" x14ac:dyDescent="0.35">
      <c r="A5069" t="s">
        <v>227</v>
      </c>
      <c r="B5069" t="s">
        <v>1335</v>
      </c>
      <c r="C5069" t="s">
        <v>1342</v>
      </c>
      <c r="D5069" s="2">
        <v>0.97340000000000004</v>
      </c>
      <c r="E5069" s="2">
        <v>7.9000000000000008E-3</v>
      </c>
      <c r="F5069" s="2">
        <v>6.9999999999999999E-4</v>
      </c>
      <c r="H5069" s="2">
        <v>1.6799999999999999E-2</v>
      </c>
      <c r="I5069" s="2">
        <v>1.1000000000000001E-3</v>
      </c>
      <c r="J5069">
        <v>157</v>
      </c>
    </row>
    <row r="5070" spans="1:10" x14ac:dyDescent="0.35">
      <c r="A5070" s="3" t="s">
        <v>227</v>
      </c>
      <c r="B5070" s="3" t="s">
        <v>1336</v>
      </c>
      <c r="C5070" s="3" t="s">
        <v>1341</v>
      </c>
      <c r="D5070" s="4">
        <v>1</v>
      </c>
      <c r="E5070" s="5"/>
      <c r="F5070" s="5"/>
      <c r="G5070" s="5"/>
      <c r="H5070" s="5"/>
      <c r="I5070" s="5"/>
      <c r="J5070" s="5" t="s">
        <v>434</v>
      </c>
    </row>
    <row r="5071" spans="1:10" x14ac:dyDescent="0.35">
      <c r="A5071" t="s">
        <v>227</v>
      </c>
      <c r="B5071" t="s">
        <v>1337</v>
      </c>
      <c r="C5071" t="s">
        <v>1339</v>
      </c>
      <c r="D5071" s="2">
        <v>1</v>
      </c>
      <c r="J5071">
        <v>31</v>
      </c>
    </row>
    <row r="5072" spans="1:10" x14ac:dyDescent="0.35">
      <c r="A5072" t="s">
        <v>227</v>
      </c>
      <c r="B5072" t="s">
        <v>1337</v>
      </c>
      <c r="C5072" t="s">
        <v>1340</v>
      </c>
      <c r="D5072" s="2">
        <v>0.91059999999999997</v>
      </c>
      <c r="E5072" s="2">
        <v>3.0300000000000001E-2</v>
      </c>
      <c r="F5072" s="2">
        <v>4.3900000000000002E-2</v>
      </c>
      <c r="G5072" s="2">
        <v>9.1999999999999998E-3</v>
      </c>
      <c r="H5072" s="2">
        <v>4.8999999999999998E-3</v>
      </c>
      <c r="I5072" s="2">
        <v>1.1000000000000001E-3</v>
      </c>
      <c r="J5072">
        <v>477</v>
      </c>
    </row>
    <row r="5073" spans="1:10" x14ac:dyDescent="0.35">
      <c r="A5073" t="s">
        <v>227</v>
      </c>
      <c r="B5073" t="s">
        <v>1337</v>
      </c>
      <c r="C5073" t="s">
        <v>1341</v>
      </c>
      <c r="D5073" s="2">
        <v>0.9516</v>
      </c>
      <c r="E5073" s="2">
        <v>1.1599999999999999E-2</v>
      </c>
      <c r="F5073" s="2">
        <v>2.1399999999999999E-2</v>
      </c>
      <c r="G5073" s="2">
        <v>1.37E-2</v>
      </c>
      <c r="H5073" s="2">
        <v>1.1000000000000001E-3</v>
      </c>
      <c r="I5073" s="2">
        <v>5.9999999999999995E-4</v>
      </c>
      <c r="J5073">
        <v>923</v>
      </c>
    </row>
    <row r="5074" spans="1:10" x14ac:dyDescent="0.35">
      <c r="A5074" t="s">
        <v>227</v>
      </c>
      <c r="B5074" t="s">
        <v>1337</v>
      </c>
      <c r="C5074" t="s">
        <v>1342</v>
      </c>
      <c r="D5074" s="2">
        <v>0.95889999999999997</v>
      </c>
      <c r="E5074" s="2">
        <v>5.4000000000000003E-3</v>
      </c>
      <c r="F5074" s="2">
        <v>8.9999999999999998E-4</v>
      </c>
      <c r="G5074" s="2">
        <v>2.7900000000000001E-2</v>
      </c>
      <c r="H5074" s="2">
        <v>6.8999999999999999E-3</v>
      </c>
      <c r="J5074">
        <v>532</v>
      </c>
    </row>
    <row r="5075" spans="1:10" x14ac:dyDescent="0.35">
      <c r="A5075" t="s">
        <v>228</v>
      </c>
      <c r="B5075" t="s">
        <v>228</v>
      </c>
      <c r="C5075" t="s">
        <v>228</v>
      </c>
      <c r="D5075" s="2">
        <v>0.93579999999999997</v>
      </c>
      <c r="E5075" s="2">
        <v>2.4899999999999999E-2</v>
      </c>
      <c r="F5075" s="2">
        <v>2.0400000000000001E-2</v>
      </c>
      <c r="G5075" s="2">
        <v>1.3899999999999999E-2</v>
      </c>
      <c r="H5075" s="2">
        <v>4.4000000000000003E-3</v>
      </c>
      <c r="I5075" s="2">
        <v>6.9999999999999999E-4</v>
      </c>
      <c r="J5075">
        <v>2813</v>
      </c>
    </row>
    <row r="5077" spans="1:10" x14ac:dyDescent="0.35">
      <c r="A5077" s="1" t="s">
        <v>1481</v>
      </c>
    </row>
    <row r="5078" spans="1:10" x14ac:dyDescent="0.35">
      <c r="A5078" t="s">
        <v>219</v>
      </c>
      <c r="B5078" t="s">
        <v>1418</v>
      </c>
      <c r="C5078" t="s">
        <v>1419</v>
      </c>
      <c r="D5078" t="s">
        <v>1421</v>
      </c>
      <c r="E5078" t="s">
        <v>277</v>
      </c>
      <c r="F5078" t="s">
        <v>1420</v>
      </c>
      <c r="G5078" t="s">
        <v>282</v>
      </c>
      <c r="H5078" t="s">
        <v>226</v>
      </c>
    </row>
    <row r="5079" spans="1:10" x14ac:dyDescent="0.35">
      <c r="A5079" t="s">
        <v>227</v>
      </c>
      <c r="B5079" s="2">
        <v>0.96850000000000003</v>
      </c>
      <c r="C5079" s="2">
        <v>1.0500000000000001E-2</v>
      </c>
      <c r="D5079" s="2">
        <v>8.2000000000000007E-3</v>
      </c>
      <c r="E5079" s="2">
        <v>6.0000000000000001E-3</v>
      </c>
      <c r="F5079" s="2">
        <v>5.5999999999999999E-3</v>
      </c>
      <c r="G5079" s="2">
        <v>1.1999999999999999E-3</v>
      </c>
      <c r="H5079">
        <v>2813</v>
      </c>
    </row>
    <row r="5080" spans="1:10" x14ac:dyDescent="0.35">
      <c r="A5080" t="s">
        <v>228</v>
      </c>
      <c r="B5080" s="2">
        <v>0.96850000000000003</v>
      </c>
      <c r="C5080" s="2">
        <v>1.0500000000000001E-2</v>
      </c>
      <c r="D5080" s="2">
        <v>8.2000000000000007E-3</v>
      </c>
      <c r="E5080" s="2">
        <v>6.0000000000000001E-3</v>
      </c>
      <c r="F5080" s="2">
        <v>5.5999999999999999E-3</v>
      </c>
      <c r="G5080" s="2">
        <v>1.1999999999999999E-3</v>
      </c>
      <c r="H5080">
        <v>2813</v>
      </c>
    </row>
    <row r="5082" spans="1:10" x14ac:dyDescent="0.35">
      <c r="A5082" s="1" t="s">
        <v>1482</v>
      </c>
    </row>
    <row r="5083" spans="1:10" x14ac:dyDescent="0.35">
      <c r="A5083" t="s">
        <v>219</v>
      </c>
      <c r="B5083" t="s">
        <v>301</v>
      </c>
      <c r="C5083" t="s">
        <v>1418</v>
      </c>
      <c r="D5083" t="s">
        <v>1419</v>
      </c>
      <c r="E5083" t="s">
        <v>1421</v>
      </c>
      <c r="F5083" t="s">
        <v>277</v>
      </c>
      <c r="G5083" t="s">
        <v>1420</v>
      </c>
      <c r="H5083" t="s">
        <v>282</v>
      </c>
      <c r="I5083" t="s">
        <v>226</v>
      </c>
    </row>
    <row r="5084" spans="1:10" x14ac:dyDescent="0.35">
      <c r="A5084" t="s">
        <v>227</v>
      </c>
      <c r="B5084" t="s">
        <v>238</v>
      </c>
      <c r="C5084" s="2">
        <v>0.95779999999999998</v>
      </c>
      <c r="D5084" s="2">
        <v>1.4E-2</v>
      </c>
      <c r="E5084" s="2">
        <v>7.1000000000000004E-3</v>
      </c>
      <c r="F5084" s="2">
        <v>1.0800000000000001E-2</v>
      </c>
      <c r="G5084" s="2">
        <v>8.0999999999999996E-3</v>
      </c>
      <c r="H5084" s="2">
        <v>2.3E-3</v>
      </c>
      <c r="I5084">
        <v>1005</v>
      </c>
    </row>
    <row r="5085" spans="1:10" x14ac:dyDescent="0.35">
      <c r="A5085" t="s">
        <v>227</v>
      </c>
      <c r="B5085" t="s">
        <v>237</v>
      </c>
      <c r="C5085" s="2">
        <v>0.9748</v>
      </c>
      <c r="D5085" s="2">
        <v>8.5000000000000006E-3</v>
      </c>
      <c r="E5085" s="2">
        <v>8.8000000000000005E-3</v>
      </c>
      <c r="F5085" s="2">
        <v>3.3E-3</v>
      </c>
      <c r="G5085" s="2">
        <v>4.1000000000000003E-3</v>
      </c>
      <c r="H5085" s="2">
        <v>5.0000000000000001E-4</v>
      </c>
      <c r="I5085">
        <v>1808</v>
      </c>
    </row>
    <row r="5086" spans="1:10" x14ac:dyDescent="0.35">
      <c r="A5086" t="s">
        <v>228</v>
      </c>
      <c r="B5086" t="s">
        <v>228</v>
      </c>
      <c r="C5086" s="2">
        <v>0.96850000000000003</v>
      </c>
      <c r="D5086" s="2">
        <v>1.0500000000000001E-2</v>
      </c>
      <c r="E5086" s="2">
        <v>8.2000000000000007E-3</v>
      </c>
      <c r="F5086" s="2">
        <v>6.0000000000000001E-3</v>
      </c>
      <c r="G5086" s="2">
        <v>5.5999999999999999E-3</v>
      </c>
      <c r="H5086" s="2">
        <v>1.1999999999999999E-3</v>
      </c>
      <c r="I5086">
        <v>2813</v>
      </c>
    </row>
    <row r="5088" spans="1:10" x14ac:dyDescent="0.35">
      <c r="A5088" s="1" t="s">
        <v>1483</v>
      </c>
    </row>
    <row r="5089" spans="1:9" x14ac:dyDescent="0.35">
      <c r="A5089" t="s">
        <v>219</v>
      </c>
      <c r="B5089" t="s">
        <v>301</v>
      </c>
      <c r="C5089" t="s">
        <v>1418</v>
      </c>
      <c r="D5089" t="s">
        <v>1419</v>
      </c>
      <c r="E5089" t="s">
        <v>1421</v>
      </c>
      <c r="F5089" t="s">
        <v>277</v>
      </c>
      <c r="G5089" t="s">
        <v>1420</v>
      </c>
      <c r="H5089" t="s">
        <v>282</v>
      </c>
      <c r="I5089" t="s">
        <v>226</v>
      </c>
    </row>
    <row r="5090" spans="1:9" x14ac:dyDescent="0.35">
      <c r="A5090" t="s">
        <v>227</v>
      </c>
      <c r="B5090" t="s">
        <v>235</v>
      </c>
      <c r="C5090" s="2">
        <v>0.96360000000000001</v>
      </c>
      <c r="D5090" s="2">
        <v>0.01</v>
      </c>
      <c r="E5090" s="2">
        <v>0.01</v>
      </c>
      <c r="F5090" s="2">
        <v>1.15E-2</v>
      </c>
      <c r="G5090" s="2">
        <v>5.0000000000000001E-3</v>
      </c>
      <c r="I5090">
        <v>992</v>
      </c>
    </row>
    <row r="5091" spans="1:9" x14ac:dyDescent="0.35">
      <c r="A5091" t="s">
        <v>227</v>
      </c>
      <c r="B5091" t="s">
        <v>234</v>
      </c>
      <c r="C5091" s="2">
        <v>0.97060000000000002</v>
      </c>
      <c r="D5091" s="2">
        <v>1.0699999999999999E-2</v>
      </c>
      <c r="E5091" s="2">
        <v>7.4000000000000003E-3</v>
      </c>
      <c r="F5091" s="2">
        <v>3.8E-3</v>
      </c>
      <c r="G5091" s="2">
        <v>5.7999999999999996E-3</v>
      </c>
      <c r="H5091" s="2">
        <v>1.6999999999999999E-3</v>
      </c>
      <c r="I5091">
        <v>1821</v>
      </c>
    </row>
    <row r="5092" spans="1:9" x14ac:dyDescent="0.35">
      <c r="A5092" t="s">
        <v>228</v>
      </c>
      <c r="B5092" t="s">
        <v>228</v>
      </c>
      <c r="C5092" s="2">
        <v>0.96850000000000003</v>
      </c>
      <c r="D5092" s="2">
        <v>1.0500000000000001E-2</v>
      </c>
      <c r="E5092" s="2">
        <v>8.2000000000000007E-3</v>
      </c>
      <c r="F5092" s="2">
        <v>6.0000000000000001E-3</v>
      </c>
      <c r="G5092" s="2">
        <v>5.5999999999999999E-3</v>
      </c>
      <c r="H5092" s="2">
        <v>1.1999999999999999E-3</v>
      </c>
      <c r="I5092">
        <v>2813</v>
      </c>
    </row>
    <row r="5094" spans="1:9" x14ac:dyDescent="0.35">
      <c r="A5094" s="1" t="s">
        <v>1484</v>
      </c>
    </row>
    <row r="5095" spans="1:9" x14ac:dyDescent="0.35">
      <c r="A5095" t="s">
        <v>219</v>
      </c>
      <c r="B5095" t="s">
        <v>301</v>
      </c>
      <c r="C5095" t="s">
        <v>1418</v>
      </c>
      <c r="D5095" t="s">
        <v>1419</v>
      </c>
      <c r="E5095" t="s">
        <v>1421</v>
      </c>
      <c r="F5095" t="s">
        <v>277</v>
      </c>
      <c r="G5095" t="s">
        <v>1420</v>
      </c>
      <c r="H5095" t="s">
        <v>282</v>
      </c>
      <c r="I5095" t="s">
        <v>226</v>
      </c>
    </row>
    <row r="5096" spans="1:9" x14ac:dyDescent="0.35">
      <c r="A5096" t="s">
        <v>227</v>
      </c>
      <c r="B5096" t="s">
        <v>240</v>
      </c>
      <c r="C5096" s="2">
        <v>0.97099999999999997</v>
      </c>
      <c r="D5096" s="2">
        <v>1.11E-2</v>
      </c>
      <c r="E5096" s="2">
        <v>8.0999999999999996E-3</v>
      </c>
      <c r="F5096" s="2">
        <v>3.5999999999999999E-3</v>
      </c>
      <c r="G5096" s="2">
        <v>4.7000000000000002E-3</v>
      </c>
      <c r="H5096" s="2">
        <v>1.5E-3</v>
      </c>
      <c r="I5096">
        <v>1756</v>
      </c>
    </row>
    <row r="5097" spans="1:9" x14ac:dyDescent="0.35">
      <c r="A5097" t="s">
        <v>227</v>
      </c>
      <c r="B5097" t="s">
        <v>241</v>
      </c>
      <c r="C5097" s="2">
        <v>0.96640000000000004</v>
      </c>
      <c r="D5097" s="2">
        <v>8.3999999999999995E-3</v>
      </c>
      <c r="E5097" s="2">
        <v>7.0000000000000001E-3</v>
      </c>
      <c r="F5097" s="2">
        <v>1.2800000000000001E-2</v>
      </c>
      <c r="G5097" s="2">
        <v>4.7000000000000002E-3</v>
      </c>
      <c r="H5097" s="2">
        <v>8.0000000000000004E-4</v>
      </c>
      <c r="I5097">
        <v>891</v>
      </c>
    </row>
    <row r="5098" spans="1:9" x14ac:dyDescent="0.35">
      <c r="A5098" t="s">
        <v>227</v>
      </c>
      <c r="B5098" t="s">
        <v>242</v>
      </c>
      <c r="C5098" s="2">
        <v>0.95389999999999997</v>
      </c>
      <c r="D5098" s="2">
        <v>1.4200000000000001E-2</v>
      </c>
      <c r="E5098" s="2">
        <v>1.4200000000000001E-2</v>
      </c>
      <c r="G5098" s="2">
        <v>1.7600000000000001E-2</v>
      </c>
      <c r="I5098">
        <v>166</v>
      </c>
    </row>
    <row r="5099" spans="1:9" x14ac:dyDescent="0.35">
      <c r="A5099" t="s">
        <v>228</v>
      </c>
      <c r="B5099" t="s">
        <v>228</v>
      </c>
      <c r="C5099" s="2">
        <v>0.96850000000000003</v>
      </c>
      <c r="D5099" s="2">
        <v>1.0500000000000001E-2</v>
      </c>
      <c r="E5099" s="2">
        <v>8.2000000000000007E-3</v>
      </c>
      <c r="F5099" s="2">
        <v>6.0000000000000001E-3</v>
      </c>
      <c r="G5099" s="2">
        <v>5.5999999999999999E-3</v>
      </c>
      <c r="H5099" s="2">
        <v>1.1999999999999999E-3</v>
      </c>
      <c r="I5099">
        <v>2813</v>
      </c>
    </row>
    <row r="5101" spans="1:9" x14ac:dyDescent="0.35">
      <c r="A5101" s="1" t="s">
        <v>1485</v>
      </c>
    </row>
    <row r="5102" spans="1:9" x14ac:dyDescent="0.35">
      <c r="A5102" t="s">
        <v>219</v>
      </c>
      <c r="B5102" t="s">
        <v>301</v>
      </c>
      <c r="C5102" t="s">
        <v>1418</v>
      </c>
      <c r="D5102" t="s">
        <v>1419</v>
      </c>
      <c r="E5102" t="s">
        <v>1421</v>
      </c>
      <c r="F5102" t="s">
        <v>277</v>
      </c>
      <c r="G5102" t="s">
        <v>1420</v>
      </c>
      <c r="H5102" t="s">
        <v>282</v>
      </c>
      <c r="I5102" t="s">
        <v>226</v>
      </c>
    </row>
    <row r="5103" spans="1:9" x14ac:dyDescent="0.35">
      <c r="A5103" t="s">
        <v>227</v>
      </c>
      <c r="B5103" t="s">
        <v>334</v>
      </c>
      <c r="C5103" s="2">
        <v>0.94940000000000002</v>
      </c>
      <c r="D5103" s="2">
        <v>1.83E-2</v>
      </c>
      <c r="E5103" s="2">
        <v>1.0800000000000001E-2</v>
      </c>
      <c r="F5103" s="2">
        <v>1.5699999999999999E-2</v>
      </c>
      <c r="G5103" s="2">
        <v>5.7999999999999996E-3</v>
      </c>
      <c r="I5103">
        <v>625</v>
      </c>
    </row>
    <row r="5104" spans="1:9" x14ac:dyDescent="0.35">
      <c r="A5104" t="s">
        <v>227</v>
      </c>
      <c r="B5104" t="s">
        <v>335</v>
      </c>
      <c r="C5104" s="2">
        <v>0.97689999999999999</v>
      </c>
      <c r="D5104" s="2">
        <v>9.7000000000000003E-3</v>
      </c>
      <c r="E5104" s="2">
        <v>2.7000000000000001E-3</v>
      </c>
      <c r="F5104" s="2">
        <v>8.0000000000000004E-4</v>
      </c>
      <c r="G5104" s="2">
        <v>9.1999999999999998E-3</v>
      </c>
      <c r="H5104" s="2">
        <v>8.0000000000000004E-4</v>
      </c>
      <c r="I5104">
        <v>628</v>
      </c>
    </row>
    <row r="5105" spans="1:9" x14ac:dyDescent="0.35">
      <c r="A5105" t="s">
        <v>227</v>
      </c>
      <c r="B5105" t="s">
        <v>336</v>
      </c>
      <c r="C5105" s="2">
        <v>0.98540000000000005</v>
      </c>
      <c r="D5105" s="2">
        <v>5.9999999999999995E-4</v>
      </c>
      <c r="E5105" s="2">
        <v>3.5000000000000001E-3</v>
      </c>
      <c r="F5105" s="2">
        <v>7.0000000000000001E-3</v>
      </c>
      <c r="G5105" s="2">
        <v>3.5000000000000001E-3</v>
      </c>
      <c r="I5105">
        <v>621</v>
      </c>
    </row>
    <row r="5106" spans="1:9" x14ac:dyDescent="0.35">
      <c r="A5106" t="s">
        <v>227</v>
      </c>
      <c r="B5106" t="s">
        <v>337</v>
      </c>
      <c r="C5106" s="2">
        <v>0.95750000000000002</v>
      </c>
      <c r="D5106" s="2">
        <v>1.7299999999999999E-2</v>
      </c>
      <c r="E5106" s="2">
        <v>1.3599999999999999E-2</v>
      </c>
      <c r="F5106" s="2">
        <v>3.5000000000000001E-3</v>
      </c>
      <c r="G5106" s="2">
        <v>4.0000000000000001E-3</v>
      </c>
      <c r="H5106" s="2">
        <v>4.1000000000000003E-3</v>
      </c>
      <c r="I5106">
        <v>602</v>
      </c>
    </row>
    <row r="5107" spans="1:9" x14ac:dyDescent="0.35">
      <c r="A5107" t="s">
        <v>228</v>
      </c>
      <c r="B5107" t="s">
        <v>228</v>
      </c>
      <c r="C5107" s="2">
        <v>0.96850000000000003</v>
      </c>
      <c r="D5107" s="2">
        <v>1.0500000000000001E-2</v>
      </c>
      <c r="E5107" s="2">
        <v>8.2000000000000007E-3</v>
      </c>
      <c r="F5107" s="2">
        <v>6.0000000000000001E-3</v>
      </c>
      <c r="G5107" s="2">
        <v>5.5999999999999999E-3</v>
      </c>
      <c r="H5107" s="2">
        <v>1.1999999999999999E-3</v>
      </c>
      <c r="I5107">
        <v>2476</v>
      </c>
    </row>
    <row r="5109" spans="1:9" x14ac:dyDescent="0.35">
      <c r="A5109" s="1" t="s">
        <v>1486</v>
      </c>
    </row>
    <row r="5110" spans="1:9" x14ac:dyDescent="0.35">
      <c r="A5110" t="s">
        <v>219</v>
      </c>
      <c r="B5110" t="s">
        <v>301</v>
      </c>
      <c r="C5110" t="s">
        <v>1418</v>
      </c>
      <c r="D5110" t="s">
        <v>1419</v>
      </c>
      <c r="E5110" t="s">
        <v>1421</v>
      </c>
      <c r="F5110" t="s">
        <v>277</v>
      </c>
      <c r="G5110" t="s">
        <v>1420</v>
      </c>
      <c r="H5110" t="s">
        <v>282</v>
      </c>
      <c r="I5110" t="s">
        <v>226</v>
      </c>
    </row>
    <row r="5111" spans="1:9" x14ac:dyDescent="0.35">
      <c r="A5111" t="s">
        <v>227</v>
      </c>
      <c r="B5111" t="s">
        <v>263</v>
      </c>
      <c r="C5111" s="2">
        <v>0.97250000000000003</v>
      </c>
      <c r="D5111" s="2">
        <v>1.0200000000000001E-2</v>
      </c>
      <c r="E5111" s="2">
        <v>6.1000000000000004E-3</v>
      </c>
      <c r="F5111" s="2">
        <v>9.2999999999999992E-3</v>
      </c>
      <c r="G5111" s="2">
        <v>1.8E-3</v>
      </c>
      <c r="I5111">
        <v>589</v>
      </c>
    </row>
    <row r="5112" spans="1:9" x14ac:dyDescent="0.35">
      <c r="A5112" t="s">
        <v>227</v>
      </c>
      <c r="B5112" t="s">
        <v>262</v>
      </c>
      <c r="C5112" s="2">
        <v>0.96989999999999998</v>
      </c>
      <c r="D5112" s="2">
        <v>6.4000000000000003E-3</v>
      </c>
      <c r="E5112" s="2">
        <v>6.3E-3</v>
      </c>
      <c r="F5112" s="2">
        <v>9.4000000000000004E-3</v>
      </c>
      <c r="G5112" s="2">
        <v>5.1000000000000004E-3</v>
      </c>
      <c r="H5112" s="2">
        <v>2.8999999999999998E-3</v>
      </c>
      <c r="I5112">
        <v>1160</v>
      </c>
    </row>
    <row r="5113" spans="1:9" x14ac:dyDescent="0.35">
      <c r="A5113" t="s">
        <v>227</v>
      </c>
      <c r="B5113" t="s">
        <v>261</v>
      </c>
      <c r="C5113" s="2">
        <v>0.96530000000000005</v>
      </c>
      <c r="D5113" s="2">
        <v>1.43E-2</v>
      </c>
      <c r="E5113" s="2">
        <v>1.09E-2</v>
      </c>
      <c r="F5113" s="2">
        <v>1.5E-3</v>
      </c>
      <c r="G5113" s="2">
        <v>7.7999999999999996E-3</v>
      </c>
      <c r="H5113" s="2">
        <v>2.0000000000000001E-4</v>
      </c>
      <c r="I5113">
        <v>1062</v>
      </c>
    </row>
    <row r="5114" spans="1:9" x14ac:dyDescent="0.35">
      <c r="A5114" s="3" t="s">
        <v>227</v>
      </c>
      <c r="B5114" s="3" t="s">
        <v>232</v>
      </c>
      <c r="C5114" s="4">
        <v>1</v>
      </c>
      <c r="D5114" s="5"/>
      <c r="E5114" s="5"/>
      <c r="F5114" s="5"/>
      <c r="G5114" s="5"/>
      <c r="H5114" s="5"/>
      <c r="I5114" s="5" t="s">
        <v>434</v>
      </c>
    </row>
    <row r="5115" spans="1:9" x14ac:dyDescent="0.35">
      <c r="A5115" t="s">
        <v>228</v>
      </c>
      <c r="B5115" t="s">
        <v>228</v>
      </c>
      <c r="C5115" s="2">
        <v>0.96850000000000003</v>
      </c>
      <c r="D5115" s="2">
        <v>1.0500000000000001E-2</v>
      </c>
      <c r="E5115" s="2">
        <v>8.2000000000000007E-3</v>
      </c>
      <c r="F5115" s="2">
        <v>6.0000000000000001E-3</v>
      </c>
      <c r="G5115" s="2">
        <v>5.5999999999999999E-3</v>
      </c>
      <c r="H5115" s="2">
        <v>1.1999999999999999E-3</v>
      </c>
      <c r="I5115">
        <v>2813</v>
      </c>
    </row>
    <row r="5117" spans="1:9" x14ac:dyDescent="0.35">
      <c r="A5117" s="1" t="s">
        <v>1487</v>
      </c>
    </row>
    <row r="5118" spans="1:9" x14ac:dyDescent="0.35">
      <c r="A5118" t="s">
        <v>219</v>
      </c>
      <c r="B5118" t="s">
        <v>301</v>
      </c>
      <c r="C5118" t="s">
        <v>1418</v>
      </c>
      <c r="D5118" t="s">
        <v>1419</v>
      </c>
      <c r="E5118" t="s">
        <v>1421</v>
      </c>
      <c r="F5118" t="s">
        <v>277</v>
      </c>
      <c r="G5118" t="s">
        <v>1420</v>
      </c>
      <c r="H5118" t="s">
        <v>282</v>
      </c>
      <c r="I5118" t="s">
        <v>226</v>
      </c>
    </row>
    <row r="5119" spans="1:9" x14ac:dyDescent="0.35">
      <c r="A5119" t="s">
        <v>227</v>
      </c>
      <c r="B5119" t="s">
        <v>248</v>
      </c>
      <c r="C5119" s="2">
        <v>0.98399999999999999</v>
      </c>
      <c r="D5119" s="2">
        <v>1.2999999999999999E-3</v>
      </c>
      <c r="E5119" s="2">
        <v>5.0000000000000001E-4</v>
      </c>
      <c r="F5119" s="2">
        <v>1.3299999999999999E-2</v>
      </c>
      <c r="G5119" s="2">
        <v>8.9999999999999998E-4</v>
      </c>
      <c r="I5119">
        <v>796</v>
      </c>
    </row>
    <row r="5120" spans="1:9" x14ac:dyDescent="0.35">
      <c r="A5120" t="s">
        <v>227</v>
      </c>
      <c r="B5120" t="s">
        <v>249</v>
      </c>
      <c r="C5120" s="2">
        <v>0.97670000000000001</v>
      </c>
      <c r="D5120" s="2">
        <v>1.9699999999999999E-2</v>
      </c>
      <c r="E5120" s="2">
        <v>4.0000000000000002E-4</v>
      </c>
      <c r="F5120" s="2">
        <v>2.8E-3</v>
      </c>
      <c r="G5120" s="2">
        <v>4.0000000000000002E-4</v>
      </c>
      <c r="I5120">
        <v>541</v>
      </c>
    </row>
    <row r="5121" spans="1:9" x14ac:dyDescent="0.35">
      <c r="A5121" t="s">
        <v>227</v>
      </c>
      <c r="B5121" t="s">
        <v>247</v>
      </c>
      <c r="C5121" s="2">
        <v>0.95760000000000001</v>
      </c>
      <c r="D5121" s="2">
        <v>1.1900000000000001E-2</v>
      </c>
      <c r="E5121" s="2">
        <v>1.4999999999999999E-2</v>
      </c>
      <c r="F5121" s="2">
        <v>3.3999999999999998E-3</v>
      </c>
      <c r="G5121" s="2">
        <v>9.9000000000000008E-3</v>
      </c>
      <c r="H5121" s="2">
        <v>2.2000000000000001E-3</v>
      </c>
      <c r="I5121">
        <v>1476</v>
      </c>
    </row>
    <row r="5122" spans="1:9" x14ac:dyDescent="0.35">
      <c r="A5122" t="s">
        <v>228</v>
      </c>
      <c r="B5122" t="s">
        <v>228</v>
      </c>
      <c r="C5122" s="2">
        <v>0.96850000000000003</v>
      </c>
      <c r="D5122" s="2">
        <v>1.0500000000000001E-2</v>
      </c>
      <c r="E5122" s="2">
        <v>8.2000000000000007E-3</v>
      </c>
      <c r="F5122" s="2">
        <v>6.0000000000000001E-3</v>
      </c>
      <c r="G5122" s="2">
        <v>5.5999999999999999E-3</v>
      </c>
      <c r="H5122" s="2">
        <v>1.1999999999999999E-3</v>
      </c>
      <c r="I5122">
        <v>2813</v>
      </c>
    </row>
    <row r="5124" spans="1:9" x14ac:dyDescent="0.35">
      <c r="A5124" s="1" t="s">
        <v>1488</v>
      </c>
    </row>
    <row r="5125" spans="1:9" x14ac:dyDescent="0.35">
      <c r="A5125" t="s">
        <v>219</v>
      </c>
      <c r="B5125" t="s">
        <v>301</v>
      </c>
      <c r="C5125" t="s">
        <v>1418</v>
      </c>
      <c r="D5125" t="s">
        <v>1419</v>
      </c>
      <c r="E5125" t="s">
        <v>1421</v>
      </c>
      <c r="F5125" t="s">
        <v>277</v>
      </c>
      <c r="G5125" t="s">
        <v>1420</v>
      </c>
      <c r="H5125" t="s">
        <v>282</v>
      </c>
      <c r="I5125" t="s">
        <v>226</v>
      </c>
    </row>
    <row r="5126" spans="1:9" x14ac:dyDescent="0.35">
      <c r="A5126" t="s">
        <v>227</v>
      </c>
      <c r="B5126" t="s">
        <v>245</v>
      </c>
      <c r="C5126" s="2">
        <v>0.95189999999999997</v>
      </c>
      <c r="D5126" s="2">
        <v>2.0500000000000001E-2</v>
      </c>
      <c r="E5126" s="2">
        <v>1.4999999999999999E-2</v>
      </c>
      <c r="F5126" s="2">
        <v>4.1000000000000003E-3</v>
      </c>
      <c r="G5126" s="2">
        <v>8.5000000000000006E-3</v>
      </c>
      <c r="I5126">
        <v>783</v>
      </c>
    </row>
    <row r="5127" spans="1:9" x14ac:dyDescent="0.35">
      <c r="A5127" t="s">
        <v>227</v>
      </c>
      <c r="B5127" t="s">
        <v>244</v>
      </c>
      <c r="C5127" s="2">
        <v>0.97509999999999997</v>
      </c>
      <c r="D5127" s="2">
        <v>6.6E-3</v>
      </c>
      <c r="E5127" s="2">
        <v>5.4999999999999997E-3</v>
      </c>
      <c r="F5127" s="2">
        <v>6.7999999999999996E-3</v>
      </c>
      <c r="G5127" s="2">
        <v>4.4000000000000003E-3</v>
      </c>
      <c r="H5127" s="2">
        <v>1.6000000000000001E-3</v>
      </c>
      <c r="I5127">
        <v>2030</v>
      </c>
    </row>
    <row r="5128" spans="1:9" x14ac:dyDescent="0.35">
      <c r="A5128" t="s">
        <v>228</v>
      </c>
      <c r="B5128" t="s">
        <v>228</v>
      </c>
      <c r="C5128" s="2">
        <v>0.96850000000000003</v>
      </c>
      <c r="D5128" s="2">
        <v>1.0500000000000001E-2</v>
      </c>
      <c r="E5128" s="2">
        <v>8.2000000000000007E-3</v>
      </c>
      <c r="F5128" s="2">
        <v>6.0000000000000001E-3</v>
      </c>
      <c r="G5128" s="2">
        <v>5.5999999999999999E-3</v>
      </c>
      <c r="H5128" s="2">
        <v>1.1999999999999999E-3</v>
      </c>
      <c r="I5128">
        <v>2813</v>
      </c>
    </row>
    <row r="5130" spans="1:9" x14ac:dyDescent="0.35">
      <c r="A5130" s="1" t="s">
        <v>1489</v>
      </c>
    </row>
    <row r="5131" spans="1:9" x14ac:dyDescent="0.35">
      <c r="A5131" t="s">
        <v>219</v>
      </c>
      <c r="B5131" t="s">
        <v>301</v>
      </c>
      <c r="C5131" t="s">
        <v>1418</v>
      </c>
      <c r="D5131" t="s">
        <v>1419</v>
      </c>
      <c r="E5131" t="s">
        <v>1421</v>
      </c>
      <c r="F5131" t="s">
        <v>277</v>
      </c>
      <c r="G5131" t="s">
        <v>1420</v>
      </c>
      <c r="H5131" t="s">
        <v>282</v>
      </c>
      <c r="I5131" t="s">
        <v>226</v>
      </c>
    </row>
    <row r="5132" spans="1:9" x14ac:dyDescent="0.35">
      <c r="A5132" t="s">
        <v>227</v>
      </c>
      <c r="B5132" t="s">
        <v>259</v>
      </c>
      <c r="C5132" s="2">
        <v>0.99370000000000003</v>
      </c>
      <c r="F5132" s="2">
        <v>6.3E-3</v>
      </c>
      <c r="I5132">
        <v>69</v>
      </c>
    </row>
    <row r="5133" spans="1:9" x14ac:dyDescent="0.35">
      <c r="A5133" t="s">
        <v>227</v>
      </c>
      <c r="B5133" t="s">
        <v>257</v>
      </c>
      <c r="C5133" s="2">
        <v>0.95989999999999998</v>
      </c>
      <c r="D5133" s="2">
        <v>1.4800000000000001E-2</v>
      </c>
      <c r="E5133" s="2">
        <v>1.06E-2</v>
      </c>
      <c r="F5133" s="2">
        <v>1.6999999999999999E-3</v>
      </c>
      <c r="G5133" s="2">
        <v>1.17E-2</v>
      </c>
      <c r="H5133" s="2">
        <v>1.2999999999999999E-3</v>
      </c>
      <c r="I5133">
        <v>405</v>
      </c>
    </row>
    <row r="5134" spans="1:9" x14ac:dyDescent="0.35">
      <c r="A5134" t="s">
        <v>227</v>
      </c>
      <c r="B5134" t="s">
        <v>256</v>
      </c>
      <c r="C5134" s="2">
        <v>0.96989999999999998</v>
      </c>
      <c r="D5134" s="2">
        <v>1.12E-2</v>
      </c>
      <c r="E5134" s="2">
        <v>7.7999999999999996E-3</v>
      </c>
      <c r="F5134" s="2">
        <v>7.4000000000000003E-3</v>
      </c>
      <c r="G5134" s="2">
        <v>3.7000000000000002E-3</v>
      </c>
      <c r="I5134">
        <v>1803</v>
      </c>
    </row>
    <row r="5135" spans="1:9" x14ac:dyDescent="0.35">
      <c r="A5135" s="3" t="s">
        <v>227</v>
      </c>
      <c r="B5135" s="3" t="s">
        <v>232</v>
      </c>
      <c r="C5135" s="4">
        <v>1</v>
      </c>
      <c r="D5135" s="5"/>
      <c r="E5135" s="5"/>
      <c r="F5135" s="5"/>
      <c r="G5135" s="5"/>
      <c r="H5135" s="5"/>
      <c r="I5135" s="5" t="s">
        <v>307</v>
      </c>
    </row>
    <row r="5136" spans="1:9" x14ac:dyDescent="0.35">
      <c r="A5136" t="s">
        <v>227</v>
      </c>
      <c r="B5136" t="s">
        <v>258</v>
      </c>
      <c r="C5136" s="2">
        <v>0.96899999999999997</v>
      </c>
      <c r="D5136" s="2">
        <v>4.0000000000000001E-3</v>
      </c>
      <c r="E5136" s="2">
        <v>8.0999999999999996E-3</v>
      </c>
      <c r="F5136" s="2">
        <v>4.8999999999999998E-3</v>
      </c>
      <c r="G5136" s="2">
        <v>7.4999999999999997E-3</v>
      </c>
      <c r="H5136" s="2">
        <v>6.4000000000000003E-3</v>
      </c>
      <c r="I5136">
        <v>525</v>
      </c>
    </row>
    <row r="5137" spans="1:9" x14ac:dyDescent="0.35">
      <c r="A5137" t="s">
        <v>228</v>
      </c>
      <c r="B5137" t="s">
        <v>228</v>
      </c>
      <c r="C5137" s="2">
        <v>0.96850000000000003</v>
      </c>
      <c r="D5137" s="2">
        <v>1.0500000000000001E-2</v>
      </c>
      <c r="E5137" s="2">
        <v>8.2000000000000007E-3</v>
      </c>
      <c r="F5137" s="2">
        <v>6.0000000000000001E-3</v>
      </c>
      <c r="G5137" s="2">
        <v>5.5999999999999999E-3</v>
      </c>
      <c r="H5137" s="2">
        <v>1.1999999999999999E-3</v>
      </c>
      <c r="I5137">
        <v>2813</v>
      </c>
    </row>
    <row r="5139" spans="1:9" x14ac:dyDescent="0.35">
      <c r="A5139" s="1" t="s">
        <v>1490</v>
      </c>
    </row>
    <row r="5140" spans="1:9" x14ac:dyDescent="0.35">
      <c r="A5140" t="s">
        <v>219</v>
      </c>
      <c r="B5140" t="s">
        <v>301</v>
      </c>
      <c r="C5140" t="s">
        <v>1418</v>
      </c>
      <c r="D5140" t="s">
        <v>1419</v>
      </c>
      <c r="E5140" t="s">
        <v>1421</v>
      </c>
      <c r="F5140" t="s">
        <v>277</v>
      </c>
      <c r="G5140" t="s">
        <v>1420</v>
      </c>
      <c r="H5140" t="s">
        <v>282</v>
      </c>
      <c r="I5140" t="s">
        <v>226</v>
      </c>
    </row>
    <row r="5141" spans="1:9" x14ac:dyDescent="0.35">
      <c r="A5141" t="s">
        <v>227</v>
      </c>
      <c r="B5141" t="s">
        <v>343</v>
      </c>
      <c r="C5141" s="2">
        <v>0.95989999999999998</v>
      </c>
      <c r="D5141" s="2">
        <v>1.4800000000000001E-2</v>
      </c>
      <c r="E5141" s="2">
        <v>1.06E-2</v>
      </c>
      <c r="F5141" s="2">
        <v>1.6999999999999999E-3</v>
      </c>
      <c r="G5141" s="2">
        <v>1.17E-2</v>
      </c>
      <c r="H5141" s="2">
        <v>1.2999999999999999E-3</v>
      </c>
      <c r="I5141">
        <v>405</v>
      </c>
    </row>
    <row r="5142" spans="1:9" x14ac:dyDescent="0.35">
      <c r="A5142" t="s">
        <v>227</v>
      </c>
      <c r="B5142" t="s">
        <v>344</v>
      </c>
      <c r="C5142" s="2">
        <v>0.97030000000000005</v>
      </c>
      <c r="D5142" s="2">
        <v>9.5999999999999992E-3</v>
      </c>
      <c r="E5142" s="2">
        <v>7.7000000000000002E-3</v>
      </c>
      <c r="F5142" s="2">
        <v>6.8999999999999999E-3</v>
      </c>
      <c r="G5142" s="2">
        <v>4.3E-3</v>
      </c>
      <c r="H5142" s="2">
        <v>1.1000000000000001E-3</v>
      </c>
      <c r="I5142">
        <v>2408</v>
      </c>
    </row>
    <row r="5143" spans="1:9" x14ac:dyDescent="0.35">
      <c r="A5143" t="s">
        <v>228</v>
      </c>
      <c r="B5143" t="s">
        <v>228</v>
      </c>
      <c r="C5143" s="2">
        <v>0.96850000000000003</v>
      </c>
      <c r="D5143" s="2">
        <v>1.0500000000000001E-2</v>
      </c>
      <c r="E5143" s="2">
        <v>8.2000000000000007E-3</v>
      </c>
      <c r="F5143" s="2">
        <v>6.0000000000000001E-3</v>
      </c>
      <c r="G5143" s="2">
        <v>5.5999999999999999E-3</v>
      </c>
      <c r="H5143" s="2">
        <v>1.1999999999999999E-3</v>
      </c>
      <c r="I5143">
        <v>2813</v>
      </c>
    </row>
    <row r="5145" spans="1:9" x14ac:dyDescent="0.35">
      <c r="A5145" s="1" t="s">
        <v>1491</v>
      </c>
    </row>
    <row r="5146" spans="1:9" x14ac:dyDescent="0.35">
      <c r="A5146" t="s">
        <v>219</v>
      </c>
      <c r="B5146" t="s">
        <v>301</v>
      </c>
      <c r="C5146" t="s">
        <v>1418</v>
      </c>
      <c r="D5146" t="s">
        <v>1419</v>
      </c>
      <c r="E5146" t="s">
        <v>1421</v>
      </c>
      <c r="F5146" t="s">
        <v>277</v>
      </c>
      <c r="G5146" t="s">
        <v>1420</v>
      </c>
      <c r="H5146" t="s">
        <v>282</v>
      </c>
      <c r="I5146" t="s">
        <v>226</v>
      </c>
    </row>
    <row r="5147" spans="1:9" x14ac:dyDescent="0.35">
      <c r="A5147" t="s">
        <v>227</v>
      </c>
      <c r="B5147" t="s">
        <v>346</v>
      </c>
      <c r="C5147" s="2">
        <v>0.96989999999999998</v>
      </c>
      <c r="D5147" s="2">
        <v>1.0200000000000001E-2</v>
      </c>
      <c r="E5147" s="2">
        <v>8.9999999999999993E-3</v>
      </c>
      <c r="F5147" s="2">
        <v>4.8999999999999998E-3</v>
      </c>
      <c r="G5147" s="2">
        <v>5.0000000000000001E-3</v>
      </c>
      <c r="H5147" s="2">
        <v>1E-3</v>
      </c>
      <c r="I5147">
        <v>1463</v>
      </c>
    </row>
    <row r="5148" spans="1:9" x14ac:dyDescent="0.35">
      <c r="A5148" t="s">
        <v>227</v>
      </c>
      <c r="B5148" t="s">
        <v>347</v>
      </c>
      <c r="C5148" s="2">
        <v>0.94820000000000004</v>
      </c>
      <c r="D5148" s="2">
        <v>1.6400000000000001E-2</v>
      </c>
      <c r="E5148" s="2">
        <v>7.6E-3</v>
      </c>
      <c r="F5148" s="2">
        <v>1.67E-2</v>
      </c>
      <c r="G5148" s="2">
        <v>8.6E-3</v>
      </c>
      <c r="H5148" s="2">
        <v>2.5999999999999999E-3</v>
      </c>
      <c r="I5148">
        <v>585</v>
      </c>
    </row>
    <row r="5149" spans="1:9" x14ac:dyDescent="0.35">
      <c r="A5149" t="s">
        <v>227</v>
      </c>
      <c r="B5149" t="s">
        <v>348</v>
      </c>
      <c r="C5149" s="2">
        <v>0.96430000000000005</v>
      </c>
      <c r="D5149" s="2">
        <v>1.12E-2</v>
      </c>
      <c r="E5149" s="2">
        <v>1E-3</v>
      </c>
      <c r="F5149" s="2">
        <v>1.21E-2</v>
      </c>
      <c r="G5149" s="2">
        <v>9.1000000000000004E-3</v>
      </c>
      <c r="H5149" s="2">
        <v>2.3999999999999998E-3</v>
      </c>
      <c r="I5149">
        <v>765</v>
      </c>
    </row>
    <row r="5150" spans="1:9" x14ac:dyDescent="0.35">
      <c r="A5150" t="s">
        <v>228</v>
      </c>
      <c r="B5150" t="s">
        <v>228</v>
      </c>
      <c r="C5150" s="2">
        <v>0.96850000000000003</v>
      </c>
      <c r="D5150" s="2">
        <v>1.0500000000000001E-2</v>
      </c>
      <c r="E5150" s="2">
        <v>8.2000000000000007E-3</v>
      </c>
      <c r="F5150" s="2">
        <v>6.0000000000000001E-3</v>
      </c>
      <c r="G5150" s="2">
        <v>5.5999999999999999E-3</v>
      </c>
      <c r="H5150" s="2">
        <v>1.1999999999999999E-3</v>
      </c>
      <c r="I5150">
        <v>2813</v>
      </c>
    </row>
    <row r="5152" spans="1:9" x14ac:dyDescent="0.35">
      <c r="A5152" s="1" t="s">
        <v>1492</v>
      </c>
    </row>
    <row r="5153" spans="1:9" x14ac:dyDescent="0.35">
      <c r="A5153" t="s">
        <v>219</v>
      </c>
      <c r="B5153" t="s">
        <v>301</v>
      </c>
      <c r="C5153" t="s">
        <v>1418</v>
      </c>
      <c r="D5153" t="s">
        <v>1419</v>
      </c>
      <c r="E5153" t="s">
        <v>1421</v>
      </c>
      <c r="F5153" t="s">
        <v>277</v>
      </c>
      <c r="G5153" t="s">
        <v>1420</v>
      </c>
      <c r="H5153" t="s">
        <v>282</v>
      </c>
      <c r="I5153" t="s">
        <v>226</v>
      </c>
    </row>
    <row r="5154" spans="1:9" x14ac:dyDescent="0.35">
      <c r="A5154" t="s">
        <v>227</v>
      </c>
      <c r="B5154" t="s">
        <v>251</v>
      </c>
      <c r="C5154" s="2">
        <v>0.97509999999999997</v>
      </c>
      <c r="D5154" s="2">
        <v>6.6E-3</v>
      </c>
      <c r="E5154" s="2">
        <v>5.4999999999999997E-3</v>
      </c>
      <c r="F5154" s="2">
        <v>6.7999999999999996E-3</v>
      </c>
      <c r="G5154" s="2">
        <v>4.4000000000000003E-3</v>
      </c>
      <c r="H5154" s="2">
        <v>1.6000000000000001E-3</v>
      </c>
      <c r="I5154">
        <v>2030</v>
      </c>
    </row>
    <row r="5155" spans="1:9" x14ac:dyDescent="0.35">
      <c r="A5155" t="s">
        <v>227</v>
      </c>
      <c r="B5155" t="s">
        <v>252</v>
      </c>
      <c r="C5155" s="2">
        <v>0.94920000000000004</v>
      </c>
      <c r="D5155" s="2">
        <v>2.06E-2</v>
      </c>
      <c r="E5155" s="2">
        <v>1.77E-2</v>
      </c>
      <c r="F5155" s="2">
        <v>4.1999999999999997E-3</v>
      </c>
      <c r="G5155" s="2">
        <v>8.2000000000000007E-3</v>
      </c>
      <c r="I5155">
        <v>621</v>
      </c>
    </row>
    <row r="5156" spans="1:9" x14ac:dyDescent="0.35">
      <c r="A5156" t="s">
        <v>227</v>
      </c>
      <c r="B5156" t="s">
        <v>253</v>
      </c>
      <c r="C5156" s="2">
        <v>0.96189999999999998</v>
      </c>
      <c r="D5156" s="2">
        <v>2.1000000000000001E-2</v>
      </c>
      <c r="E5156" s="2">
        <v>3.5999999999999999E-3</v>
      </c>
      <c r="F5156" s="2">
        <v>3.5999999999999999E-3</v>
      </c>
      <c r="G5156" s="2">
        <v>9.7999999999999997E-3</v>
      </c>
      <c r="I5156">
        <v>153</v>
      </c>
    </row>
    <row r="5157" spans="1:9" x14ac:dyDescent="0.35">
      <c r="A5157" s="3" t="s">
        <v>227</v>
      </c>
      <c r="B5157" s="3" t="s">
        <v>254</v>
      </c>
      <c r="C5157" s="4">
        <v>1</v>
      </c>
      <c r="D5157" s="5"/>
      <c r="E5157" s="5"/>
      <c r="F5157" s="5"/>
      <c r="G5157" s="5"/>
      <c r="H5157" s="5"/>
      <c r="I5157" s="5" t="s">
        <v>515</v>
      </c>
    </row>
    <row r="5158" spans="1:9" x14ac:dyDescent="0.35">
      <c r="A5158" t="s">
        <v>228</v>
      </c>
      <c r="B5158" t="s">
        <v>228</v>
      </c>
      <c r="C5158" s="2">
        <v>0.96850000000000003</v>
      </c>
      <c r="D5158" s="2">
        <v>1.0500000000000001E-2</v>
      </c>
      <c r="E5158" s="2">
        <v>8.2000000000000007E-3</v>
      </c>
      <c r="F5158" s="2">
        <v>6.0000000000000001E-3</v>
      </c>
      <c r="G5158" s="2">
        <v>5.5999999999999999E-3</v>
      </c>
      <c r="H5158" s="2">
        <v>1.1999999999999999E-3</v>
      </c>
      <c r="I5158">
        <v>2813</v>
      </c>
    </row>
    <row r="5160" spans="1:9" x14ac:dyDescent="0.35">
      <c r="A5160" s="1" t="s">
        <v>1493</v>
      </c>
    </row>
    <row r="5161" spans="1:9" x14ac:dyDescent="0.35">
      <c r="A5161" t="s">
        <v>219</v>
      </c>
      <c r="B5161" t="s">
        <v>301</v>
      </c>
      <c r="C5161" t="s">
        <v>1418</v>
      </c>
      <c r="D5161" t="s">
        <v>1419</v>
      </c>
      <c r="E5161" t="s">
        <v>1421</v>
      </c>
      <c r="F5161" t="s">
        <v>277</v>
      </c>
      <c r="G5161" t="s">
        <v>1420</v>
      </c>
      <c r="H5161" t="s">
        <v>282</v>
      </c>
      <c r="I5161" t="s">
        <v>226</v>
      </c>
    </row>
    <row r="5162" spans="1:9" x14ac:dyDescent="0.35">
      <c r="A5162" t="s">
        <v>227</v>
      </c>
      <c r="B5162" t="s">
        <v>1335</v>
      </c>
      <c r="C5162" s="2">
        <v>0.96579999999999999</v>
      </c>
      <c r="D5162" s="2">
        <v>1.3100000000000001E-2</v>
      </c>
      <c r="E5162" s="2">
        <v>1.35E-2</v>
      </c>
      <c r="F5162" s="2">
        <v>5.1000000000000004E-3</v>
      </c>
      <c r="G5162" s="2">
        <v>2.5000000000000001E-3</v>
      </c>
      <c r="I5162">
        <v>848</v>
      </c>
    </row>
    <row r="5163" spans="1:9" x14ac:dyDescent="0.35">
      <c r="A5163" s="3" t="s">
        <v>227</v>
      </c>
      <c r="B5163" s="3" t="s">
        <v>1336</v>
      </c>
      <c r="C5163" s="4">
        <v>1</v>
      </c>
      <c r="D5163" s="5"/>
      <c r="E5163" s="5"/>
      <c r="F5163" s="5"/>
      <c r="G5163" s="5"/>
      <c r="H5163" s="5"/>
      <c r="I5163" s="5" t="s">
        <v>434</v>
      </c>
    </row>
    <row r="5164" spans="1:9" x14ac:dyDescent="0.35">
      <c r="A5164" t="s">
        <v>227</v>
      </c>
      <c r="B5164" t="s">
        <v>1337</v>
      </c>
      <c r="C5164" s="2">
        <v>0.9698</v>
      </c>
      <c r="D5164" s="2">
        <v>9.1999999999999998E-3</v>
      </c>
      <c r="E5164" s="2">
        <v>5.4999999999999997E-3</v>
      </c>
      <c r="F5164" s="2">
        <v>6.4999999999999997E-3</v>
      </c>
      <c r="G5164" s="2">
        <v>7.1000000000000004E-3</v>
      </c>
      <c r="H5164" s="2">
        <v>1.8E-3</v>
      </c>
      <c r="I5164">
        <v>1963</v>
      </c>
    </row>
    <row r="5165" spans="1:9" x14ac:dyDescent="0.35">
      <c r="A5165" t="s">
        <v>228</v>
      </c>
      <c r="B5165" t="s">
        <v>228</v>
      </c>
      <c r="C5165" s="2">
        <v>0.96850000000000003</v>
      </c>
      <c r="D5165" s="2">
        <v>1.0500000000000001E-2</v>
      </c>
      <c r="E5165" s="2">
        <v>8.2000000000000007E-3</v>
      </c>
      <c r="F5165" s="2">
        <v>6.0000000000000001E-3</v>
      </c>
      <c r="G5165" s="2">
        <v>5.5999999999999999E-3</v>
      </c>
      <c r="H5165" s="2">
        <v>1.1999999999999999E-3</v>
      </c>
      <c r="I5165">
        <v>2813</v>
      </c>
    </row>
    <row r="5167" spans="1:9" x14ac:dyDescent="0.35">
      <c r="A5167" s="1" t="s">
        <v>1494</v>
      </c>
    </row>
    <row r="5168" spans="1:9" x14ac:dyDescent="0.35">
      <c r="A5168" t="s">
        <v>219</v>
      </c>
      <c r="B5168" t="s">
        <v>301</v>
      </c>
      <c r="C5168" t="s">
        <v>1418</v>
      </c>
      <c r="D5168" t="s">
        <v>1419</v>
      </c>
      <c r="E5168" t="s">
        <v>1421</v>
      </c>
      <c r="F5168" t="s">
        <v>277</v>
      </c>
      <c r="G5168" t="s">
        <v>1420</v>
      </c>
      <c r="H5168" t="s">
        <v>282</v>
      </c>
      <c r="I5168" t="s">
        <v>226</v>
      </c>
    </row>
    <row r="5169" spans="1:10" x14ac:dyDescent="0.35">
      <c r="A5169" t="s">
        <v>227</v>
      </c>
      <c r="B5169" t="s">
        <v>1339</v>
      </c>
      <c r="C5169" s="2">
        <v>0.96160000000000001</v>
      </c>
      <c r="D5169" s="2">
        <v>0.01</v>
      </c>
      <c r="E5169" s="2">
        <v>2.8400000000000002E-2</v>
      </c>
      <c r="I5169">
        <v>51</v>
      </c>
    </row>
    <row r="5170" spans="1:10" x14ac:dyDescent="0.35">
      <c r="A5170" t="s">
        <v>227</v>
      </c>
      <c r="B5170" t="s">
        <v>1340</v>
      </c>
      <c r="C5170" s="2">
        <v>0.9526</v>
      </c>
      <c r="D5170" s="2">
        <v>6.8999999999999999E-3</v>
      </c>
      <c r="E5170" s="2">
        <v>1.95E-2</v>
      </c>
      <c r="F5170" s="2">
        <v>4.1000000000000003E-3</v>
      </c>
      <c r="G5170" s="2">
        <v>1.34E-2</v>
      </c>
      <c r="H5170" s="2">
        <v>3.5999999999999999E-3</v>
      </c>
      <c r="I5170">
        <v>729</v>
      </c>
    </row>
    <row r="5171" spans="1:10" x14ac:dyDescent="0.35">
      <c r="A5171" t="s">
        <v>227</v>
      </c>
      <c r="B5171" t="s">
        <v>1341</v>
      </c>
      <c r="C5171" s="2">
        <v>0.97</v>
      </c>
      <c r="D5171" s="2">
        <v>1.6400000000000001E-2</v>
      </c>
      <c r="E5171" s="2">
        <v>5.7999999999999996E-3</v>
      </c>
      <c r="F5171" s="2">
        <v>3.0000000000000001E-3</v>
      </c>
      <c r="G5171" s="2">
        <v>4.1999999999999997E-3</v>
      </c>
      <c r="H5171" s="2">
        <v>5.9999999999999995E-4</v>
      </c>
      <c r="I5171">
        <v>1344</v>
      </c>
    </row>
    <row r="5172" spans="1:10" x14ac:dyDescent="0.35">
      <c r="A5172" t="s">
        <v>227</v>
      </c>
      <c r="B5172" t="s">
        <v>1342</v>
      </c>
      <c r="C5172" s="2">
        <v>0.98229999999999995</v>
      </c>
      <c r="D5172" s="2">
        <v>1.6000000000000001E-3</v>
      </c>
      <c r="F5172" s="2">
        <v>1.52E-2</v>
      </c>
      <c r="G5172" s="2">
        <v>1E-3</v>
      </c>
      <c r="I5172">
        <v>689</v>
      </c>
    </row>
    <row r="5173" spans="1:10" x14ac:dyDescent="0.35">
      <c r="A5173" t="s">
        <v>228</v>
      </c>
      <c r="B5173" t="s">
        <v>228</v>
      </c>
      <c r="C5173" s="2">
        <v>0.96850000000000003</v>
      </c>
      <c r="D5173" s="2">
        <v>1.0500000000000001E-2</v>
      </c>
      <c r="E5173" s="2">
        <v>8.2000000000000007E-3</v>
      </c>
      <c r="F5173" s="2">
        <v>6.0000000000000001E-3</v>
      </c>
      <c r="G5173" s="2">
        <v>5.5999999999999999E-3</v>
      </c>
      <c r="H5173" s="2">
        <v>1.1999999999999999E-3</v>
      </c>
      <c r="I5173">
        <v>2813</v>
      </c>
    </row>
    <row r="5175" spans="1:10" x14ac:dyDescent="0.35">
      <c r="A5175" s="1" t="s">
        <v>1495</v>
      </c>
    </row>
    <row r="5176" spans="1:10" x14ac:dyDescent="0.35">
      <c r="A5176" t="s">
        <v>219</v>
      </c>
      <c r="B5176" t="s">
        <v>301</v>
      </c>
      <c r="C5176" t="s">
        <v>325</v>
      </c>
      <c r="D5176" t="s">
        <v>1418</v>
      </c>
      <c r="E5176" t="s">
        <v>1419</v>
      </c>
      <c r="F5176" t="s">
        <v>1421</v>
      </c>
      <c r="G5176" t="s">
        <v>277</v>
      </c>
      <c r="H5176" t="s">
        <v>1420</v>
      </c>
      <c r="I5176" t="s">
        <v>282</v>
      </c>
      <c r="J5176" t="s">
        <v>226</v>
      </c>
    </row>
    <row r="5177" spans="1:10" x14ac:dyDescent="0.35">
      <c r="A5177" s="3" t="s">
        <v>227</v>
      </c>
      <c r="B5177" s="3" t="s">
        <v>1335</v>
      </c>
      <c r="C5177" s="3" t="s">
        <v>1339</v>
      </c>
      <c r="D5177" s="4">
        <v>0.89510000000000001</v>
      </c>
      <c r="E5177" s="4">
        <v>2.7300000000000001E-2</v>
      </c>
      <c r="F5177" s="4">
        <v>7.7600000000000002E-2</v>
      </c>
      <c r="G5177" s="5"/>
      <c r="H5177" s="5"/>
      <c r="I5177" s="5"/>
      <c r="J5177" s="5" t="s">
        <v>427</v>
      </c>
    </row>
    <row r="5178" spans="1:10" x14ac:dyDescent="0.35">
      <c r="A5178" t="s">
        <v>227</v>
      </c>
      <c r="B5178" t="s">
        <v>1335</v>
      </c>
      <c r="C5178" t="s">
        <v>1340</v>
      </c>
      <c r="D5178" s="2">
        <v>0.97170000000000001</v>
      </c>
      <c r="E5178" s="2">
        <v>3.0999999999999999E-3</v>
      </c>
      <c r="F5178" s="2">
        <v>2.3E-2</v>
      </c>
      <c r="G5178" s="2">
        <v>1.1999999999999999E-3</v>
      </c>
      <c r="H5178" s="2">
        <v>1E-3</v>
      </c>
      <c r="J5178">
        <v>252</v>
      </c>
    </row>
    <row r="5179" spans="1:10" x14ac:dyDescent="0.35">
      <c r="A5179" t="s">
        <v>227</v>
      </c>
      <c r="B5179" t="s">
        <v>1335</v>
      </c>
      <c r="C5179" t="s">
        <v>1341</v>
      </c>
      <c r="D5179" s="2">
        <v>0.9607</v>
      </c>
      <c r="E5179" s="2">
        <v>2.23E-2</v>
      </c>
      <c r="F5179" s="2">
        <v>1.0800000000000001E-2</v>
      </c>
      <c r="G5179" s="2">
        <v>2.3999999999999998E-3</v>
      </c>
      <c r="H5179" s="2">
        <v>3.8E-3</v>
      </c>
      <c r="J5179">
        <v>419</v>
      </c>
    </row>
    <row r="5180" spans="1:10" x14ac:dyDescent="0.35">
      <c r="A5180" t="s">
        <v>227</v>
      </c>
      <c r="B5180" t="s">
        <v>1335</v>
      </c>
      <c r="C5180" t="s">
        <v>1342</v>
      </c>
      <c r="D5180" s="2">
        <v>0.98060000000000003</v>
      </c>
      <c r="G5180" s="2">
        <v>1.83E-2</v>
      </c>
      <c r="H5180" s="2">
        <v>1.1000000000000001E-3</v>
      </c>
      <c r="J5180">
        <v>157</v>
      </c>
    </row>
    <row r="5181" spans="1:10" x14ac:dyDescent="0.35">
      <c r="A5181" s="3" t="s">
        <v>227</v>
      </c>
      <c r="B5181" s="3" t="s">
        <v>1336</v>
      </c>
      <c r="C5181" s="3" t="s">
        <v>1341</v>
      </c>
      <c r="D5181" s="4">
        <v>1</v>
      </c>
      <c r="E5181" s="5"/>
      <c r="F5181" s="5"/>
      <c r="G5181" s="5"/>
      <c r="H5181" s="5"/>
      <c r="I5181" s="5"/>
      <c r="J5181" s="5" t="s">
        <v>434</v>
      </c>
    </row>
    <row r="5182" spans="1:10" x14ac:dyDescent="0.35">
      <c r="A5182" t="s">
        <v>227</v>
      </c>
      <c r="B5182" t="s">
        <v>1337</v>
      </c>
      <c r="C5182" t="s">
        <v>1339</v>
      </c>
      <c r="D5182" s="2">
        <v>1</v>
      </c>
      <c r="J5182">
        <v>31</v>
      </c>
    </row>
    <row r="5183" spans="1:10" x14ac:dyDescent="0.35">
      <c r="A5183" t="s">
        <v>227</v>
      </c>
      <c r="B5183" t="s">
        <v>1337</v>
      </c>
      <c r="C5183" t="s">
        <v>1340</v>
      </c>
      <c r="D5183" s="2">
        <v>0.94169999999999998</v>
      </c>
      <c r="E5183" s="2">
        <v>8.9999999999999993E-3</v>
      </c>
      <c r="F5183" s="2">
        <v>1.7399999999999999E-2</v>
      </c>
      <c r="G5183" s="2">
        <v>5.7999999999999996E-3</v>
      </c>
      <c r="H5183" s="2">
        <v>2.0400000000000001E-2</v>
      </c>
      <c r="I5183" s="2">
        <v>5.5999999999999999E-3</v>
      </c>
      <c r="J5183">
        <v>477</v>
      </c>
    </row>
    <row r="5184" spans="1:10" x14ac:dyDescent="0.35">
      <c r="A5184" t="s">
        <v>227</v>
      </c>
      <c r="B5184" t="s">
        <v>1337</v>
      </c>
      <c r="C5184" t="s">
        <v>1341</v>
      </c>
      <c r="D5184" s="2">
        <v>0.9748</v>
      </c>
      <c r="E5184" s="2">
        <v>1.3299999999999999E-2</v>
      </c>
      <c r="F5184" s="2">
        <v>3.0999999999999999E-3</v>
      </c>
      <c r="G5184" s="2">
        <v>3.3E-3</v>
      </c>
      <c r="H5184" s="2">
        <v>4.4999999999999997E-3</v>
      </c>
      <c r="I5184" s="2">
        <v>1E-3</v>
      </c>
      <c r="J5184">
        <v>923</v>
      </c>
    </row>
    <row r="5185" spans="1:16" x14ac:dyDescent="0.35">
      <c r="A5185" t="s">
        <v>227</v>
      </c>
      <c r="B5185" t="s">
        <v>1337</v>
      </c>
      <c r="C5185" t="s">
        <v>1342</v>
      </c>
      <c r="D5185" s="2">
        <v>0.9829</v>
      </c>
      <c r="E5185" s="2">
        <v>2.2000000000000001E-3</v>
      </c>
      <c r="G5185" s="2">
        <v>1.4E-2</v>
      </c>
      <c r="H5185" s="2">
        <v>8.9999999999999998E-4</v>
      </c>
      <c r="J5185">
        <v>532</v>
      </c>
    </row>
    <row r="5186" spans="1:16" x14ac:dyDescent="0.35">
      <c r="A5186" t="s">
        <v>228</v>
      </c>
      <c r="B5186" t="s">
        <v>228</v>
      </c>
      <c r="C5186" t="s">
        <v>228</v>
      </c>
      <c r="D5186" s="2">
        <v>0.96850000000000003</v>
      </c>
      <c r="E5186" s="2">
        <v>1.0500000000000001E-2</v>
      </c>
      <c r="F5186" s="2">
        <v>8.2000000000000007E-3</v>
      </c>
      <c r="G5186" s="2">
        <v>6.0000000000000001E-3</v>
      </c>
      <c r="H5186" s="2">
        <v>5.5999999999999999E-3</v>
      </c>
      <c r="I5186" s="2">
        <v>1.1999999999999999E-3</v>
      </c>
      <c r="J5186">
        <v>2813</v>
      </c>
    </row>
    <row r="5188" spans="1:16" x14ac:dyDescent="0.35">
      <c r="A5188" s="1" t="s">
        <v>1496</v>
      </c>
    </row>
    <row r="5189" spans="1:16" x14ac:dyDescent="0.35">
      <c r="A5189" t="s">
        <v>219</v>
      </c>
      <c r="B5189" t="s">
        <v>540</v>
      </c>
      <c r="C5189" t="s">
        <v>277</v>
      </c>
      <c r="D5189" t="s">
        <v>1397</v>
      </c>
      <c r="E5189" t="s">
        <v>1396</v>
      </c>
      <c r="F5189" t="s">
        <v>1395</v>
      </c>
      <c r="G5189" t="s">
        <v>1398</v>
      </c>
      <c r="H5189" t="s">
        <v>1497</v>
      </c>
      <c r="I5189" t="s">
        <v>1498</v>
      </c>
      <c r="J5189" t="s">
        <v>282</v>
      </c>
      <c r="K5189" t="s">
        <v>1400</v>
      </c>
      <c r="L5189" t="s">
        <v>318</v>
      </c>
      <c r="M5189" t="s">
        <v>1402</v>
      </c>
      <c r="N5189" t="s">
        <v>1401</v>
      </c>
      <c r="O5189" t="s">
        <v>226</v>
      </c>
    </row>
    <row r="5190" spans="1:16" x14ac:dyDescent="0.35">
      <c r="A5190" t="s">
        <v>227</v>
      </c>
      <c r="B5190" s="2">
        <v>0.71640000000000004</v>
      </c>
      <c r="C5190" s="2">
        <v>0.16869999999999999</v>
      </c>
      <c r="D5190" s="2">
        <v>4.9599999999999998E-2</v>
      </c>
      <c r="E5190" s="2">
        <v>3.0700000000000002E-2</v>
      </c>
      <c r="F5190" s="2">
        <v>2.1999999999999999E-2</v>
      </c>
      <c r="G5190" s="2">
        <v>1.72E-2</v>
      </c>
      <c r="H5190" s="2">
        <v>8.8999999999999999E-3</v>
      </c>
      <c r="I5190" s="2">
        <v>8.2000000000000007E-3</v>
      </c>
      <c r="J5190" s="2">
        <v>3.2000000000000002E-3</v>
      </c>
      <c r="K5190" s="2">
        <v>1.6999999999999999E-3</v>
      </c>
      <c r="L5190" s="2">
        <v>1.6999999999999999E-3</v>
      </c>
      <c r="M5190" s="2">
        <v>8.9999999999999998E-4</v>
      </c>
      <c r="N5190" s="2">
        <v>6.9999999999999999E-4</v>
      </c>
      <c r="O5190">
        <v>2741</v>
      </c>
    </row>
    <row r="5191" spans="1:16" x14ac:dyDescent="0.35">
      <c r="A5191" t="s">
        <v>228</v>
      </c>
      <c r="B5191" s="2">
        <v>0.71640000000000004</v>
      </c>
      <c r="C5191" s="2">
        <v>0.16869999999999999</v>
      </c>
      <c r="D5191" s="2">
        <v>4.9599999999999998E-2</v>
      </c>
      <c r="E5191" s="2">
        <v>3.0700000000000002E-2</v>
      </c>
      <c r="F5191" s="2">
        <v>2.1999999999999999E-2</v>
      </c>
      <c r="G5191" s="2">
        <v>1.72E-2</v>
      </c>
      <c r="H5191" s="2">
        <v>8.8999999999999999E-3</v>
      </c>
      <c r="I5191" s="2">
        <v>8.2000000000000007E-3</v>
      </c>
      <c r="J5191" s="2">
        <v>3.2000000000000002E-3</v>
      </c>
      <c r="K5191" s="2">
        <v>1.6999999999999999E-3</v>
      </c>
      <c r="L5191" s="2">
        <v>1.6999999999999999E-3</v>
      </c>
      <c r="M5191" s="2">
        <v>8.9999999999999998E-4</v>
      </c>
      <c r="N5191" s="2">
        <v>6.9999999999999999E-4</v>
      </c>
      <c r="O5191">
        <v>2741</v>
      </c>
    </row>
    <row r="5193" spans="1:16" x14ac:dyDescent="0.35">
      <c r="A5193" s="1" t="s">
        <v>1499</v>
      </c>
    </row>
    <row r="5194" spans="1:16" x14ac:dyDescent="0.35">
      <c r="A5194" t="s">
        <v>219</v>
      </c>
      <c r="B5194" t="s">
        <v>301</v>
      </c>
      <c r="C5194" t="s">
        <v>540</v>
      </c>
      <c r="D5194" t="s">
        <v>277</v>
      </c>
      <c r="E5194" t="s">
        <v>1397</v>
      </c>
      <c r="F5194" t="s">
        <v>1396</v>
      </c>
      <c r="G5194" t="s">
        <v>1395</v>
      </c>
      <c r="H5194" t="s">
        <v>1398</v>
      </c>
      <c r="I5194" t="s">
        <v>1497</v>
      </c>
      <c r="J5194" t="s">
        <v>1498</v>
      </c>
      <c r="K5194" t="s">
        <v>282</v>
      </c>
      <c r="L5194" t="s">
        <v>1400</v>
      </c>
      <c r="M5194" t="s">
        <v>318</v>
      </c>
      <c r="N5194" t="s">
        <v>1402</v>
      </c>
      <c r="O5194" t="s">
        <v>1401</v>
      </c>
      <c r="P5194" t="s">
        <v>226</v>
      </c>
    </row>
    <row r="5195" spans="1:16" x14ac:dyDescent="0.35">
      <c r="A5195" t="s">
        <v>227</v>
      </c>
      <c r="B5195" t="s">
        <v>238</v>
      </c>
      <c r="C5195" s="2">
        <v>0.72929999999999995</v>
      </c>
      <c r="D5195" s="2">
        <v>0.17799999999999999</v>
      </c>
      <c r="E5195" s="2">
        <v>4.0099999999999997E-2</v>
      </c>
      <c r="F5195" s="2">
        <v>1.6400000000000001E-2</v>
      </c>
      <c r="G5195" s="2">
        <v>1.2200000000000001E-2</v>
      </c>
      <c r="H5195" s="2">
        <v>2.0400000000000001E-2</v>
      </c>
      <c r="I5195" s="2">
        <v>3.7000000000000002E-3</v>
      </c>
      <c r="J5195" s="2">
        <v>1.6999999999999999E-3</v>
      </c>
      <c r="K5195" s="2">
        <v>8.2000000000000007E-3</v>
      </c>
      <c r="L5195" s="2">
        <v>1E-4</v>
      </c>
      <c r="N5195" s="2">
        <v>2E-3</v>
      </c>
      <c r="P5195">
        <v>974</v>
      </c>
    </row>
    <row r="5196" spans="1:16" x14ac:dyDescent="0.35">
      <c r="A5196" t="s">
        <v>227</v>
      </c>
      <c r="B5196" t="s">
        <v>237</v>
      </c>
      <c r="C5196" s="2">
        <v>0.70879999999999999</v>
      </c>
      <c r="D5196" s="2">
        <v>0.1633</v>
      </c>
      <c r="E5196" s="2">
        <v>5.5199999999999999E-2</v>
      </c>
      <c r="F5196" s="2">
        <v>3.9100000000000003E-2</v>
      </c>
      <c r="G5196" s="2">
        <v>2.7699999999999999E-2</v>
      </c>
      <c r="H5196" s="2">
        <v>1.54E-2</v>
      </c>
      <c r="I5196" s="2">
        <v>1.1900000000000001E-2</v>
      </c>
      <c r="J5196" s="2">
        <v>1.1900000000000001E-2</v>
      </c>
      <c r="K5196" s="2">
        <v>2.9999999999999997E-4</v>
      </c>
      <c r="L5196" s="2">
        <v>2.5999999999999999E-3</v>
      </c>
      <c r="M5196" s="2">
        <v>2.7000000000000001E-3</v>
      </c>
      <c r="N5196" s="2">
        <v>2.0000000000000001E-4</v>
      </c>
      <c r="O5196" s="2">
        <v>1.1999999999999999E-3</v>
      </c>
      <c r="P5196">
        <v>1767</v>
      </c>
    </row>
    <row r="5197" spans="1:16" x14ac:dyDescent="0.35">
      <c r="A5197" t="s">
        <v>228</v>
      </c>
      <c r="B5197" t="s">
        <v>228</v>
      </c>
      <c r="C5197" s="2">
        <v>0.71640000000000004</v>
      </c>
      <c r="D5197" s="2">
        <v>0.16869999999999999</v>
      </c>
      <c r="E5197" s="2">
        <v>4.9599999999999998E-2</v>
      </c>
      <c r="F5197" s="2">
        <v>3.0700000000000002E-2</v>
      </c>
      <c r="G5197" s="2">
        <v>2.1999999999999999E-2</v>
      </c>
      <c r="H5197" s="2">
        <v>1.72E-2</v>
      </c>
      <c r="I5197" s="2">
        <v>8.8999999999999999E-3</v>
      </c>
      <c r="J5197" s="2">
        <v>8.2000000000000007E-3</v>
      </c>
      <c r="K5197" s="2">
        <v>3.2000000000000002E-3</v>
      </c>
      <c r="L5197" s="2">
        <v>1.6999999999999999E-3</v>
      </c>
      <c r="M5197" s="2">
        <v>1.6999999999999999E-3</v>
      </c>
      <c r="N5197" s="2">
        <v>8.9999999999999998E-4</v>
      </c>
      <c r="O5197" s="2">
        <v>6.9999999999999999E-4</v>
      </c>
      <c r="P5197">
        <v>2741</v>
      </c>
    </row>
    <row r="5199" spans="1:16" x14ac:dyDescent="0.35">
      <c r="A5199" s="1" t="s">
        <v>1500</v>
      </c>
    </row>
    <row r="5200" spans="1:16" x14ac:dyDescent="0.35">
      <c r="A5200" t="s">
        <v>219</v>
      </c>
      <c r="B5200" t="s">
        <v>301</v>
      </c>
      <c r="C5200" t="s">
        <v>540</v>
      </c>
      <c r="D5200" t="s">
        <v>277</v>
      </c>
      <c r="E5200" t="s">
        <v>1397</v>
      </c>
      <c r="F5200" t="s">
        <v>1396</v>
      </c>
      <c r="G5200" t="s">
        <v>1395</v>
      </c>
      <c r="H5200" t="s">
        <v>1398</v>
      </c>
      <c r="I5200" t="s">
        <v>1497</v>
      </c>
      <c r="J5200" t="s">
        <v>1498</v>
      </c>
      <c r="K5200" t="s">
        <v>282</v>
      </c>
      <c r="L5200" t="s">
        <v>1400</v>
      </c>
      <c r="M5200" t="s">
        <v>318</v>
      </c>
      <c r="N5200" t="s">
        <v>1402</v>
      </c>
      <c r="O5200" t="s">
        <v>1401</v>
      </c>
      <c r="P5200" t="s">
        <v>226</v>
      </c>
    </row>
    <row r="5201" spans="1:16" x14ac:dyDescent="0.35">
      <c r="A5201" t="s">
        <v>227</v>
      </c>
      <c r="B5201" t="s">
        <v>235</v>
      </c>
      <c r="C5201" s="2">
        <v>0.79700000000000004</v>
      </c>
      <c r="D5201" s="2">
        <v>0.13930000000000001</v>
      </c>
      <c r="E5201" s="2">
        <v>2.2800000000000001E-2</v>
      </c>
      <c r="F5201" s="2">
        <v>1.3299999999999999E-2</v>
      </c>
      <c r="G5201" s="2">
        <v>1.83E-2</v>
      </c>
      <c r="H5201" s="2">
        <v>4.3E-3</v>
      </c>
      <c r="I5201" s="2">
        <v>3.5999999999999999E-3</v>
      </c>
      <c r="J5201" s="2">
        <v>5.3E-3</v>
      </c>
      <c r="K5201" s="2">
        <v>2.5000000000000001E-3</v>
      </c>
      <c r="L5201" s="2">
        <v>4.0000000000000002E-4</v>
      </c>
      <c r="M5201" s="2">
        <v>1.8E-3</v>
      </c>
      <c r="N5201" s="2">
        <v>2.3999999999999998E-3</v>
      </c>
      <c r="P5201">
        <v>980</v>
      </c>
    </row>
    <row r="5202" spans="1:16" x14ac:dyDescent="0.35">
      <c r="A5202" t="s">
        <v>227</v>
      </c>
      <c r="B5202" t="s">
        <v>234</v>
      </c>
      <c r="C5202" s="2">
        <v>0.68169999999999997</v>
      </c>
      <c r="D5202" s="2">
        <v>0.18140000000000001</v>
      </c>
      <c r="E5202" s="2">
        <v>6.1100000000000002E-2</v>
      </c>
      <c r="F5202" s="2">
        <v>3.8199999999999998E-2</v>
      </c>
      <c r="G5202" s="2">
        <v>2.3599999999999999E-2</v>
      </c>
      <c r="H5202" s="2">
        <v>2.2800000000000001E-2</v>
      </c>
      <c r="I5202" s="2">
        <v>1.12E-2</v>
      </c>
      <c r="J5202" s="2">
        <v>9.4000000000000004E-3</v>
      </c>
      <c r="K5202" s="2">
        <v>3.5000000000000001E-3</v>
      </c>
      <c r="L5202" s="2">
        <v>2.2000000000000001E-3</v>
      </c>
      <c r="M5202" s="2">
        <v>1.6999999999999999E-3</v>
      </c>
      <c r="N5202" s="2">
        <v>2.0000000000000001E-4</v>
      </c>
      <c r="O5202" s="2">
        <v>1.1000000000000001E-3</v>
      </c>
      <c r="P5202">
        <v>1761</v>
      </c>
    </row>
    <row r="5203" spans="1:16" x14ac:dyDescent="0.35">
      <c r="A5203" t="s">
        <v>228</v>
      </c>
      <c r="B5203" t="s">
        <v>228</v>
      </c>
      <c r="C5203" s="2">
        <v>0.71640000000000004</v>
      </c>
      <c r="D5203" s="2">
        <v>0.16869999999999999</v>
      </c>
      <c r="E5203" s="2">
        <v>4.9599999999999998E-2</v>
      </c>
      <c r="F5203" s="2">
        <v>3.0700000000000002E-2</v>
      </c>
      <c r="G5203" s="2">
        <v>2.1999999999999999E-2</v>
      </c>
      <c r="H5203" s="2">
        <v>1.72E-2</v>
      </c>
      <c r="I5203" s="2">
        <v>8.8999999999999999E-3</v>
      </c>
      <c r="J5203" s="2">
        <v>8.2000000000000007E-3</v>
      </c>
      <c r="K5203" s="2">
        <v>3.2000000000000002E-3</v>
      </c>
      <c r="L5203" s="2">
        <v>1.6999999999999999E-3</v>
      </c>
      <c r="M5203" s="2">
        <v>1.6999999999999999E-3</v>
      </c>
      <c r="N5203" s="2">
        <v>8.9999999999999998E-4</v>
      </c>
      <c r="O5203" s="2">
        <v>6.9999999999999999E-4</v>
      </c>
      <c r="P5203">
        <v>2741</v>
      </c>
    </row>
    <row r="5205" spans="1:16" x14ac:dyDescent="0.35">
      <c r="A5205" s="1" t="s">
        <v>1501</v>
      </c>
    </row>
    <row r="5206" spans="1:16" x14ac:dyDescent="0.35">
      <c r="A5206" t="s">
        <v>219</v>
      </c>
      <c r="B5206" t="s">
        <v>301</v>
      </c>
      <c r="C5206" t="s">
        <v>540</v>
      </c>
      <c r="D5206" t="s">
        <v>277</v>
      </c>
      <c r="E5206" t="s">
        <v>1397</v>
      </c>
      <c r="F5206" t="s">
        <v>1396</v>
      </c>
      <c r="G5206" t="s">
        <v>1395</v>
      </c>
      <c r="H5206" t="s">
        <v>1398</v>
      </c>
      <c r="I5206" t="s">
        <v>1497</v>
      </c>
      <c r="J5206" t="s">
        <v>1498</v>
      </c>
      <c r="K5206" t="s">
        <v>282</v>
      </c>
      <c r="L5206" t="s">
        <v>1400</v>
      </c>
      <c r="M5206" t="s">
        <v>318</v>
      </c>
      <c r="N5206" t="s">
        <v>1402</v>
      </c>
      <c r="O5206" t="s">
        <v>1401</v>
      </c>
      <c r="P5206" t="s">
        <v>226</v>
      </c>
    </row>
    <row r="5207" spans="1:16" x14ac:dyDescent="0.35">
      <c r="A5207" t="s">
        <v>227</v>
      </c>
      <c r="B5207" t="s">
        <v>240</v>
      </c>
      <c r="C5207" s="2">
        <v>0.72340000000000004</v>
      </c>
      <c r="D5207" s="2">
        <v>0.1598</v>
      </c>
      <c r="E5207" s="2">
        <v>5.3600000000000002E-2</v>
      </c>
      <c r="F5207" s="2">
        <v>2.6499999999999999E-2</v>
      </c>
      <c r="G5207" s="2">
        <v>2.4799999999999999E-2</v>
      </c>
      <c r="H5207" s="2">
        <v>2.2200000000000001E-2</v>
      </c>
      <c r="I5207" s="2">
        <v>5.1000000000000004E-3</v>
      </c>
      <c r="J5207" s="2">
        <v>8.0000000000000002E-3</v>
      </c>
      <c r="K5207" s="2">
        <v>3.7000000000000002E-3</v>
      </c>
      <c r="L5207" s="2">
        <v>1.1000000000000001E-3</v>
      </c>
      <c r="M5207" s="2">
        <v>2.5999999999999999E-3</v>
      </c>
      <c r="O5207" s="2">
        <v>8.9999999999999998E-4</v>
      </c>
      <c r="P5207">
        <v>1711</v>
      </c>
    </row>
    <row r="5208" spans="1:16" x14ac:dyDescent="0.35">
      <c r="A5208" t="s">
        <v>227</v>
      </c>
      <c r="B5208" t="s">
        <v>241</v>
      </c>
      <c r="C5208" s="2">
        <v>0.68100000000000005</v>
      </c>
      <c r="D5208" s="2">
        <v>0.2021</v>
      </c>
      <c r="E5208" s="2">
        <v>4.4900000000000002E-2</v>
      </c>
      <c r="F5208" s="2">
        <v>4.6199999999999998E-2</v>
      </c>
      <c r="G5208" s="2">
        <v>1.54E-2</v>
      </c>
      <c r="H5208" s="2">
        <v>3.5000000000000001E-3</v>
      </c>
      <c r="I5208" s="2">
        <v>1.89E-2</v>
      </c>
      <c r="J5208" s="2">
        <v>9.1000000000000004E-3</v>
      </c>
      <c r="K5208" s="2">
        <v>2.8E-3</v>
      </c>
      <c r="L5208" s="2">
        <v>3.2000000000000002E-3</v>
      </c>
      <c r="N5208" s="2">
        <v>5.0000000000000001E-4</v>
      </c>
      <c r="O5208" s="2">
        <v>5.0000000000000001E-4</v>
      </c>
      <c r="P5208">
        <v>872</v>
      </c>
    </row>
    <row r="5209" spans="1:16" x14ac:dyDescent="0.35">
      <c r="A5209" t="s">
        <v>227</v>
      </c>
      <c r="B5209" t="s">
        <v>242</v>
      </c>
      <c r="C5209" s="2">
        <v>0.81120000000000003</v>
      </c>
      <c r="D5209" s="2">
        <v>0.10199999999999999</v>
      </c>
      <c r="E5209" s="2">
        <v>3.2099999999999997E-2</v>
      </c>
      <c r="F5209" s="2">
        <v>8.0000000000000004E-4</v>
      </c>
      <c r="G5209" s="2">
        <v>2.4E-2</v>
      </c>
      <c r="H5209" s="2">
        <v>3.1800000000000002E-2</v>
      </c>
      <c r="J5209" s="2">
        <v>6.1999999999999998E-3</v>
      </c>
      <c r="N5209" s="2">
        <v>1.1599999999999999E-2</v>
      </c>
      <c r="P5209">
        <v>158</v>
      </c>
    </row>
    <row r="5210" spans="1:16" x14ac:dyDescent="0.35">
      <c r="A5210" t="s">
        <v>228</v>
      </c>
      <c r="B5210" t="s">
        <v>228</v>
      </c>
      <c r="C5210" s="2">
        <v>0.71640000000000004</v>
      </c>
      <c r="D5210" s="2">
        <v>0.16869999999999999</v>
      </c>
      <c r="E5210" s="2">
        <v>4.9599999999999998E-2</v>
      </c>
      <c r="F5210" s="2">
        <v>3.0700000000000002E-2</v>
      </c>
      <c r="G5210" s="2">
        <v>2.1999999999999999E-2</v>
      </c>
      <c r="H5210" s="2">
        <v>1.72E-2</v>
      </c>
      <c r="I5210" s="2">
        <v>8.8999999999999999E-3</v>
      </c>
      <c r="J5210" s="2">
        <v>8.2000000000000007E-3</v>
      </c>
      <c r="K5210" s="2">
        <v>3.2000000000000002E-3</v>
      </c>
      <c r="L5210" s="2">
        <v>1.6999999999999999E-3</v>
      </c>
      <c r="M5210" s="2">
        <v>1.6999999999999999E-3</v>
      </c>
      <c r="N5210" s="2">
        <v>8.9999999999999998E-4</v>
      </c>
      <c r="O5210" s="2">
        <v>6.9999999999999999E-4</v>
      </c>
      <c r="P5210">
        <v>2741</v>
      </c>
    </row>
    <row r="5212" spans="1:16" x14ac:dyDescent="0.35">
      <c r="A5212" s="1" t="s">
        <v>1502</v>
      </c>
    </row>
    <row r="5213" spans="1:16" x14ac:dyDescent="0.35">
      <c r="A5213" t="s">
        <v>219</v>
      </c>
      <c r="B5213" t="s">
        <v>301</v>
      </c>
      <c r="C5213" t="s">
        <v>540</v>
      </c>
      <c r="D5213" t="s">
        <v>277</v>
      </c>
      <c r="E5213" t="s">
        <v>1397</v>
      </c>
      <c r="F5213" t="s">
        <v>1396</v>
      </c>
      <c r="G5213" t="s">
        <v>1395</v>
      </c>
      <c r="H5213" t="s">
        <v>1398</v>
      </c>
      <c r="I5213" t="s">
        <v>1497</v>
      </c>
      <c r="J5213" t="s">
        <v>1498</v>
      </c>
      <c r="K5213" t="s">
        <v>282</v>
      </c>
      <c r="L5213" t="s">
        <v>1400</v>
      </c>
      <c r="M5213" t="s">
        <v>318</v>
      </c>
      <c r="N5213" t="s">
        <v>1402</v>
      </c>
      <c r="O5213" t="s">
        <v>1401</v>
      </c>
      <c r="P5213" t="s">
        <v>226</v>
      </c>
    </row>
    <row r="5214" spans="1:16" x14ac:dyDescent="0.35">
      <c r="A5214" t="s">
        <v>227</v>
      </c>
      <c r="B5214" t="s">
        <v>334</v>
      </c>
      <c r="C5214" s="2">
        <v>0.7651</v>
      </c>
      <c r="D5214" s="2">
        <v>0.15740000000000001</v>
      </c>
      <c r="E5214" s="2">
        <v>2.2499999999999999E-2</v>
      </c>
      <c r="F5214" s="2">
        <v>5.4000000000000003E-3</v>
      </c>
      <c r="G5214" s="2">
        <v>2.23E-2</v>
      </c>
      <c r="H5214" s="2">
        <v>1.6E-2</v>
      </c>
      <c r="I5214" s="2">
        <v>1.0200000000000001E-2</v>
      </c>
      <c r="J5214" s="2">
        <v>1E-3</v>
      </c>
      <c r="K5214" s="2">
        <v>6.3E-3</v>
      </c>
      <c r="L5214" s="2">
        <v>5.0000000000000001E-4</v>
      </c>
      <c r="N5214" s="2">
        <v>3.5000000000000001E-3</v>
      </c>
      <c r="P5214">
        <v>610</v>
      </c>
    </row>
    <row r="5215" spans="1:16" x14ac:dyDescent="0.35">
      <c r="A5215" t="s">
        <v>227</v>
      </c>
      <c r="B5215" t="s">
        <v>335</v>
      </c>
      <c r="C5215" s="2">
        <v>0.64039999999999997</v>
      </c>
      <c r="D5215" s="2">
        <v>0.19289999999999999</v>
      </c>
      <c r="E5215" s="2">
        <v>8.0399999999999999E-2</v>
      </c>
      <c r="F5215" s="2">
        <v>6.3200000000000006E-2</v>
      </c>
      <c r="G5215" s="2">
        <v>1.7600000000000001E-2</v>
      </c>
      <c r="H5215" s="2">
        <v>2.01E-2</v>
      </c>
      <c r="I5215" s="2">
        <v>1.3100000000000001E-2</v>
      </c>
      <c r="J5215" s="2">
        <v>1.2699999999999999E-2</v>
      </c>
      <c r="K5215" s="2">
        <v>6.0000000000000001E-3</v>
      </c>
      <c r="L5215" s="2">
        <v>2.3E-3</v>
      </c>
      <c r="N5215" s="2">
        <v>4.0000000000000002E-4</v>
      </c>
      <c r="O5215" s="2">
        <v>2.2000000000000001E-3</v>
      </c>
      <c r="P5215">
        <v>604</v>
      </c>
    </row>
    <row r="5216" spans="1:16" x14ac:dyDescent="0.35">
      <c r="A5216" t="s">
        <v>227</v>
      </c>
      <c r="B5216" t="s">
        <v>336</v>
      </c>
      <c r="C5216" s="2">
        <v>0.78169999999999995</v>
      </c>
      <c r="D5216" s="2">
        <v>0.15240000000000001</v>
      </c>
      <c r="E5216" s="2">
        <v>1.77E-2</v>
      </c>
      <c r="F5216" s="2">
        <v>1.18E-2</v>
      </c>
      <c r="G5216" s="2">
        <v>2.4199999999999999E-2</v>
      </c>
      <c r="H5216" s="2">
        <v>1.9099999999999999E-2</v>
      </c>
      <c r="I5216" s="2">
        <v>2.8999999999999998E-3</v>
      </c>
      <c r="J5216" s="2">
        <v>5.5999999999999999E-3</v>
      </c>
      <c r="L5216" s="2">
        <v>8.0000000000000004E-4</v>
      </c>
      <c r="N5216" s="2">
        <v>1E-4</v>
      </c>
      <c r="P5216">
        <v>615</v>
      </c>
    </row>
    <row r="5217" spans="1:16" x14ac:dyDescent="0.35">
      <c r="A5217" t="s">
        <v>227</v>
      </c>
      <c r="B5217" t="s">
        <v>337</v>
      </c>
      <c r="C5217" s="2">
        <v>0.70420000000000005</v>
      </c>
      <c r="D5217" s="2">
        <v>0.16800000000000001</v>
      </c>
      <c r="E5217" s="2">
        <v>6.4500000000000002E-2</v>
      </c>
      <c r="F5217" s="2">
        <v>3.8600000000000002E-2</v>
      </c>
      <c r="G5217" s="2">
        <v>1.95E-2</v>
      </c>
      <c r="H5217" s="2">
        <v>1.23E-2</v>
      </c>
      <c r="I5217" s="2">
        <v>1.0800000000000001E-2</v>
      </c>
      <c r="J5217" s="2">
        <v>7.4999999999999997E-3</v>
      </c>
      <c r="M5217" s="2">
        <v>8.0999999999999996E-3</v>
      </c>
      <c r="O5217" s="2">
        <v>2.0000000000000001E-4</v>
      </c>
      <c r="P5217">
        <v>586</v>
      </c>
    </row>
    <row r="5218" spans="1:16" x14ac:dyDescent="0.35">
      <c r="A5218" t="s">
        <v>228</v>
      </c>
      <c r="B5218" t="s">
        <v>228</v>
      </c>
      <c r="C5218" s="2">
        <v>0.71640000000000004</v>
      </c>
      <c r="D5218" s="2">
        <v>0.16869999999999999</v>
      </c>
      <c r="E5218" s="2">
        <v>4.9599999999999998E-2</v>
      </c>
      <c r="F5218" s="2">
        <v>3.0700000000000002E-2</v>
      </c>
      <c r="G5218" s="2">
        <v>2.1999999999999999E-2</v>
      </c>
      <c r="H5218" s="2">
        <v>1.72E-2</v>
      </c>
      <c r="I5218" s="2">
        <v>8.8999999999999999E-3</v>
      </c>
      <c r="J5218" s="2">
        <v>8.2000000000000007E-3</v>
      </c>
      <c r="K5218" s="2">
        <v>3.2000000000000002E-3</v>
      </c>
      <c r="L5218" s="2">
        <v>1.6999999999999999E-3</v>
      </c>
      <c r="M5218" s="2">
        <v>1.6999999999999999E-3</v>
      </c>
      <c r="N5218" s="2">
        <v>8.9999999999999998E-4</v>
      </c>
      <c r="O5218" s="2">
        <v>6.9999999999999999E-4</v>
      </c>
      <c r="P5218">
        <v>2415</v>
      </c>
    </row>
    <row r="5220" spans="1:16" x14ac:dyDescent="0.35">
      <c r="A5220" s="1" t="s">
        <v>1503</v>
      </c>
    </row>
    <row r="5221" spans="1:16" x14ac:dyDescent="0.35">
      <c r="A5221" t="s">
        <v>219</v>
      </c>
      <c r="B5221" t="s">
        <v>301</v>
      </c>
      <c r="C5221" t="s">
        <v>540</v>
      </c>
      <c r="D5221" t="s">
        <v>277</v>
      </c>
      <c r="E5221" t="s">
        <v>1397</v>
      </c>
      <c r="F5221" t="s">
        <v>1396</v>
      </c>
      <c r="G5221" t="s">
        <v>1395</v>
      </c>
      <c r="H5221" t="s">
        <v>1398</v>
      </c>
      <c r="I5221" t="s">
        <v>1497</v>
      </c>
      <c r="J5221" t="s">
        <v>1498</v>
      </c>
      <c r="K5221" t="s">
        <v>282</v>
      </c>
      <c r="L5221" t="s">
        <v>1400</v>
      </c>
      <c r="M5221" t="s">
        <v>318</v>
      </c>
      <c r="N5221" t="s">
        <v>1402</v>
      </c>
      <c r="O5221" t="s">
        <v>1401</v>
      </c>
      <c r="P5221" t="s">
        <v>226</v>
      </c>
    </row>
    <row r="5222" spans="1:16" x14ac:dyDescent="0.35">
      <c r="A5222" t="s">
        <v>227</v>
      </c>
      <c r="B5222" t="s">
        <v>263</v>
      </c>
      <c r="C5222" s="2">
        <v>0.68589999999999995</v>
      </c>
      <c r="D5222" s="2">
        <v>0.1976</v>
      </c>
      <c r="E5222" s="2">
        <v>5.5800000000000002E-2</v>
      </c>
      <c r="F5222" s="2">
        <v>2.8899999999999999E-2</v>
      </c>
      <c r="G5222" s="2">
        <v>1.8599999999999998E-2</v>
      </c>
      <c r="H5222" s="2">
        <v>1.61E-2</v>
      </c>
      <c r="I5222" s="2">
        <v>2.0400000000000001E-2</v>
      </c>
      <c r="J5222" s="2">
        <v>8.8999999999999999E-3</v>
      </c>
      <c r="K5222" s="2">
        <v>1E-4</v>
      </c>
      <c r="L5222" s="2">
        <v>3.0000000000000001E-3</v>
      </c>
      <c r="M5222" s="2">
        <v>8.9999999999999998E-4</v>
      </c>
      <c r="N5222" s="2">
        <v>5.0000000000000001E-4</v>
      </c>
      <c r="O5222" s="2">
        <v>3.0000000000000001E-3</v>
      </c>
      <c r="P5222">
        <v>578</v>
      </c>
    </row>
    <row r="5223" spans="1:16" x14ac:dyDescent="0.35">
      <c r="A5223" t="s">
        <v>227</v>
      </c>
      <c r="B5223" t="s">
        <v>262</v>
      </c>
      <c r="C5223" s="2">
        <v>0.69179999999999997</v>
      </c>
      <c r="D5223" s="2">
        <v>0.1764</v>
      </c>
      <c r="E5223" s="2">
        <v>5.1499999999999997E-2</v>
      </c>
      <c r="F5223" s="2">
        <v>4.5400000000000003E-2</v>
      </c>
      <c r="G5223" s="2">
        <v>2.6499999999999999E-2</v>
      </c>
      <c r="H5223" s="2">
        <v>1.55E-2</v>
      </c>
      <c r="I5223" s="2">
        <v>6.7999999999999996E-3</v>
      </c>
      <c r="J5223" s="2">
        <v>1.17E-2</v>
      </c>
      <c r="K5223" s="2">
        <v>3.7000000000000002E-3</v>
      </c>
      <c r="L5223" s="2">
        <v>2.3E-3</v>
      </c>
      <c r="M5223" s="2">
        <v>2.5999999999999999E-3</v>
      </c>
      <c r="N5223" s="2">
        <v>2.0999999999999999E-3</v>
      </c>
      <c r="O5223" s="2">
        <v>2.9999999999999997E-4</v>
      </c>
      <c r="P5223">
        <v>1131</v>
      </c>
    </row>
    <row r="5224" spans="1:16" x14ac:dyDescent="0.35">
      <c r="A5224" t="s">
        <v>227</v>
      </c>
      <c r="B5224" t="s">
        <v>261</v>
      </c>
      <c r="C5224" s="2">
        <v>0.75329999999999997</v>
      </c>
      <c r="D5224" s="2">
        <v>0.1484</v>
      </c>
      <c r="E5224" s="2">
        <v>4.36E-2</v>
      </c>
      <c r="F5224" s="2">
        <v>1.9099999999999999E-2</v>
      </c>
      <c r="G5224" s="2">
        <v>1.9800000000000002E-2</v>
      </c>
      <c r="H5224" s="2">
        <v>1.78E-2</v>
      </c>
      <c r="I5224" s="2">
        <v>5.1000000000000004E-3</v>
      </c>
      <c r="J5224" s="2">
        <v>4.7999999999999996E-3</v>
      </c>
      <c r="K5224" s="2">
        <v>4.3E-3</v>
      </c>
      <c r="L5224" s="2">
        <v>5.0000000000000001E-4</v>
      </c>
      <c r="M5224" s="2">
        <v>1.1999999999999999E-3</v>
      </c>
      <c r="P5224">
        <v>1030</v>
      </c>
    </row>
    <row r="5225" spans="1:16" x14ac:dyDescent="0.35">
      <c r="A5225" s="3" t="s">
        <v>227</v>
      </c>
      <c r="B5225" s="3" t="s">
        <v>232</v>
      </c>
      <c r="C5225" s="4">
        <v>0.5</v>
      </c>
      <c r="D5225" s="5"/>
      <c r="E5225" s="4">
        <v>0.5</v>
      </c>
      <c r="F5225" s="5"/>
      <c r="G5225" s="5"/>
      <c r="H5225" s="4">
        <v>0.5</v>
      </c>
      <c r="I5225" s="5"/>
      <c r="J5225" s="5"/>
      <c r="K5225" s="5"/>
      <c r="L5225" s="5"/>
      <c r="M5225" s="5"/>
      <c r="N5225" s="5"/>
      <c r="O5225" s="5"/>
      <c r="P5225" s="5" t="s">
        <v>434</v>
      </c>
    </row>
    <row r="5226" spans="1:16" x14ac:dyDescent="0.35">
      <c r="A5226" t="s">
        <v>228</v>
      </c>
      <c r="B5226" t="s">
        <v>228</v>
      </c>
      <c r="C5226" s="2">
        <v>0.71640000000000004</v>
      </c>
      <c r="D5226" s="2">
        <v>0.16869999999999999</v>
      </c>
      <c r="E5226" s="2">
        <v>4.9599999999999998E-2</v>
      </c>
      <c r="F5226" s="2">
        <v>3.0700000000000002E-2</v>
      </c>
      <c r="G5226" s="2">
        <v>2.1999999999999999E-2</v>
      </c>
      <c r="H5226" s="2">
        <v>1.72E-2</v>
      </c>
      <c r="I5226" s="2">
        <v>8.8999999999999999E-3</v>
      </c>
      <c r="J5226" s="2">
        <v>8.2000000000000007E-3</v>
      </c>
      <c r="K5226" s="2">
        <v>3.2000000000000002E-3</v>
      </c>
      <c r="L5226" s="2">
        <v>1.6999999999999999E-3</v>
      </c>
      <c r="M5226" s="2">
        <v>1.6999999999999999E-3</v>
      </c>
      <c r="N5226" s="2">
        <v>8.9999999999999998E-4</v>
      </c>
      <c r="O5226" s="2">
        <v>6.9999999999999999E-4</v>
      </c>
      <c r="P5226">
        <v>2741</v>
      </c>
    </row>
    <row r="5228" spans="1:16" x14ac:dyDescent="0.35">
      <c r="A5228" s="1" t="s">
        <v>1504</v>
      </c>
    </row>
    <row r="5229" spans="1:16" x14ac:dyDescent="0.35">
      <c r="A5229" t="s">
        <v>219</v>
      </c>
      <c r="B5229" t="s">
        <v>301</v>
      </c>
      <c r="C5229" t="s">
        <v>540</v>
      </c>
      <c r="D5229" t="s">
        <v>277</v>
      </c>
      <c r="E5229" t="s">
        <v>1397</v>
      </c>
      <c r="F5229" t="s">
        <v>1396</v>
      </c>
      <c r="G5229" t="s">
        <v>1395</v>
      </c>
      <c r="H5229" t="s">
        <v>1398</v>
      </c>
      <c r="I5229" t="s">
        <v>1497</v>
      </c>
      <c r="J5229" t="s">
        <v>1498</v>
      </c>
      <c r="K5229" t="s">
        <v>282</v>
      </c>
      <c r="L5229" t="s">
        <v>1400</v>
      </c>
      <c r="M5229" t="s">
        <v>318</v>
      </c>
      <c r="N5229" t="s">
        <v>1402</v>
      </c>
      <c r="O5229" t="s">
        <v>1401</v>
      </c>
      <c r="P5229" t="s">
        <v>226</v>
      </c>
    </row>
    <row r="5230" spans="1:16" x14ac:dyDescent="0.35">
      <c r="A5230" t="s">
        <v>227</v>
      </c>
      <c r="B5230" t="s">
        <v>248</v>
      </c>
      <c r="C5230" s="2">
        <v>0.74370000000000003</v>
      </c>
      <c r="D5230" s="2">
        <v>0.2064</v>
      </c>
      <c r="E5230" s="2">
        <v>1.09E-2</v>
      </c>
      <c r="F5230" s="2">
        <v>3.5999999999999999E-3</v>
      </c>
      <c r="G5230" s="2">
        <v>8.3999999999999995E-3</v>
      </c>
      <c r="H5230" s="2">
        <v>5.4000000000000003E-3</v>
      </c>
      <c r="I5230" s="2">
        <v>1.0500000000000001E-2</v>
      </c>
      <c r="J5230" s="2">
        <v>3.8999999999999998E-3</v>
      </c>
      <c r="K5230" s="2">
        <v>1.0999999999999999E-2</v>
      </c>
      <c r="L5230" s="2">
        <v>1E-3</v>
      </c>
      <c r="N5230" s="2">
        <v>1E-4</v>
      </c>
      <c r="O5230" s="2">
        <v>2.0000000000000001E-4</v>
      </c>
      <c r="P5230">
        <v>783</v>
      </c>
    </row>
    <row r="5231" spans="1:16" x14ac:dyDescent="0.35">
      <c r="A5231" t="s">
        <v>227</v>
      </c>
      <c r="B5231" t="s">
        <v>249</v>
      </c>
      <c r="C5231" s="2">
        <v>0.74839999999999995</v>
      </c>
      <c r="D5231" s="2">
        <v>0.14050000000000001</v>
      </c>
      <c r="E5231" s="2">
        <v>5.8099999999999999E-2</v>
      </c>
      <c r="F5231" s="2">
        <v>1.77E-2</v>
      </c>
      <c r="G5231" s="2">
        <v>2.5499999999999998E-2</v>
      </c>
      <c r="H5231" s="2">
        <v>1.4999999999999999E-2</v>
      </c>
      <c r="I5231" s="2">
        <v>2.5000000000000001E-3</v>
      </c>
      <c r="J5231" s="2">
        <v>6.3E-3</v>
      </c>
      <c r="N5231" s="2">
        <v>3.8E-3</v>
      </c>
      <c r="P5231">
        <v>520</v>
      </c>
    </row>
    <row r="5232" spans="1:16" x14ac:dyDescent="0.35">
      <c r="A5232" t="s">
        <v>227</v>
      </c>
      <c r="B5232" t="s">
        <v>247</v>
      </c>
      <c r="C5232" s="2">
        <v>0.69059999999999999</v>
      </c>
      <c r="D5232" s="2">
        <v>0.1595</v>
      </c>
      <c r="E5232" s="2">
        <v>6.6600000000000006E-2</v>
      </c>
      <c r="F5232" s="2">
        <v>4.9599999999999998E-2</v>
      </c>
      <c r="G5232" s="2">
        <v>2.7699999999999999E-2</v>
      </c>
      <c r="H5232" s="2">
        <v>2.4199999999999999E-2</v>
      </c>
      <c r="I5232" s="2">
        <v>1.04E-2</v>
      </c>
      <c r="J5232" s="2">
        <v>1.11E-2</v>
      </c>
      <c r="K5232" s="2">
        <v>2.9999999999999997E-4</v>
      </c>
      <c r="L5232" s="2">
        <v>2.7000000000000001E-3</v>
      </c>
      <c r="M5232" s="2">
        <v>3.2000000000000002E-3</v>
      </c>
      <c r="N5232" s="2">
        <v>2.0000000000000001E-4</v>
      </c>
      <c r="O5232" s="2">
        <v>1.2999999999999999E-3</v>
      </c>
      <c r="P5232">
        <v>1438</v>
      </c>
    </row>
    <row r="5233" spans="1:16" x14ac:dyDescent="0.35">
      <c r="A5233" t="s">
        <v>228</v>
      </c>
      <c r="B5233" t="s">
        <v>228</v>
      </c>
      <c r="C5233" s="2">
        <v>0.71640000000000004</v>
      </c>
      <c r="D5233" s="2">
        <v>0.16869999999999999</v>
      </c>
      <c r="E5233" s="2">
        <v>4.9599999999999998E-2</v>
      </c>
      <c r="F5233" s="2">
        <v>3.0700000000000002E-2</v>
      </c>
      <c r="G5233" s="2">
        <v>2.1999999999999999E-2</v>
      </c>
      <c r="H5233" s="2">
        <v>1.72E-2</v>
      </c>
      <c r="I5233" s="2">
        <v>8.8999999999999999E-3</v>
      </c>
      <c r="J5233" s="2">
        <v>8.2000000000000007E-3</v>
      </c>
      <c r="K5233" s="2">
        <v>3.2000000000000002E-3</v>
      </c>
      <c r="L5233" s="2">
        <v>1.6999999999999999E-3</v>
      </c>
      <c r="M5233" s="2">
        <v>1.6999999999999999E-3</v>
      </c>
      <c r="N5233" s="2">
        <v>8.9999999999999998E-4</v>
      </c>
      <c r="O5233" s="2">
        <v>6.9999999999999999E-4</v>
      </c>
      <c r="P5233">
        <v>2741</v>
      </c>
    </row>
    <row r="5235" spans="1:16" x14ac:dyDescent="0.35">
      <c r="A5235" s="1" t="s">
        <v>1505</v>
      </c>
    </row>
    <row r="5236" spans="1:16" x14ac:dyDescent="0.35">
      <c r="A5236" t="s">
        <v>219</v>
      </c>
      <c r="B5236" t="s">
        <v>301</v>
      </c>
      <c r="C5236" t="s">
        <v>540</v>
      </c>
      <c r="D5236" t="s">
        <v>277</v>
      </c>
      <c r="E5236" t="s">
        <v>1397</v>
      </c>
      <c r="F5236" t="s">
        <v>1396</v>
      </c>
      <c r="G5236" t="s">
        <v>1395</v>
      </c>
      <c r="H5236" t="s">
        <v>1398</v>
      </c>
      <c r="I5236" t="s">
        <v>1497</v>
      </c>
      <c r="J5236" t="s">
        <v>1498</v>
      </c>
      <c r="K5236" t="s">
        <v>282</v>
      </c>
      <c r="L5236" t="s">
        <v>1400</v>
      </c>
      <c r="M5236" t="s">
        <v>318</v>
      </c>
      <c r="N5236" t="s">
        <v>1402</v>
      </c>
      <c r="O5236" t="s">
        <v>1401</v>
      </c>
      <c r="P5236" t="s">
        <v>226</v>
      </c>
    </row>
    <row r="5237" spans="1:16" x14ac:dyDescent="0.35">
      <c r="A5237" t="s">
        <v>227</v>
      </c>
      <c r="B5237" t="s">
        <v>245</v>
      </c>
      <c r="C5237" s="2">
        <v>0.72889999999999999</v>
      </c>
      <c r="D5237" s="2">
        <v>0.1368</v>
      </c>
      <c r="E5237" s="2">
        <v>6.2700000000000006E-2</v>
      </c>
      <c r="F5237" s="2">
        <v>3.5400000000000001E-2</v>
      </c>
      <c r="G5237" s="2">
        <v>4.3299999999999998E-2</v>
      </c>
      <c r="H5237" s="2">
        <v>2.69E-2</v>
      </c>
      <c r="I5237" s="2">
        <v>1.6999999999999999E-3</v>
      </c>
      <c r="J5237" s="2">
        <v>3.0999999999999999E-3</v>
      </c>
      <c r="K5237" s="2">
        <v>1E-4</v>
      </c>
      <c r="M5237" s="2">
        <v>4.1000000000000003E-3</v>
      </c>
      <c r="O5237" s="2">
        <v>2.0000000000000001E-4</v>
      </c>
      <c r="P5237">
        <v>763</v>
      </c>
    </row>
    <row r="5238" spans="1:16" x14ac:dyDescent="0.35">
      <c r="A5238" t="s">
        <v>227</v>
      </c>
      <c r="B5238" t="s">
        <v>244</v>
      </c>
      <c r="C5238" s="2">
        <v>0.71150000000000002</v>
      </c>
      <c r="D5238" s="2">
        <v>0.1812</v>
      </c>
      <c r="E5238" s="2">
        <v>4.4499999999999998E-2</v>
      </c>
      <c r="F5238" s="2">
        <v>2.8899999999999999E-2</v>
      </c>
      <c r="G5238" s="2">
        <v>1.3599999999999999E-2</v>
      </c>
      <c r="H5238" s="2">
        <v>1.35E-2</v>
      </c>
      <c r="I5238" s="2">
        <v>1.17E-2</v>
      </c>
      <c r="J5238" s="2">
        <v>1.0200000000000001E-2</v>
      </c>
      <c r="K5238" s="2">
        <v>4.4000000000000003E-3</v>
      </c>
      <c r="L5238" s="2">
        <v>2.3E-3</v>
      </c>
      <c r="M5238" s="2">
        <v>6.9999999999999999E-4</v>
      </c>
      <c r="N5238" s="2">
        <v>1.1999999999999999E-3</v>
      </c>
      <c r="O5238" s="2">
        <v>1E-3</v>
      </c>
      <c r="P5238">
        <v>1978</v>
      </c>
    </row>
    <row r="5239" spans="1:16" x14ac:dyDescent="0.35">
      <c r="A5239" t="s">
        <v>228</v>
      </c>
      <c r="B5239" t="s">
        <v>228</v>
      </c>
      <c r="C5239" s="2">
        <v>0.71640000000000004</v>
      </c>
      <c r="D5239" s="2">
        <v>0.16869999999999999</v>
      </c>
      <c r="E5239" s="2">
        <v>4.9599999999999998E-2</v>
      </c>
      <c r="F5239" s="2">
        <v>3.0700000000000002E-2</v>
      </c>
      <c r="G5239" s="2">
        <v>2.1999999999999999E-2</v>
      </c>
      <c r="H5239" s="2">
        <v>1.72E-2</v>
      </c>
      <c r="I5239" s="2">
        <v>8.8999999999999999E-3</v>
      </c>
      <c r="J5239" s="2">
        <v>8.2000000000000007E-3</v>
      </c>
      <c r="K5239" s="2">
        <v>3.2000000000000002E-3</v>
      </c>
      <c r="L5239" s="2">
        <v>1.6999999999999999E-3</v>
      </c>
      <c r="M5239" s="2">
        <v>1.6999999999999999E-3</v>
      </c>
      <c r="N5239" s="2">
        <v>8.9999999999999998E-4</v>
      </c>
      <c r="O5239" s="2">
        <v>6.9999999999999999E-4</v>
      </c>
      <c r="P5239">
        <v>2741</v>
      </c>
    </row>
    <row r="5241" spans="1:16" x14ac:dyDescent="0.35">
      <c r="A5241" s="1" t="s">
        <v>1506</v>
      </c>
    </row>
    <row r="5242" spans="1:16" x14ac:dyDescent="0.35">
      <c r="A5242" t="s">
        <v>219</v>
      </c>
      <c r="B5242" t="s">
        <v>301</v>
      </c>
      <c r="C5242" t="s">
        <v>540</v>
      </c>
      <c r="D5242" t="s">
        <v>277</v>
      </c>
      <c r="E5242" t="s">
        <v>1397</v>
      </c>
      <c r="F5242" t="s">
        <v>1396</v>
      </c>
      <c r="G5242" t="s">
        <v>1395</v>
      </c>
      <c r="H5242" t="s">
        <v>1398</v>
      </c>
      <c r="I5242" t="s">
        <v>1497</v>
      </c>
      <c r="J5242" t="s">
        <v>1498</v>
      </c>
      <c r="K5242" t="s">
        <v>282</v>
      </c>
      <c r="L5242" t="s">
        <v>1400</v>
      </c>
      <c r="M5242" t="s">
        <v>318</v>
      </c>
      <c r="N5242" t="s">
        <v>1402</v>
      </c>
      <c r="O5242" t="s">
        <v>1401</v>
      </c>
      <c r="P5242" t="s">
        <v>226</v>
      </c>
    </row>
    <row r="5243" spans="1:16" x14ac:dyDescent="0.35">
      <c r="A5243" t="s">
        <v>227</v>
      </c>
      <c r="B5243" t="s">
        <v>259</v>
      </c>
      <c r="C5243" s="2">
        <v>0.75519999999999998</v>
      </c>
      <c r="D5243" s="2">
        <v>0.21529999999999999</v>
      </c>
      <c r="E5243" s="2">
        <v>4.4000000000000003E-3</v>
      </c>
      <c r="F5243" s="2">
        <v>4.4000000000000003E-3</v>
      </c>
      <c r="G5243" s="2">
        <v>2.1999999999999999E-2</v>
      </c>
      <c r="H5243" s="2">
        <v>1.6000000000000001E-3</v>
      </c>
      <c r="J5243" s="2">
        <v>4.4000000000000003E-3</v>
      </c>
      <c r="P5243">
        <v>67</v>
      </c>
    </row>
    <row r="5244" spans="1:16" x14ac:dyDescent="0.35">
      <c r="A5244" t="s">
        <v>227</v>
      </c>
      <c r="B5244" t="s">
        <v>257</v>
      </c>
      <c r="C5244" s="2">
        <v>0.752</v>
      </c>
      <c r="D5244" s="2">
        <v>0.16020000000000001</v>
      </c>
      <c r="E5244" s="2">
        <v>2.5999999999999999E-2</v>
      </c>
      <c r="F5244" s="2">
        <v>7.3000000000000001E-3</v>
      </c>
      <c r="G5244" s="2">
        <v>1.7299999999999999E-2</v>
      </c>
      <c r="H5244" s="2">
        <v>2.2200000000000001E-2</v>
      </c>
      <c r="I5244" s="2">
        <v>1.7000000000000001E-2</v>
      </c>
      <c r="J5244" s="2">
        <v>9.5999999999999992E-3</v>
      </c>
      <c r="L5244" s="2">
        <v>2.9999999999999997E-4</v>
      </c>
      <c r="P5244">
        <v>400</v>
      </c>
    </row>
    <row r="5245" spans="1:16" x14ac:dyDescent="0.35">
      <c r="A5245" t="s">
        <v>227</v>
      </c>
      <c r="B5245" t="s">
        <v>256</v>
      </c>
      <c r="C5245" s="2">
        <v>0.71840000000000004</v>
      </c>
      <c r="D5245" s="2">
        <v>0.1673</v>
      </c>
      <c r="E5245" s="2">
        <v>5.0200000000000002E-2</v>
      </c>
      <c r="F5245" s="2">
        <v>2.92E-2</v>
      </c>
      <c r="G5245" s="2">
        <v>2.24E-2</v>
      </c>
      <c r="H5245" s="2">
        <v>1.66E-2</v>
      </c>
      <c r="I5245" s="2">
        <v>7.1999999999999998E-3</v>
      </c>
      <c r="J5245" s="2">
        <v>4.7999999999999996E-3</v>
      </c>
      <c r="K5245" s="2">
        <v>4.5999999999999999E-3</v>
      </c>
      <c r="L5245" s="2">
        <v>1.2999999999999999E-3</v>
      </c>
      <c r="M5245" s="2">
        <v>2.2000000000000001E-3</v>
      </c>
      <c r="N5245" s="2">
        <v>1.1000000000000001E-3</v>
      </c>
      <c r="O5245" s="2">
        <v>1E-4</v>
      </c>
      <c r="P5245">
        <v>1759</v>
      </c>
    </row>
    <row r="5246" spans="1:16" x14ac:dyDescent="0.35">
      <c r="A5246" s="3" t="s">
        <v>227</v>
      </c>
      <c r="B5246" s="3" t="s">
        <v>232</v>
      </c>
      <c r="C5246" s="4">
        <v>0.81979999999999997</v>
      </c>
      <c r="D5246" s="4">
        <v>0.1802</v>
      </c>
      <c r="E5246" s="5"/>
      <c r="F5246" s="5"/>
      <c r="G5246" s="5"/>
      <c r="H5246" s="5"/>
      <c r="I5246" s="5"/>
      <c r="J5246" s="5"/>
      <c r="K5246" s="5"/>
      <c r="L5246" s="5"/>
      <c r="M5246" s="5"/>
      <c r="N5246" s="5"/>
      <c r="O5246" s="5"/>
      <c r="P5246" s="5" t="s">
        <v>307</v>
      </c>
    </row>
    <row r="5247" spans="1:16" x14ac:dyDescent="0.35">
      <c r="A5247" t="s">
        <v>227</v>
      </c>
      <c r="B5247" t="s">
        <v>258</v>
      </c>
      <c r="C5247" s="2">
        <v>0.65859999999999996</v>
      </c>
      <c r="D5247" s="2">
        <v>0.1797</v>
      </c>
      <c r="E5247" s="2">
        <v>8.09E-2</v>
      </c>
      <c r="F5247" s="2">
        <v>6.9400000000000003E-2</v>
      </c>
      <c r="G5247" s="2">
        <v>2.58E-2</v>
      </c>
      <c r="H5247" s="2">
        <v>1.6500000000000001E-2</v>
      </c>
      <c r="I5247" s="2">
        <v>8.3999999999999995E-3</v>
      </c>
      <c r="J5247" s="2">
        <v>2.2800000000000001E-2</v>
      </c>
      <c r="K5247" s="2">
        <v>6.9999999999999999E-4</v>
      </c>
      <c r="L5247" s="2">
        <v>5.1999999999999998E-3</v>
      </c>
      <c r="M5247" s="2">
        <v>1.4E-3</v>
      </c>
      <c r="N5247" s="2">
        <v>8.0000000000000004E-4</v>
      </c>
      <c r="O5247" s="2">
        <v>4.4000000000000003E-3</v>
      </c>
      <c r="P5247">
        <v>504</v>
      </c>
    </row>
    <row r="5248" spans="1:16" x14ac:dyDescent="0.35">
      <c r="A5248" t="s">
        <v>228</v>
      </c>
      <c r="B5248" t="s">
        <v>228</v>
      </c>
      <c r="C5248" s="2">
        <v>0.71640000000000004</v>
      </c>
      <c r="D5248" s="2">
        <v>0.16869999999999999</v>
      </c>
      <c r="E5248" s="2">
        <v>4.9599999999999998E-2</v>
      </c>
      <c r="F5248" s="2">
        <v>3.0700000000000002E-2</v>
      </c>
      <c r="G5248" s="2">
        <v>2.1999999999999999E-2</v>
      </c>
      <c r="H5248" s="2">
        <v>1.72E-2</v>
      </c>
      <c r="I5248" s="2">
        <v>8.8999999999999999E-3</v>
      </c>
      <c r="J5248" s="2">
        <v>8.2000000000000007E-3</v>
      </c>
      <c r="K5248" s="2">
        <v>3.2000000000000002E-3</v>
      </c>
      <c r="L5248" s="2">
        <v>1.6999999999999999E-3</v>
      </c>
      <c r="M5248" s="2">
        <v>1.6999999999999999E-3</v>
      </c>
      <c r="N5248" s="2">
        <v>8.9999999999999998E-4</v>
      </c>
      <c r="O5248" s="2">
        <v>6.9999999999999999E-4</v>
      </c>
      <c r="P5248">
        <v>2741</v>
      </c>
    </row>
    <row r="5250" spans="1:16" x14ac:dyDescent="0.35">
      <c r="A5250" s="1" t="s">
        <v>1507</v>
      </c>
    </row>
    <row r="5251" spans="1:16" x14ac:dyDescent="0.35">
      <c r="A5251" t="s">
        <v>219</v>
      </c>
      <c r="B5251" t="s">
        <v>301</v>
      </c>
      <c r="C5251" t="s">
        <v>540</v>
      </c>
      <c r="D5251" t="s">
        <v>277</v>
      </c>
      <c r="E5251" t="s">
        <v>1397</v>
      </c>
      <c r="F5251" t="s">
        <v>1396</v>
      </c>
      <c r="G5251" t="s">
        <v>1395</v>
      </c>
      <c r="H5251" t="s">
        <v>1398</v>
      </c>
      <c r="I5251" t="s">
        <v>1497</v>
      </c>
      <c r="J5251" t="s">
        <v>1498</v>
      </c>
      <c r="K5251" t="s">
        <v>282</v>
      </c>
      <c r="L5251" t="s">
        <v>1400</v>
      </c>
      <c r="M5251" t="s">
        <v>318</v>
      </c>
      <c r="N5251" t="s">
        <v>1402</v>
      </c>
      <c r="O5251" t="s">
        <v>1401</v>
      </c>
      <c r="P5251" t="s">
        <v>226</v>
      </c>
    </row>
    <row r="5252" spans="1:16" x14ac:dyDescent="0.35">
      <c r="A5252" t="s">
        <v>227</v>
      </c>
      <c r="B5252" t="s">
        <v>343</v>
      </c>
      <c r="C5252" s="2">
        <v>0.752</v>
      </c>
      <c r="D5252" s="2">
        <v>0.16020000000000001</v>
      </c>
      <c r="E5252" s="2">
        <v>2.5999999999999999E-2</v>
      </c>
      <c r="F5252" s="2">
        <v>7.3000000000000001E-3</v>
      </c>
      <c r="G5252" s="2">
        <v>1.7299999999999999E-2</v>
      </c>
      <c r="H5252" s="2">
        <v>2.2200000000000001E-2</v>
      </c>
      <c r="I5252" s="2">
        <v>1.7000000000000001E-2</v>
      </c>
      <c r="J5252" s="2">
        <v>9.5999999999999992E-3</v>
      </c>
      <c r="L5252" s="2">
        <v>2.9999999999999997E-4</v>
      </c>
      <c r="P5252">
        <v>400</v>
      </c>
    </row>
    <row r="5253" spans="1:16" x14ac:dyDescent="0.35">
      <c r="A5253" t="s">
        <v>227</v>
      </c>
      <c r="B5253" t="s">
        <v>344</v>
      </c>
      <c r="C5253" s="2">
        <v>0.70909999999999995</v>
      </c>
      <c r="D5253" s="2">
        <v>0.17050000000000001</v>
      </c>
      <c r="E5253" s="2">
        <v>5.45E-2</v>
      </c>
      <c r="F5253" s="2">
        <v>3.5499999999999997E-2</v>
      </c>
      <c r="G5253" s="2">
        <v>2.29E-2</v>
      </c>
      <c r="H5253" s="2">
        <v>1.6199999999999999E-2</v>
      </c>
      <c r="I5253" s="2">
        <v>7.3000000000000001E-3</v>
      </c>
      <c r="J5253" s="2">
        <v>7.9000000000000008E-3</v>
      </c>
      <c r="K5253" s="2">
        <v>3.8E-3</v>
      </c>
      <c r="L5253" s="2">
        <v>2E-3</v>
      </c>
      <c r="M5253" s="2">
        <v>2E-3</v>
      </c>
      <c r="N5253" s="2">
        <v>1E-3</v>
      </c>
      <c r="O5253" s="2">
        <v>8.9999999999999998E-4</v>
      </c>
      <c r="P5253">
        <v>2341</v>
      </c>
    </row>
    <row r="5254" spans="1:16" x14ac:dyDescent="0.35">
      <c r="A5254" t="s">
        <v>228</v>
      </c>
      <c r="B5254" t="s">
        <v>228</v>
      </c>
      <c r="C5254" s="2">
        <v>0.71640000000000004</v>
      </c>
      <c r="D5254" s="2">
        <v>0.16869999999999999</v>
      </c>
      <c r="E5254" s="2">
        <v>4.9599999999999998E-2</v>
      </c>
      <c r="F5254" s="2">
        <v>3.0700000000000002E-2</v>
      </c>
      <c r="G5254" s="2">
        <v>2.1999999999999999E-2</v>
      </c>
      <c r="H5254" s="2">
        <v>1.72E-2</v>
      </c>
      <c r="I5254" s="2">
        <v>8.8999999999999999E-3</v>
      </c>
      <c r="J5254" s="2">
        <v>8.2000000000000007E-3</v>
      </c>
      <c r="K5254" s="2">
        <v>3.2000000000000002E-3</v>
      </c>
      <c r="L5254" s="2">
        <v>1.6999999999999999E-3</v>
      </c>
      <c r="M5254" s="2">
        <v>1.6999999999999999E-3</v>
      </c>
      <c r="N5254" s="2">
        <v>8.9999999999999998E-4</v>
      </c>
      <c r="O5254" s="2">
        <v>6.9999999999999999E-4</v>
      </c>
      <c r="P5254">
        <v>2741</v>
      </c>
    </row>
    <row r="5256" spans="1:16" x14ac:dyDescent="0.35">
      <c r="A5256" s="1" t="s">
        <v>1508</v>
      </c>
    </row>
    <row r="5257" spans="1:16" x14ac:dyDescent="0.35">
      <c r="A5257" t="s">
        <v>219</v>
      </c>
      <c r="B5257" t="s">
        <v>301</v>
      </c>
      <c r="C5257" t="s">
        <v>540</v>
      </c>
      <c r="D5257" t="s">
        <v>277</v>
      </c>
      <c r="E5257" t="s">
        <v>1397</v>
      </c>
      <c r="F5257" t="s">
        <v>1396</v>
      </c>
      <c r="G5257" t="s">
        <v>1395</v>
      </c>
      <c r="H5257" t="s">
        <v>1398</v>
      </c>
      <c r="I5257" t="s">
        <v>1497</v>
      </c>
      <c r="J5257" t="s">
        <v>1498</v>
      </c>
      <c r="K5257" t="s">
        <v>282</v>
      </c>
      <c r="L5257" t="s">
        <v>1400</v>
      </c>
      <c r="M5257" t="s">
        <v>318</v>
      </c>
      <c r="N5257" t="s">
        <v>1402</v>
      </c>
      <c r="O5257" t="s">
        <v>1401</v>
      </c>
      <c r="P5257" t="s">
        <v>226</v>
      </c>
    </row>
    <row r="5258" spans="1:16" x14ac:dyDescent="0.35">
      <c r="A5258" t="s">
        <v>227</v>
      </c>
      <c r="B5258" t="s">
        <v>346</v>
      </c>
      <c r="C5258" s="2">
        <v>0.71930000000000005</v>
      </c>
      <c r="D5258" s="2">
        <v>0.1648</v>
      </c>
      <c r="E5258" s="2">
        <v>5.0599999999999999E-2</v>
      </c>
      <c r="F5258" s="2">
        <v>3.2399999999999998E-2</v>
      </c>
      <c r="G5258" s="2">
        <v>2.12E-2</v>
      </c>
      <c r="H5258" s="2">
        <v>1.7000000000000001E-2</v>
      </c>
      <c r="I5258" s="2">
        <v>9.1000000000000004E-3</v>
      </c>
      <c r="J5258" s="2">
        <v>6.7999999999999996E-3</v>
      </c>
      <c r="K5258" s="2">
        <v>3.5000000000000001E-3</v>
      </c>
      <c r="L5258" s="2">
        <v>1.5E-3</v>
      </c>
      <c r="M5258" s="2">
        <v>1.9E-3</v>
      </c>
      <c r="N5258" s="2">
        <v>8.0000000000000004E-4</v>
      </c>
      <c r="O5258" s="2">
        <v>6.9999999999999999E-4</v>
      </c>
      <c r="P5258">
        <v>1434</v>
      </c>
    </row>
    <row r="5259" spans="1:16" x14ac:dyDescent="0.35">
      <c r="A5259" t="s">
        <v>227</v>
      </c>
      <c r="B5259" t="s">
        <v>347</v>
      </c>
      <c r="C5259" s="2">
        <v>0.71250000000000002</v>
      </c>
      <c r="D5259" s="2">
        <v>0.1749</v>
      </c>
      <c r="E5259" s="2">
        <v>4.3099999999999999E-2</v>
      </c>
      <c r="F5259" s="2">
        <v>2.4899999999999999E-2</v>
      </c>
      <c r="G5259" s="2">
        <v>4.24E-2</v>
      </c>
      <c r="H5259" s="2">
        <v>1.5699999999999999E-2</v>
      </c>
      <c r="I5259" s="2">
        <v>9.1999999999999998E-3</v>
      </c>
      <c r="J5259" s="2">
        <v>2.12E-2</v>
      </c>
      <c r="K5259" s="2">
        <v>4.7999999999999996E-3</v>
      </c>
      <c r="L5259" s="2">
        <v>3.8E-3</v>
      </c>
      <c r="N5259" s="2">
        <v>3.8E-3</v>
      </c>
      <c r="O5259" s="2">
        <v>3.0000000000000001E-3</v>
      </c>
      <c r="P5259">
        <v>562</v>
      </c>
    </row>
    <row r="5260" spans="1:16" x14ac:dyDescent="0.35">
      <c r="A5260" t="s">
        <v>227</v>
      </c>
      <c r="B5260" t="s">
        <v>348</v>
      </c>
      <c r="C5260" s="2">
        <v>0.69099999999999995</v>
      </c>
      <c r="D5260" s="2">
        <v>0.20250000000000001</v>
      </c>
      <c r="E5260" s="2">
        <v>4.3400000000000001E-2</v>
      </c>
      <c r="F5260" s="2">
        <v>1.7500000000000002E-2</v>
      </c>
      <c r="G5260" s="2">
        <v>2.1100000000000001E-2</v>
      </c>
      <c r="H5260" s="2">
        <v>0.02</v>
      </c>
      <c r="I5260" s="2">
        <v>6.7999999999999996E-3</v>
      </c>
      <c r="J5260" s="2">
        <v>1.5599999999999999E-2</v>
      </c>
      <c r="L5260" s="2">
        <v>2.5000000000000001E-3</v>
      </c>
      <c r="P5260">
        <v>745</v>
      </c>
    </row>
    <row r="5261" spans="1:16" x14ac:dyDescent="0.35">
      <c r="A5261" t="s">
        <v>228</v>
      </c>
      <c r="B5261" t="s">
        <v>228</v>
      </c>
      <c r="C5261" s="2">
        <v>0.71640000000000004</v>
      </c>
      <c r="D5261" s="2">
        <v>0.16869999999999999</v>
      </c>
      <c r="E5261" s="2">
        <v>4.9599999999999998E-2</v>
      </c>
      <c r="F5261" s="2">
        <v>3.0700000000000002E-2</v>
      </c>
      <c r="G5261" s="2">
        <v>2.1999999999999999E-2</v>
      </c>
      <c r="H5261" s="2">
        <v>1.72E-2</v>
      </c>
      <c r="I5261" s="2">
        <v>8.8999999999999999E-3</v>
      </c>
      <c r="J5261" s="2">
        <v>8.2000000000000007E-3</v>
      </c>
      <c r="K5261" s="2">
        <v>3.2000000000000002E-3</v>
      </c>
      <c r="L5261" s="2">
        <v>1.6999999999999999E-3</v>
      </c>
      <c r="M5261" s="2">
        <v>1.6999999999999999E-3</v>
      </c>
      <c r="N5261" s="2">
        <v>8.9999999999999998E-4</v>
      </c>
      <c r="O5261" s="2">
        <v>6.9999999999999999E-4</v>
      </c>
      <c r="P5261">
        <v>2741</v>
      </c>
    </row>
    <row r="5263" spans="1:16" x14ac:dyDescent="0.35">
      <c r="A5263" s="1" t="s">
        <v>1509</v>
      </c>
    </row>
    <row r="5264" spans="1:16" x14ac:dyDescent="0.35">
      <c r="A5264" t="s">
        <v>219</v>
      </c>
      <c r="B5264" t="s">
        <v>301</v>
      </c>
      <c r="C5264" t="s">
        <v>540</v>
      </c>
      <c r="D5264" t="s">
        <v>277</v>
      </c>
      <c r="E5264" t="s">
        <v>1397</v>
      </c>
      <c r="F5264" t="s">
        <v>1396</v>
      </c>
      <c r="G5264" t="s">
        <v>1395</v>
      </c>
      <c r="H5264" t="s">
        <v>1398</v>
      </c>
      <c r="I5264" t="s">
        <v>1497</v>
      </c>
      <c r="J5264" t="s">
        <v>1498</v>
      </c>
      <c r="K5264" t="s">
        <v>282</v>
      </c>
      <c r="L5264" t="s">
        <v>1400</v>
      </c>
      <c r="M5264" t="s">
        <v>318</v>
      </c>
      <c r="N5264" t="s">
        <v>1402</v>
      </c>
      <c r="O5264" t="s">
        <v>1401</v>
      </c>
      <c r="P5264" t="s">
        <v>226</v>
      </c>
    </row>
    <row r="5265" spans="1:16" x14ac:dyDescent="0.35">
      <c r="A5265" t="s">
        <v>227</v>
      </c>
      <c r="B5265" t="s">
        <v>251</v>
      </c>
      <c r="C5265" s="2">
        <v>0.71150000000000002</v>
      </c>
      <c r="D5265" s="2">
        <v>0.1812</v>
      </c>
      <c r="E5265" s="2">
        <v>4.4499999999999998E-2</v>
      </c>
      <c r="F5265" s="2">
        <v>2.8899999999999999E-2</v>
      </c>
      <c r="G5265" s="2">
        <v>1.3599999999999999E-2</v>
      </c>
      <c r="H5265" s="2">
        <v>1.35E-2</v>
      </c>
      <c r="I5265" s="2">
        <v>1.17E-2</v>
      </c>
      <c r="J5265" s="2">
        <v>1.0200000000000001E-2</v>
      </c>
      <c r="K5265" s="2">
        <v>4.4000000000000003E-3</v>
      </c>
      <c r="L5265" s="2">
        <v>2.3E-3</v>
      </c>
      <c r="M5265" s="2">
        <v>6.9999999999999999E-4</v>
      </c>
      <c r="N5265" s="2">
        <v>1.1999999999999999E-3</v>
      </c>
      <c r="O5265" s="2">
        <v>1E-3</v>
      </c>
      <c r="P5265">
        <v>1978</v>
      </c>
    </row>
    <row r="5266" spans="1:16" x14ac:dyDescent="0.35">
      <c r="A5266" t="s">
        <v>227</v>
      </c>
      <c r="B5266" t="s">
        <v>252</v>
      </c>
      <c r="C5266" s="2">
        <v>0.75019999999999998</v>
      </c>
      <c r="D5266" s="2">
        <v>0.12809999999999999</v>
      </c>
      <c r="E5266" s="2">
        <v>5.4100000000000002E-2</v>
      </c>
      <c r="F5266" s="2">
        <v>3.0099999999999998E-2</v>
      </c>
      <c r="G5266" s="2">
        <v>4.4499999999999998E-2</v>
      </c>
      <c r="H5266" s="2">
        <v>1.8800000000000001E-2</v>
      </c>
      <c r="I5266" s="2">
        <v>8.9999999999999998E-4</v>
      </c>
      <c r="J5266" s="2">
        <v>3.0000000000000001E-3</v>
      </c>
      <c r="M5266" s="2">
        <v>8.9999999999999998E-4</v>
      </c>
      <c r="O5266" s="2">
        <v>2.0000000000000001E-4</v>
      </c>
      <c r="P5266">
        <v>604</v>
      </c>
    </row>
    <row r="5267" spans="1:16" x14ac:dyDescent="0.35">
      <c r="A5267" t="s">
        <v>227</v>
      </c>
      <c r="B5267" t="s">
        <v>253</v>
      </c>
      <c r="C5267" s="2">
        <v>0.62819999999999998</v>
      </c>
      <c r="D5267" s="2">
        <v>0.17929999999999999</v>
      </c>
      <c r="E5267" s="2">
        <v>0.1019</v>
      </c>
      <c r="F5267" s="2">
        <v>5.9700000000000003E-2</v>
      </c>
      <c r="G5267" s="2">
        <v>3.9699999999999999E-2</v>
      </c>
      <c r="H5267" s="2">
        <v>6.2399999999999997E-2</v>
      </c>
      <c r="I5267" s="2">
        <v>5.4999999999999997E-3</v>
      </c>
      <c r="J5267" s="2">
        <v>3.8999999999999998E-3</v>
      </c>
      <c r="M5267" s="2">
        <v>1.8200000000000001E-2</v>
      </c>
      <c r="P5267">
        <v>150</v>
      </c>
    </row>
    <row r="5268" spans="1:16" x14ac:dyDescent="0.35">
      <c r="A5268" s="3" t="s">
        <v>227</v>
      </c>
      <c r="B5268" s="3" t="s">
        <v>254</v>
      </c>
      <c r="C5268" s="4">
        <v>0.98570000000000002</v>
      </c>
      <c r="D5268" s="5"/>
      <c r="E5268" s="5"/>
      <c r="F5268" s="5"/>
      <c r="G5268" s="5"/>
      <c r="H5268" s="5"/>
      <c r="I5268" s="5"/>
      <c r="J5268" s="5"/>
      <c r="K5268" s="4">
        <v>1.43E-2</v>
      </c>
      <c r="L5268" s="5"/>
      <c r="M5268" s="5"/>
      <c r="N5268" s="5"/>
      <c r="O5268" s="5"/>
      <c r="P5268" s="5" t="s">
        <v>515</v>
      </c>
    </row>
    <row r="5269" spans="1:16" x14ac:dyDescent="0.35">
      <c r="A5269" t="s">
        <v>228</v>
      </c>
      <c r="B5269" t="s">
        <v>228</v>
      </c>
      <c r="C5269" s="2">
        <v>0.71640000000000004</v>
      </c>
      <c r="D5269" s="2">
        <v>0.16869999999999999</v>
      </c>
      <c r="E5269" s="2">
        <v>4.9599999999999998E-2</v>
      </c>
      <c r="F5269" s="2">
        <v>3.0700000000000002E-2</v>
      </c>
      <c r="G5269" s="2">
        <v>2.1999999999999999E-2</v>
      </c>
      <c r="H5269" s="2">
        <v>1.72E-2</v>
      </c>
      <c r="I5269" s="2">
        <v>8.8999999999999999E-3</v>
      </c>
      <c r="J5269" s="2">
        <v>8.2000000000000007E-3</v>
      </c>
      <c r="K5269" s="2">
        <v>3.2000000000000002E-3</v>
      </c>
      <c r="L5269" s="2">
        <v>1.6999999999999999E-3</v>
      </c>
      <c r="M5269" s="2">
        <v>1.6999999999999999E-3</v>
      </c>
      <c r="N5269" s="2">
        <v>8.9999999999999998E-4</v>
      </c>
      <c r="O5269" s="2">
        <v>6.9999999999999999E-4</v>
      </c>
      <c r="P5269">
        <v>2741</v>
      </c>
    </row>
    <row r="5271" spans="1:16" x14ac:dyDescent="0.35">
      <c r="A5271" s="1" t="s">
        <v>1510</v>
      </c>
    </row>
    <row r="5272" spans="1:16" x14ac:dyDescent="0.35">
      <c r="A5272" t="s">
        <v>219</v>
      </c>
      <c r="B5272" t="s">
        <v>301</v>
      </c>
      <c r="C5272" t="s">
        <v>540</v>
      </c>
      <c r="D5272" t="s">
        <v>277</v>
      </c>
      <c r="E5272" t="s">
        <v>1397</v>
      </c>
      <c r="F5272" t="s">
        <v>1396</v>
      </c>
      <c r="G5272" t="s">
        <v>1395</v>
      </c>
      <c r="H5272" t="s">
        <v>1398</v>
      </c>
      <c r="I5272" t="s">
        <v>1497</v>
      </c>
      <c r="J5272" t="s">
        <v>1498</v>
      </c>
      <c r="K5272" t="s">
        <v>282</v>
      </c>
      <c r="L5272" t="s">
        <v>1400</v>
      </c>
      <c r="M5272" t="s">
        <v>318</v>
      </c>
      <c r="N5272" t="s">
        <v>1402</v>
      </c>
      <c r="O5272" t="s">
        <v>1401</v>
      </c>
      <c r="P5272" t="s">
        <v>226</v>
      </c>
    </row>
    <row r="5273" spans="1:16" x14ac:dyDescent="0.35">
      <c r="A5273" t="s">
        <v>227</v>
      </c>
      <c r="B5273" t="s">
        <v>1335</v>
      </c>
      <c r="C5273" s="2">
        <v>0.72629999999999995</v>
      </c>
      <c r="D5273" s="2">
        <v>0.16930000000000001</v>
      </c>
      <c r="E5273" s="2">
        <v>4.1399999999999999E-2</v>
      </c>
      <c r="F5273" s="2">
        <v>2.86E-2</v>
      </c>
      <c r="G5273" s="2">
        <v>1.6199999999999999E-2</v>
      </c>
      <c r="H5273" s="2">
        <v>1.4500000000000001E-2</v>
      </c>
      <c r="I5273" s="2">
        <v>1.43E-2</v>
      </c>
      <c r="J5273" s="2">
        <v>5.4999999999999997E-3</v>
      </c>
      <c r="K5273" s="2">
        <v>5.1999999999999998E-3</v>
      </c>
      <c r="L5273" s="2">
        <v>1.9E-3</v>
      </c>
      <c r="M5273" s="2">
        <v>2.2000000000000001E-3</v>
      </c>
      <c r="N5273" s="2">
        <v>2.9999999999999997E-4</v>
      </c>
      <c r="O5273" s="2">
        <v>2.0999999999999999E-3</v>
      </c>
      <c r="P5273">
        <v>821</v>
      </c>
    </row>
    <row r="5274" spans="1:16" x14ac:dyDescent="0.35">
      <c r="A5274" s="3" t="s">
        <v>227</v>
      </c>
      <c r="B5274" s="3" t="s">
        <v>1336</v>
      </c>
      <c r="C5274" s="4">
        <v>1</v>
      </c>
      <c r="D5274" s="5"/>
      <c r="E5274" s="5"/>
      <c r="F5274" s="5"/>
      <c r="G5274" s="5"/>
      <c r="H5274" s="5"/>
      <c r="I5274" s="5"/>
      <c r="J5274" s="5"/>
      <c r="K5274" s="5"/>
      <c r="L5274" s="5"/>
      <c r="M5274" s="5"/>
      <c r="N5274" s="5"/>
      <c r="O5274" s="5"/>
      <c r="P5274" s="5" t="s">
        <v>434</v>
      </c>
    </row>
    <row r="5275" spans="1:16" x14ac:dyDescent="0.35">
      <c r="A5275" t="s">
        <v>227</v>
      </c>
      <c r="B5275" t="s">
        <v>1337</v>
      </c>
      <c r="C5275" s="2">
        <v>0.7107</v>
      </c>
      <c r="D5275" s="2">
        <v>0.16880000000000001</v>
      </c>
      <c r="E5275" s="2">
        <v>5.3900000000000003E-2</v>
      </c>
      <c r="F5275" s="2">
        <v>3.1899999999999998E-2</v>
      </c>
      <c r="G5275" s="2">
        <v>2.4899999999999999E-2</v>
      </c>
      <c r="H5275" s="2">
        <v>1.8599999999999998E-2</v>
      </c>
      <c r="I5275" s="2">
        <v>6.1999999999999998E-3</v>
      </c>
      <c r="J5275" s="2">
        <v>9.4999999999999998E-3</v>
      </c>
      <c r="K5275" s="2">
        <v>2.2000000000000001E-3</v>
      </c>
      <c r="L5275" s="2">
        <v>1.6000000000000001E-3</v>
      </c>
      <c r="M5275" s="2">
        <v>1.4E-3</v>
      </c>
      <c r="N5275" s="2">
        <v>1.1000000000000001E-3</v>
      </c>
      <c r="O5275" s="2">
        <v>1E-4</v>
      </c>
      <c r="P5275">
        <v>1918</v>
      </c>
    </row>
    <row r="5276" spans="1:16" x14ac:dyDescent="0.35">
      <c r="A5276" t="s">
        <v>228</v>
      </c>
      <c r="B5276" t="s">
        <v>228</v>
      </c>
      <c r="C5276" s="2">
        <v>0.71640000000000004</v>
      </c>
      <c r="D5276" s="2">
        <v>0.16869999999999999</v>
      </c>
      <c r="E5276" s="2">
        <v>4.9599999999999998E-2</v>
      </c>
      <c r="F5276" s="2">
        <v>3.0700000000000002E-2</v>
      </c>
      <c r="G5276" s="2">
        <v>2.1999999999999999E-2</v>
      </c>
      <c r="H5276" s="2">
        <v>1.72E-2</v>
      </c>
      <c r="I5276" s="2">
        <v>8.8999999999999999E-3</v>
      </c>
      <c r="J5276" s="2">
        <v>8.2000000000000007E-3</v>
      </c>
      <c r="K5276" s="2">
        <v>3.2000000000000002E-3</v>
      </c>
      <c r="L5276" s="2">
        <v>1.6999999999999999E-3</v>
      </c>
      <c r="M5276" s="2">
        <v>1.6999999999999999E-3</v>
      </c>
      <c r="N5276" s="2">
        <v>8.9999999999999998E-4</v>
      </c>
      <c r="O5276" s="2">
        <v>6.9999999999999999E-4</v>
      </c>
      <c r="P5276">
        <v>2741</v>
      </c>
    </row>
    <row r="5278" spans="1:16" x14ac:dyDescent="0.35">
      <c r="A5278" s="1" t="s">
        <v>1511</v>
      </c>
    </row>
    <row r="5279" spans="1:16" x14ac:dyDescent="0.35">
      <c r="A5279" t="s">
        <v>219</v>
      </c>
      <c r="B5279" t="s">
        <v>301</v>
      </c>
      <c r="C5279" t="s">
        <v>540</v>
      </c>
      <c r="D5279" t="s">
        <v>277</v>
      </c>
      <c r="E5279" t="s">
        <v>1397</v>
      </c>
      <c r="F5279" t="s">
        <v>1396</v>
      </c>
      <c r="G5279" t="s">
        <v>1395</v>
      </c>
      <c r="H5279" t="s">
        <v>1398</v>
      </c>
      <c r="I5279" t="s">
        <v>1497</v>
      </c>
      <c r="J5279" t="s">
        <v>1498</v>
      </c>
      <c r="K5279" t="s">
        <v>282</v>
      </c>
      <c r="L5279" t="s">
        <v>1400</v>
      </c>
      <c r="M5279" t="s">
        <v>318</v>
      </c>
      <c r="N5279" t="s">
        <v>1402</v>
      </c>
      <c r="O5279" t="s">
        <v>1401</v>
      </c>
      <c r="P5279" t="s">
        <v>226</v>
      </c>
    </row>
    <row r="5280" spans="1:16" x14ac:dyDescent="0.35">
      <c r="A5280" t="s">
        <v>227</v>
      </c>
      <c r="B5280" t="s">
        <v>1339</v>
      </c>
      <c r="C5280" s="2">
        <v>0.64329999999999998</v>
      </c>
      <c r="D5280" s="2">
        <v>8.7300000000000003E-2</v>
      </c>
      <c r="E5280" s="2">
        <v>4.4200000000000003E-2</v>
      </c>
      <c r="F5280" s="2">
        <v>8.7400000000000005E-2</v>
      </c>
      <c r="G5280" s="2">
        <v>5.8999999999999999E-3</v>
      </c>
      <c r="H5280" s="2">
        <v>0.124</v>
      </c>
      <c r="J5280" s="2">
        <v>2.98E-2</v>
      </c>
      <c r="P5280">
        <v>49</v>
      </c>
    </row>
    <row r="5281" spans="1:17" x14ac:dyDescent="0.35">
      <c r="A5281" t="s">
        <v>227</v>
      </c>
      <c r="B5281" t="s">
        <v>1340</v>
      </c>
      <c r="C5281" s="2">
        <v>0.66990000000000005</v>
      </c>
      <c r="D5281" s="2">
        <v>0.1472</v>
      </c>
      <c r="E5281" s="2">
        <v>7.85E-2</v>
      </c>
      <c r="F5281" s="2">
        <v>5.4399999999999997E-2</v>
      </c>
      <c r="G5281" s="2">
        <v>4.5100000000000001E-2</v>
      </c>
      <c r="H5281" s="2">
        <v>2.0400000000000001E-2</v>
      </c>
      <c r="I5281" s="2">
        <v>0.01</v>
      </c>
      <c r="J5281" s="2">
        <v>1.4999999999999999E-2</v>
      </c>
      <c r="K5281" s="2">
        <v>2.0000000000000001E-4</v>
      </c>
      <c r="L5281" s="2">
        <v>3.3E-3</v>
      </c>
      <c r="M5281" s="2">
        <v>3.0000000000000001E-3</v>
      </c>
      <c r="N5281" s="2">
        <v>3.0999999999999999E-3</v>
      </c>
      <c r="P5281">
        <v>713</v>
      </c>
    </row>
    <row r="5282" spans="1:17" x14ac:dyDescent="0.35">
      <c r="A5282" t="s">
        <v>227</v>
      </c>
      <c r="B5282" t="s">
        <v>1341</v>
      </c>
      <c r="C5282" s="2">
        <v>0.71989999999999998</v>
      </c>
      <c r="D5282" s="2">
        <v>0.16889999999999999</v>
      </c>
      <c r="E5282" s="2">
        <v>5.6000000000000001E-2</v>
      </c>
      <c r="F5282" s="2">
        <v>3.0599999999999999E-2</v>
      </c>
      <c r="G5282" s="2">
        <v>1.9E-2</v>
      </c>
      <c r="H5282" s="2">
        <v>1.7899999999999999E-2</v>
      </c>
      <c r="I5282" s="2">
        <v>8.8999999999999999E-3</v>
      </c>
      <c r="J5282" s="2">
        <v>7.3000000000000001E-3</v>
      </c>
      <c r="K5282" s="2">
        <v>2.0000000000000001E-4</v>
      </c>
      <c r="L5282" s="2">
        <v>1.2999999999999999E-3</v>
      </c>
      <c r="M5282" s="2">
        <v>1.9E-3</v>
      </c>
      <c r="N5282" s="2">
        <v>2.0000000000000001E-4</v>
      </c>
      <c r="O5282" s="2">
        <v>1.4E-3</v>
      </c>
      <c r="P5282">
        <v>1306</v>
      </c>
    </row>
    <row r="5283" spans="1:17" x14ac:dyDescent="0.35">
      <c r="A5283" t="s">
        <v>227</v>
      </c>
      <c r="B5283" t="s">
        <v>1342</v>
      </c>
      <c r="C5283" s="2">
        <v>0.76319999999999999</v>
      </c>
      <c r="D5283" s="2">
        <v>0.19800000000000001</v>
      </c>
      <c r="E5283" s="2">
        <v>6.7999999999999996E-3</v>
      </c>
      <c r="F5283" s="2">
        <v>1.4E-3</v>
      </c>
      <c r="G5283" s="2">
        <v>6.4000000000000003E-3</v>
      </c>
      <c r="H5283" s="2">
        <v>2.5000000000000001E-3</v>
      </c>
      <c r="I5283" s="2">
        <v>8.6999999999999994E-3</v>
      </c>
      <c r="J5283" s="2">
        <v>1.1999999999999999E-3</v>
      </c>
      <c r="K5283" s="2">
        <v>1.2999999999999999E-2</v>
      </c>
      <c r="L5283" s="2">
        <v>1.1000000000000001E-3</v>
      </c>
      <c r="N5283" s="2">
        <v>1E-4</v>
      </c>
      <c r="O5283" s="2">
        <v>2.0000000000000001E-4</v>
      </c>
      <c r="P5283">
        <v>673</v>
      </c>
    </row>
    <row r="5284" spans="1:17" x14ac:dyDescent="0.35">
      <c r="A5284" t="s">
        <v>228</v>
      </c>
      <c r="B5284" t="s">
        <v>228</v>
      </c>
      <c r="C5284" s="2">
        <v>0.71640000000000004</v>
      </c>
      <c r="D5284" s="2">
        <v>0.16869999999999999</v>
      </c>
      <c r="E5284" s="2">
        <v>4.9599999999999998E-2</v>
      </c>
      <c r="F5284" s="2">
        <v>3.0700000000000002E-2</v>
      </c>
      <c r="G5284" s="2">
        <v>2.1999999999999999E-2</v>
      </c>
      <c r="H5284" s="2">
        <v>1.72E-2</v>
      </c>
      <c r="I5284" s="2">
        <v>8.8999999999999999E-3</v>
      </c>
      <c r="J5284" s="2">
        <v>8.2000000000000007E-3</v>
      </c>
      <c r="K5284" s="2">
        <v>3.2000000000000002E-3</v>
      </c>
      <c r="L5284" s="2">
        <v>1.6999999999999999E-3</v>
      </c>
      <c r="M5284" s="2">
        <v>1.6999999999999999E-3</v>
      </c>
      <c r="N5284" s="2">
        <v>8.9999999999999998E-4</v>
      </c>
      <c r="O5284" s="2">
        <v>6.9999999999999999E-4</v>
      </c>
      <c r="P5284">
        <v>2741</v>
      </c>
    </row>
    <row r="5286" spans="1:17" x14ac:dyDescent="0.35">
      <c r="A5286" s="1" t="s">
        <v>1512</v>
      </c>
    </row>
    <row r="5287" spans="1:17" x14ac:dyDescent="0.35">
      <c r="A5287" t="s">
        <v>219</v>
      </c>
      <c r="B5287" t="s">
        <v>301</v>
      </c>
      <c r="C5287" t="s">
        <v>325</v>
      </c>
      <c r="D5287" t="s">
        <v>540</v>
      </c>
      <c r="E5287" t="s">
        <v>277</v>
      </c>
      <c r="F5287" t="s">
        <v>1397</v>
      </c>
      <c r="G5287" t="s">
        <v>1396</v>
      </c>
      <c r="H5287" t="s">
        <v>1395</v>
      </c>
      <c r="I5287" t="s">
        <v>1398</v>
      </c>
      <c r="J5287" t="s">
        <v>1497</v>
      </c>
      <c r="K5287" t="s">
        <v>1498</v>
      </c>
      <c r="L5287" t="s">
        <v>282</v>
      </c>
      <c r="M5287" t="s">
        <v>1400</v>
      </c>
      <c r="N5287" t="s">
        <v>318</v>
      </c>
      <c r="O5287" t="s">
        <v>1402</v>
      </c>
      <c r="P5287" t="s">
        <v>1401</v>
      </c>
      <c r="Q5287" t="s">
        <v>226</v>
      </c>
    </row>
    <row r="5288" spans="1:17" x14ac:dyDescent="0.35">
      <c r="A5288" s="3" t="s">
        <v>227</v>
      </c>
      <c r="B5288" s="3" t="s">
        <v>1335</v>
      </c>
      <c r="C5288" s="3" t="s">
        <v>1339</v>
      </c>
      <c r="D5288" s="4">
        <v>0.80389999999999995</v>
      </c>
      <c r="E5288" s="4">
        <v>4.19E-2</v>
      </c>
      <c r="F5288" s="4">
        <v>0.113</v>
      </c>
      <c r="G5288" s="4">
        <v>1.72E-2</v>
      </c>
      <c r="H5288" s="4">
        <v>1.72E-2</v>
      </c>
      <c r="I5288" s="4">
        <v>4.7699999999999999E-2</v>
      </c>
      <c r="J5288" s="5"/>
      <c r="K5288" s="5"/>
      <c r="L5288" s="5"/>
      <c r="M5288" s="5"/>
      <c r="N5288" s="5"/>
      <c r="O5288" s="5"/>
      <c r="P5288" s="5"/>
      <c r="Q5288" s="5" t="s">
        <v>429</v>
      </c>
    </row>
    <row r="5289" spans="1:17" x14ac:dyDescent="0.35">
      <c r="A5289" t="s">
        <v>227</v>
      </c>
      <c r="B5289" t="s">
        <v>1335</v>
      </c>
      <c r="C5289" t="s">
        <v>1340</v>
      </c>
      <c r="D5289" s="2">
        <v>0.6976</v>
      </c>
      <c r="E5289" s="2">
        <v>0.15570000000000001</v>
      </c>
      <c r="F5289" s="2">
        <v>7.6399999999999996E-2</v>
      </c>
      <c r="G5289" s="2">
        <v>5.16E-2</v>
      </c>
      <c r="H5289" s="2">
        <v>1.7000000000000001E-2</v>
      </c>
      <c r="I5289" s="2">
        <v>1.46E-2</v>
      </c>
      <c r="J5289" s="2">
        <v>1.0999999999999999E-2</v>
      </c>
      <c r="K5289" s="2">
        <v>3.0000000000000001E-3</v>
      </c>
      <c r="N5289" s="2">
        <v>8.3000000000000001E-3</v>
      </c>
      <c r="Q5289">
        <v>246</v>
      </c>
    </row>
    <row r="5290" spans="1:17" x14ac:dyDescent="0.35">
      <c r="A5290" t="s">
        <v>227</v>
      </c>
      <c r="B5290" t="s">
        <v>1335</v>
      </c>
      <c r="C5290" t="s">
        <v>1341</v>
      </c>
      <c r="D5290" s="2">
        <v>0.72419999999999995</v>
      </c>
      <c r="E5290" s="2">
        <v>0.17499999999999999</v>
      </c>
      <c r="F5290" s="2">
        <v>3.4000000000000002E-2</v>
      </c>
      <c r="G5290" s="2">
        <v>2.76E-2</v>
      </c>
      <c r="H5290" s="2">
        <v>2.1000000000000001E-2</v>
      </c>
      <c r="I5290" s="2">
        <v>1.84E-2</v>
      </c>
      <c r="J5290" s="2">
        <v>1.5800000000000002E-2</v>
      </c>
      <c r="K5290" s="2">
        <v>9.1000000000000004E-3</v>
      </c>
      <c r="L5290" s="2">
        <v>2.0000000000000001E-4</v>
      </c>
      <c r="M5290" s="2">
        <v>3.5999999999999999E-3</v>
      </c>
      <c r="O5290" s="2">
        <v>5.9999999999999995E-4</v>
      </c>
      <c r="P5290" s="2">
        <v>3.8999999999999998E-3</v>
      </c>
      <c r="Q5290">
        <v>403</v>
      </c>
    </row>
    <row r="5291" spans="1:17" x14ac:dyDescent="0.35">
      <c r="A5291" t="s">
        <v>227</v>
      </c>
      <c r="B5291" t="s">
        <v>1335</v>
      </c>
      <c r="C5291" t="s">
        <v>1342</v>
      </c>
      <c r="D5291" s="2">
        <v>0.76149999999999995</v>
      </c>
      <c r="E5291" s="2">
        <v>0.187</v>
      </c>
      <c r="F5291" s="2">
        <v>6.1000000000000004E-3</v>
      </c>
      <c r="G5291" s="2">
        <v>1.8E-3</v>
      </c>
      <c r="H5291" s="2">
        <v>2.2000000000000001E-3</v>
      </c>
      <c r="J5291" s="2">
        <v>1.6400000000000001E-2</v>
      </c>
      <c r="L5291" s="2">
        <v>2.6499999999999999E-2</v>
      </c>
      <c r="Q5291">
        <v>153</v>
      </c>
    </row>
    <row r="5292" spans="1:17" x14ac:dyDescent="0.35">
      <c r="A5292" s="3" t="s">
        <v>227</v>
      </c>
      <c r="B5292" s="3" t="s">
        <v>1336</v>
      </c>
      <c r="C5292" s="3" t="s">
        <v>1341</v>
      </c>
      <c r="D5292" s="4">
        <v>1</v>
      </c>
      <c r="E5292" s="5"/>
      <c r="F5292" s="5"/>
      <c r="G5292" s="5"/>
      <c r="H5292" s="5"/>
      <c r="I5292" s="5"/>
      <c r="J5292" s="5"/>
      <c r="K5292" s="5"/>
      <c r="L5292" s="5"/>
      <c r="M5292" s="5"/>
      <c r="N5292" s="5"/>
      <c r="O5292" s="5"/>
      <c r="P5292" s="5"/>
      <c r="Q5292" s="5" t="s">
        <v>434</v>
      </c>
    </row>
    <row r="5293" spans="1:17" x14ac:dyDescent="0.35">
      <c r="A5293" t="s">
        <v>227</v>
      </c>
      <c r="B5293" t="s">
        <v>1337</v>
      </c>
      <c r="C5293" t="s">
        <v>1339</v>
      </c>
      <c r="D5293" s="2">
        <v>0.55869999999999997</v>
      </c>
      <c r="E5293" s="2">
        <v>0.1113</v>
      </c>
      <c r="F5293" s="2">
        <v>7.9000000000000008E-3</v>
      </c>
      <c r="G5293" s="2">
        <v>0.12429999999999999</v>
      </c>
      <c r="I5293" s="2">
        <v>0.1643</v>
      </c>
      <c r="K5293" s="2">
        <v>4.5600000000000002E-2</v>
      </c>
      <c r="Q5293">
        <v>30</v>
      </c>
    </row>
    <row r="5294" spans="1:17" x14ac:dyDescent="0.35">
      <c r="A5294" t="s">
        <v>227</v>
      </c>
      <c r="B5294" t="s">
        <v>1337</v>
      </c>
      <c r="C5294" t="s">
        <v>1340</v>
      </c>
      <c r="D5294" s="2">
        <v>0.65400000000000003</v>
      </c>
      <c r="E5294" s="2">
        <v>0.14230000000000001</v>
      </c>
      <c r="F5294" s="2">
        <v>7.9699999999999993E-2</v>
      </c>
      <c r="G5294" s="2">
        <v>5.6000000000000001E-2</v>
      </c>
      <c r="H5294" s="2">
        <v>6.13E-2</v>
      </c>
      <c r="I5294" s="2">
        <v>2.3699999999999999E-2</v>
      </c>
      <c r="J5294" s="2">
        <v>9.4000000000000004E-3</v>
      </c>
      <c r="K5294" s="2">
        <v>2.18E-2</v>
      </c>
      <c r="L5294" s="2">
        <v>2.9999999999999997E-4</v>
      </c>
      <c r="M5294" s="2">
        <v>5.1999999999999998E-3</v>
      </c>
      <c r="O5294" s="2">
        <v>4.7999999999999996E-3</v>
      </c>
      <c r="Q5294">
        <v>467</v>
      </c>
    </row>
    <row r="5295" spans="1:17" x14ac:dyDescent="0.35">
      <c r="A5295" t="s">
        <v>227</v>
      </c>
      <c r="B5295" t="s">
        <v>1337</v>
      </c>
      <c r="C5295" t="s">
        <v>1341</v>
      </c>
      <c r="D5295" s="2">
        <v>0.71619999999999995</v>
      </c>
      <c r="E5295" s="2">
        <v>0.16650000000000001</v>
      </c>
      <c r="F5295" s="2">
        <v>6.7900000000000002E-2</v>
      </c>
      <c r="G5295" s="2">
        <v>3.2399999999999998E-2</v>
      </c>
      <c r="H5295" s="2">
        <v>1.7999999999999999E-2</v>
      </c>
      <c r="I5295" s="2">
        <v>1.77E-2</v>
      </c>
      <c r="J5295" s="2">
        <v>5.3E-3</v>
      </c>
      <c r="K5295" s="2">
        <v>6.4000000000000003E-3</v>
      </c>
      <c r="L5295" s="2">
        <v>2.9999999999999997E-4</v>
      </c>
      <c r="N5295" s="2">
        <v>2.8999999999999998E-3</v>
      </c>
      <c r="Q5295">
        <v>901</v>
      </c>
    </row>
    <row r="5296" spans="1:17" x14ac:dyDescent="0.35">
      <c r="A5296" t="s">
        <v>227</v>
      </c>
      <c r="B5296" t="s">
        <v>1337</v>
      </c>
      <c r="C5296" t="s">
        <v>1342</v>
      </c>
      <c r="D5296" s="2">
        <v>0.76390000000000002</v>
      </c>
      <c r="E5296" s="2">
        <v>0.20219999999999999</v>
      </c>
      <c r="F5296" s="2">
        <v>7.1000000000000004E-3</v>
      </c>
      <c r="G5296" s="2">
        <v>1.1999999999999999E-3</v>
      </c>
      <c r="H5296" s="2">
        <v>8.0000000000000002E-3</v>
      </c>
      <c r="I5296" s="2">
        <v>3.3999999999999998E-3</v>
      </c>
      <c r="J5296" s="2">
        <v>5.7000000000000002E-3</v>
      </c>
      <c r="K5296" s="2">
        <v>1.6000000000000001E-3</v>
      </c>
      <c r="L5296" s="2">
        <v>7.7999999999999996E-3</v>
      </c>
      <c r="M5296" s="2">
        <v>1.6000000000000001E-3</v>
      </c>
      <c r="O5296" s="2">
        <v>2.0000000000000001E-4</v>
      </c>
      <c r="P5296" s="2">
        <v>2.9999999999999997E-4</v>
      </c>
      <c r="Q5296">
        <v>520</v>
      </c>
    </row>
    <row r="5297" spans="1:17" x14ac:dyDescent="0.35">
      <c r="A5297" t="s">
        <v>228</v>
      </c>
      <c r="B5297" t="s">
        <v>228</v>
      </c>
      <c r="C5297" t="s">
        <v>228</v>
      </c>
      <c r="D5297" s="2">
        <v>0.71640000000000004</v>
      </c>
      <c r="E5297" s="2">
        <v>0.16869999999999999</v>
      </c>
      <c r="F5297" s="2">
        <v>4.9599999999999998E-2</v>
      </c>
      <c r="G5297" s="2">
        <v>3.0700000000000002E-2</v>
      </c>
      <c r="H5297" s="2">
        <v>2.1999999999999999E-2</v>
      </c>
      <c r="I5297" s="2">
        <v>1.72E-2</v>
      </c>
      <c r="J5297" s="2">
        <v>8.8999999999999999E-3</v>
      </c>
      <c r="K5297" s="2">
        <v>8.2000000000000007E-3</v>
      </c>
      <c r="L5297" s="2">
        <v>3.2000000000000002E-3</v>
      </c>
      <c r="M5297" s="2">
        <v>1.6999999999999999E-3</v>
      </c>
      <c r="N5297" s="2">
        <v>1.6999999999999999E-3</v>
      </c>
      <c r="O5297" s="2">
        <v>8.9999999999999998E-4</v>
      </c>
      <c r="P5297" s="2">
        <v>6.9999999999999999E-4</v>
      </c>
      <c r="Q5297">
        <v>2741</v>
      </c>
    </row>
    <row r="5299" spans="1:17" x14ac:dyDescent="0.35">
      <c r="A5299" s="1" t="s">
        <v>1513</v>
      </c>
    </row>
    <row r="5300" spans="1:17" x14ac:dyDescent="0.35">
      <c r="A5300" t="s">
        <v>219</v>
      </c>
      <c r="B5300" t="s">
        <v>566</v>
      </c>
      <c r="C5300" t="s">
        <v>570</v>
      </c>
      <c r="D5300" t="s">
        <v>569</v>
      </c>
      <c r="E5300" t="s">
        <v>277</v>
      </c>
      <c r="F5300" t="s">
        <v>568</v>
      </c>
      <c r="G5300" t="s">
        <v>282</v>
      </c>
      <c r="H5300" t="s">
        <v>226</v>
      </c>
    </row>
    <row r="5301" spans="1:17" x14ac:dyDescent="0.35">
      <c r="A5301" t="s">
        <v>227</v>
      </c>
      <c r="B5301" s="2">
        <v>0.69199999999999995</v>
      </c>
      <c r="C5301" s="2">
        <v>0.12130000000000001</v>
      </c>
      <c r="D5301" s="2">
        <v>9.8900000000000002E-2</v>
      </c>
      <c r="E5301" s="2">
        <v>4.8399999999999999E-2</v>
      </c>
      <c r="F5301" s="2">
        <v>3.6999999999999998E-2</v>
      </c>
      <c r="G5301" s="2">
        <v>2.5000000000000001E-3</v>
      </c>
      <c r="H5301">
        <v>1963</v>
      </c>
    </row>
    <row r="5302" spans="1:17" x14ac:dyDescent="0.35">
      <c r="A5302" t="s">
        <v>228</v>
      </c>
      <c r="B5302" s="2">
        <v>0.69199999999999995</v>
      </c>
      <c r="C5302" s="2">
        <v>0.12130000000000001</v>
      </c>
      <c r="D5302" s="2">
        <v>9.8900000000000002E-2</v>
      </c>
      <c r="E5302" s="2">
        <v>4.8399999999999999E-2</v>
      </c>
      <c r="F5302" s="2">
        <v>3.6999999999999998E-2</v>
      </c>
      <c r="G5302" s="2">
        <v>2.5000000000000001E-3</v>
      </c>
      <c r="H5302">
        <v>1963</v>
      </c>
    </row>
    <row r="5304" spans="1:17" x14ac:dyDescent="0.35">
      <c r="A5304" s="1" t="s">
        <v>1514</v>
      </c>
    </row>
    <row r="5305" spans="1:17" x14ac:dyDescent="0.35">
      <c r="A5305" t="s">
        <v>219</v>
      </c>
      <c r="B5305" t="s">
        <v>301</v>
      </c>
      <c r="C5305" t="s">
        <v>566</v>
      </c>
      <c r="D5305" t="s">
        <v>570</v>
      </c>
      <c r="E5305" t="s">
        <v>569</v>
      </c>
      <c r="F5305" t="s">
        <v>277</v>
      </c>
      <c r="G5305" t="s">
        <v>568</v>
      </c>
      <c r="H5305" t="s">
        <v>282</v>
      </c>
      <c r="I5305" t="s">
        <v>226</v>
      </c>
    </row>
    <row r="5306" spans="1:17" x14ac:dyDescent="0.35">
      <c r="A5306" t="s">
        <v>227</v>
      </c>
      <c r="B5306" t="s">
        <v>238</v>
      </c>
      <c r="C5306" s="2">
        <v>0.65339999999999998</v>
      </c>
      <c r="D5306" s="2">
        <v>0.13789999999999999</v>
      </c>
      <c r="E5306" s="2">
        <v>0.11119999999999999</v>
      </c>
      <c r="F5306" s="2">
        <v>6.0100000000000001E-2</v>
      </c>
      <c r="G5306" s="2">
        <v>3.4500000000000003E-2</v>
      </c>
      <c r="H5306" s="2">
        <v>2.8E-3</v>
      </c>
      <c r="I5306">
        <v>745</v>
      </c>
    </row>
    <row r="5307" spans="1:17" x14ac:dyDescent="0.35">
      <c r="A5307" t="s">
        <v>227</v>
      </c>
      <c r="B5307" t="s">
        <v>237</v>
      </c>
      <c r="C5307" s="2">
        <v>0.71689999999999998</v>
      </c>
      <c r="D5307" s="2">
        <v>0.1106</v>
      </c>
      <c r="E5307" s="2">
        <v>9.0899999999999995E-2</v>
      </c>
      <c r="F5307" s="2">
        <v>4.0800000000000003E-2</v>
      </c>
      <c r="G5307" s="2">
        <v>3.8600000000000002E-2</v>
      </c>
      <c r="H5307" s="2">
        <v>2.2000000000000001E-3</v>
      </c>
      <c r="I5307">
        <v>1218</v>
      </c>
    </row>
    <row r="5308" spans="1:17" x14ac:dyDescent="0.35">
      <c r="A5308" t="s">
        <v>228</v>
      </c>
      <c r="B5308" t="s">
        <v>228</v>
      </c>
      <c r="C5308" s="2">
        <v>0.69199999999999995</v>
      </c>
      <c r="D5308" s="2">
        <v>0.12130000000000001</v>
      </c>
      <c r="E5308" s="2">
        <v>9.8900000000000002E-2</v>
      </c>
      <c r="F5308" s="2">
        <v>4.8399999999999999E-2</v>
      </c>
      <c r="G5308" s="2">
        <v>3.6999999999999998E-2</v>
      </c>
      <c r="H5308" s="2">
        <v>2.5000000000000001E-3</v>
      </c>
      <c r="I5308">
        <v>1963</v>
      </c>
    </row>
    <row r="5310" spans="1:17" x14ac:dyDescent="0.35">
      <c r="A5310" s="1" t="s">
        <v>1515</v>
      </c>
    </row>
    <row r="5311" spans="1:17" x14ac:dyDescent="0.35">
      <c r="A5311" t="s">
        <v>219</v>
      </c>
      <c r="B5311" t="s">
        <v>301</v>
      </c>
      <c r="C5311" t="s">
        <v>566</v>
      </c>
      <c r="D5311" t="s">
        <v>570</v>
      </c>
      <c r="E5311" t="s">
        <v>569</v>
      </c>
      <c r="F5311" t="s">
        <v>277</v>
      </c>
      <c r="G5311" t="s">
        <v>568</v>
      </c>
      <c r="H5311" t="s">
        <v>282</v>
      </c>
      <c r="I5311" t="s">
        <v>226</v>
      </c>
    </row>
    <row r="5312" spans="1:17" x14ac:dyDescent="0.35">
      <c r="A5312" t="s">
        <v>227</v>
      </c>
      <c r="B5312" t="s">
        <v>235</v>
      </c>
      <c r="C5312" s="2">
        <v>0.77049999999999996</v>
      </c>
      <c r="D5312" s="2">
        <v>8.3500000000000005E-2</v>
      </c>
      <c r="E5312" s="2">
        <v>8.1299999999999997E-2</v>
      </c>
      <c r="F5312" s="2">
        <v>0.04</v>
      </c>
      <c r="G5312" s="2">
        <v>2.0899999999999998E-2</v>
      </c>
      <c r="H5312" s="2">
        <v>3.8E-3</v>
      </c>
      <c r="I5312">
        <v>707</v>
      </c>
    </row>
    <row r="5313" spans="1:9" x14ac:dyDescent="0.35">
      <c r="A5313" t="s">
        <v>227</v>
      </c>
      <c r="B5313" t="s">
        <v>234</v>
      </c>
      <c r="C5313" s="2">
        <v>0.65969999999999995</v>
      </c>
      <c r="D5313" s="2">
        <v>0.13689999999999999</v>
      </c>
      <c r="E5313" s="2">
        <v>0.1061</v>
      </c>
      <c r="F5313" s="2">
        <v>5.1799999999999999E-2</v>
      </c>
      <c r="G5313" s="2">
        <v>4.36E-2</v>
      </c>
      <c r="H5313" s="2">
        <v>1.9E-3</v>
      </c>
      <c r="I5313">
        <v>1256</v>
      </c>
    </row>
    <row r="5314" spans="1:9" x14ac:dyDescent="0.35">
      <c r="A5314" t="s">
        <v>228</v>
      </c>
      <c r="B5314" t="s">
        <v>228</v>
      </c>
      <c r="C5314" s="2">
        <v>0.69199999999999995</v>
      </c>
      <c r="D5314" s="2">
        <v>0.12130000000000001</v>
      </c>
      <c r="E5314" s="2">
        <v>9.8900000000000002E-2</v>
      </c>
      <c r="F5314" s="2">
        <v>4.8399999999999999E-2</v>
      </c>
      <c r="G5314" s="2">
        <v>3.6999999999999998E-2</v>
      </c>
      <c r="H5314" s="2">
        <v>2.5000000000000001E-3</v>
      </c>
      <c r="I5314">
        <v>1963</v>
      </c>
    </row>
    <row r="5316" spans="1:9" x14ac:dyDescent="0.35">
      <c r="A5316" s="1" t="s">
        <v>1516</v>
      </c>
    </row>
    <row r="5317" spans="1:9" x14ac:dyDescent="0.35">
      <c r="A5317" t="s">
        <v>219</v>
      </c>
      <c r="B5317" t="s">
        <v>301</v>
      </c>
      <c r="C5317" t="s">
        <v>566</v>
      </c>
      <c r="D5317" t="s">
        <v>570</v>
      </c>
      <c r="E5317" t="s">
        <v>569</v>
      </c>
      <c r="F5317" t="s">
        <v>277</v>
      </c>
      <c r="G5317" t="s">
        <v>568</v>
      </c>
      <c r="H5317" t="s">
        <v>282</v>
      </c>
      <c r="I5317" t="s">
        <v>226</v>
      </c>
    </row>
    <row r="5318" spans="1:9" x14ac:dyDescent="0.35">
      <c r="A5318" t="s">
        <v>227</v>
      </c>
      <c r="B5318" t="s">
        <v>240</v>
      </c>
      <c r="C5318" s="2">
        <v>0.69030000000000002</v>
      </c>
      <c r="D5318" s="2">
        <v>0.13489999999999999</v>
      </c>
      <c r="E5318" s="2">
        <v>9.8199999999999996E-2</v>
      </c>
      <c r="F5318" s="2">
        <v>4.3900000000000002E-2</v>
      </c>
      <c r="G5318" s="2">
        <v>3.2199999999999999E-2</v>
      </c>
      <c r="H5318" s="2">
        <v>5.0000000000000001E-4</v>
      </c>
      <c r="I5318">
        <v>1202</v>
      </c>
    </row>
    <row r="5319" spans="1:9" x14ac:dyDescent="0.35">
      <c r="A5319" t="s">
        <v>227</v>
      </c>
      <c r="B5319" t="s">
        <v>241</v>
      </c>
      <c r="C5319" s="2">
        <v>0.67689999999999995</v>
      </c>
      <c r="D5319" s="2">
        <v>9.0800000000000006E-2</v>
      </c>
      <c r="E5319" s="2">
        <v>0.1094</v>
      </c>
      <c r="F5319" s="2">
        <v>6.6400000000000001E-2</v>
      </c>
      <c r="G5319" s="2">
        <v>4.9799999999999997E-2</v>
      </c>
      <c r="H5319" s="2">
        <v>6.7999999999999996E-3</v>
      </c>
      <c r="I5319">
        <v>647</v>
      </c>
    </row>
    <row r="5320" spans="1:9" x14ac:dyDescent="0.35">
      <c r="A5320" t="s">
        <v>227</v>
      </c>
      <c r="B5320" t="s">
        <v>242</v>
      </c>
      <c r="C5320" s="2">
        <v>0.77649999999999997</v>
      </c>
      <c r="D5320" s="2">
        <v>0.1371</v>
      </c>
      <c r="E5320" s="2">
        <v>5.6899999999999999E-2</v>
      </c>
      <c r="F5320" s="2">
        <v>6.7999999999999996E-3</v>
      </c>
      <c r="G5320" s="2">
        <v>2.2700000000000001E-2</v>
      </c>
      <c r="I5320">
        <v>114</v>
      </c>
    </row>
    <row r="5321" spans="1:9" x14ac:dyDescent="0.35">
      <c r="A5321" t="s">
        <v>228</v>
      </c>
      <c r="B5321" t="s">
        <v>228</v>
      </c>
      <c r="C5321" s="2">
        <v>0.69199999999999995</v>
      </c>
      <c r="D5321" s="2">
        <v>0.12130000000000001</v>
      </c>
      <c r="E5321" s="2">
        <v>9.8900000000000002E-2</v>
      </c>
      <c r="F5321" s="2">
        <v>4.8399999999999999E-2</v>
      </c>
      <c r="G5321" s="2">
        <v>3.6999999999999998E-2</v>
      </c>
      <c r="H5321" s="2">
        <v>2.5000000000000001E-3</v>
      </c>
      <c r="I5321">
        <v>1963</v>
      </c>
    </row>
    <row r="5323" spans="1:9" x14ac:dyDescent="0.35">
      <c r="A5323" s="1" t="s">
        <v>1517</v>
      </c>
    </row>
    <row r="5324" spans="1:9" x14ac:dyDescent="0.35">
      <c r="A5324" t="s">
        <v>219</v>
      </c>
      <c r="B5324" t="s">
        <v>301</v>
      </c>
      <c r="C5324" t="s">
        <v>566</v>
      </c>
      <c r="D5324" t="s">
        <v>570</v>
      </c>
      <c r="E5324" t="s">
        <v>569</v>
      </c>
      <c r="F5324" t="s">
        <v>277</v>
      </c>
      <c r="G5324" t="s">
        <v>568</v>
      </c>
      <c r="H5324" t="s">
        <v>282</v>
      </c>
      <c r="I5324" t="s">
        <v>226</v>
      </c>
    </row>
    <row r="5325" spans="1:9" x14ac:dyDescent="0.35">
      <c r="A5325" t="s">
        <v>227</v>
      </c>
      <c r="B5325" t="s">
        <v>334</v>
      </c>
      <c r="C5325" s="2">
        <v>0.68330000000000002</v>
      </c>
      <c r="D5325" s="2">
        <v>0.1142</v>
      </c>
      <c r="E5325" s="2">
        <v>0.1138</v>
      </c>
      <c r="F5325" s="2">
        <v>5.7700000000000001E-2</v>
      </c>
      <c r="G5325" s="2">
        <v>2.18E-2</v>
      </c>
      <c r="H5325" s="2">
        <v>9.1000000000000004E-3</v>
      </c>
      <c r="I5325">
        <v>474</v>
      </c>
    </row>
    <row r="5326" spans="1:9" x14ac:dyDescent="0.35">
      <c r="A5326" t="s">
        <v>227</v>
      </c>
      <c r="B5326" t="s">
        <v>335</v>
      </c>
      <c r="C5326" s="2">
        <v>0.62439999999999996</v>
      </c>
      <c r="D5326" s="2">
        <v>0.16639999999999999</v>
      </c>
      <c r="E5326" s="2">
        <v>0.1229</v>
      </c>
      <c r="F5326" s="2">
        <v>3.2899999999999999E-2</v>
      </c>
      <c r="G5326" s="2">
        <v>5.3499999999999999E-2</v>
      </c>
      <c r="I5326">
        <v>363</v>
      </c>
    </row>
    <row r="5327" spans="1:9" x14ac:dyDescent="0.35">
      <c r="A5327" t="s">
        <v>227</v>
      </c>
      <c r="B5327" t="s">
        <v>336</v>
      </c>
      <c r="C5327" s="2">
        <v>0.74609999999999999</v>
      </c>
      <c r="D5327" s="2">
        <v>9.6600000000000005E-2</v>
      </c>
      <c r="E5327" s="2">
        <v>7.5999999999999998E-2</v>
      </c>
      <c r="F5327" s="2">
        <v>6.7100000000000007E-2</v>
      </c>
      <c r="G5327" s="2">
        <v>1.4200000000000001E-2</v>
      </c>
      <c r="I5327">
        <v>462</v>
      </c>
    </row>
    <row r="5328" spans="1:9" x14ac:dyDescent="0.35">
      <c r="A5328" t="s">
        <v>227</v>
      </c>
      <c r="B5328" t="s">
        <v>337</v>
      </c>
      <c r="C5328" s="2">
        <v>0.71120000000000005</v>
      </c>
      <c r="D5328" s="2">
        <v>0.1166</v>
      </c>
      <c r="E5328" s="2">
        <v>8.6599999999999996E-2</v>
      </c>
      <c r="F5328" s="2">
        <v>4.0800000000000003E-2</v>
      </c>
      <c r="G5328" s="2">
        <v>4.4400000000000002E-2</v>
      </c>
      <c r="H5328" s="2">
        <v>4.0000000000000002E-4</v>
      </c>
      <c r="I5328">
        <v>431</v>
      </c>
    </row>
    <row r="5329" spans="1:9" x14ac:dyDescent="0.35">
      <c r="A5329" t="s">
        <v>228</v>
      </c>
      <c r="B5329" t="s">
        <v>228</v>
      </c>
      <c r="C5329" s="2">
        <v>0.69199999999999995</v>
      </c>
      <c r="D5329" s="2">
        <v>0.12130000000000001</v>
      </c>
      <c r="E5329" s="2">
        <v>9.8900000000000002E-2</v>
      </c>
      <c r="F5329" s="2">
        <v>4.8399999999999999E-2</v>
      </c>
      <c r="G5329" s="2">
        <v>3.6999999999999998E-2</v>
      </c>
      <c r="H5329" s="2">
        <v>2.5000000000000001E-3</v>
      </c>
      <c r="I5329">
        <v>1730</v>
      </c>
    </row>
    <row r="5331" spans="1:9" x14ac:dyDescent="0.35">
      <c r="A5331" s="1" t="s">
        <v>1518</v>
      </c>
    </row>
    <row r="5332" spans="1:9" x14ac:dyDescent="0.35">
      <c r="A5332" t="s">
        <v>219</v>
      </c>
      <c r="B5332" t="s">
        <v>301</v>
      </c>
      <c r="C5332" t="s">
        <v>566</v>
      </c>
      <c r="D5332" t="s">
        <v>570</v>
      </c>
      <c r="E5332" t="s">
        <v>569</v>
      </c>
      <c r="F5332" t="s">
        <v>277</v>
      </c>
      <c r="G5332" t="s">
        <v>568</v>
      </c>
      <c r="H5332" t="s">
        <v>282</v>
      </c>
      <c r="I5332" t="s">
        <v>226</v>
      </c>
    </row>
    <row r="5333" spans="1:9" x14ac:dyDescent="0.35">
      <c r="A5333" t="s">
        <v>227</v>
      </c>
      <c r="B5333" t="s">
        <v>263</v>
      </c>
      <c r="C5333" s="2">
        <v>0.67069999999999996</v>
      </c>
      <c r="D5333" s="2">
        <v>0.16839999999999999</v>
      </c>
      <c r="E5333" s="2">
        <v>7.3700000000000002E-2</v>
      </c>
      <c r="F5333" s="2">
        <v>4.3700000000000003E-2</v>
      </c>
      <c r="G5333" s="2">
        <v>4.3400000000000001E-2</v>
      </c>
      <c r="I5333">
        <v>170</v>
      </c>
    </row>
    <row r="5334" spans="1:9" x14ac:dyDescent="0.35">
      <c r="A5334" t="s">
        <v>227</v>
      </c>
      <c r="B5334" t="s">
        <v>262</v>
      </c>
      <c r="C5334" s="2">
        <v>0.69169999999999998</v>
      </c>
      <c r="D5334" s="2">
        <v>0.10340000000000001</v>
      </c>
      <c r="E5334" s="2">
        <v>0.1011</v>
      </c>
      <c r="F5334" s="2">
        <v>5.5300000000000002E-2</v>
      </c>
      <c r="G5334" s="2">
        <v>4.4200000000000003E-2</v>
      </c>
      <c r="H5334" s="2">
        <v>4.3E-3</v>
      </c>
      <c r="I5334">
        <v>1127</v>
      </c>
    </row>
    <row r="5335" spans="1:9" x14ac:dyDescent="0.35">
      <c r="A5335" t="s">
        <v>227</v>
      </c>
      <c r="B5335" t="s">
        <v>261</v>
      </c>
      <c r="C5335" s="2">
        <v>0.69979999999999998</v>
      </c>
      <c r="D5335" s="2">
        <v>0.13500000000000001</v>
      </c>
      <c r="E5335" s="2">
        <v>0.1</v>
      </c>
      <c r="F5335" s="2">
        <v>3.9699999999999999E-2</v>
      </c>
      <c r="G5335" s="2">
        <v>2.5000000000000001E-2</v>
      </c>
      <c r="H5335" s="2">
        <v>5.0000000000000001E-4</v>
      </c>
      <c r="I5335">
        <v>665</v>
      </c>
    </row>
    <row r="5336" spans="1:9" x14ac:dyDescent="0.35">
      <c r="A5336" s="3" t="s">
        <v>227</v>
      </c>
      <c r="B5336" s="3" t="s">
        <v>232</v>
      </c>
      <c r="C5336" s="5"/>
      <c r="D5336" s="5"/>
      <c r="E5336" s="4">
        <v>1</v>
      </c>
      <c r="F5336" s="5"/>
      <c r="G5336" s="5"/>
      <c r="H5336" s="5"/>
      <c r="I5336" s="5" t="s">
        <v>323</v>
      </c>
    </row>
    <row r="5337" spans="1:9" x14ac:dyDescent="0.35">
      <c r="A5337" t="s">
        <v>228</v>
      </c>
      <c r="B5337" t="s">
        <v>228</v>
      </c>
      <c r="C5337" s="2">
        <v>0.69199999999999995</v>
      </c>
      <c r="D5337" s="2">
        <v>0.12130000000000001</v>
      </c>
      <c r="E5337" s="2">
        <v>9.8900000000000002E-2</v>
      </c>
      <c r="F5337" s="2">
        <v>4.8399999999999999E-2</v>
      </c>
      <c r="G5337" s="2">
        <v>3.6999999999999998E-2</v>
      </c>
      <c r="H5337" s="2">
        <v>2.5000000000000001E-3</v>
      </c>
      <c r="I5337">
        <v>1963</v>
      </c>
    </row>
    <row r="5339" spans="1:9" x14ac:dyDescent="0.35">
      <c r="A5339" s="1" t="s">
        <v>1519</v>
      </c>
    </row>
    <row r="5340" spans="1:9" x14ac:dyDescent="0.35">
      <c r="A5340" t="s">
        <v>219</v>
      </c>
      <c r="B5340" t="s">
        <v>301</v>
      </c>
      <c r="C5340" t="s">
        <v>566</v>
      </c>
      <c r="D5340" t="s">
        <v>570</v>
      </c>
      <c r="E5340" t="s">
        <v>569</v>
      </c>
      <c r="F5340" t="s">
        <v>277</v>
      </c>
      <c r="G5340" t="s">
        <v>568</v>
      </c>
      <c r="H5340" t="s">
        <v>282</v>
      </c>
      <c r="I5340" t="s">
        <v>226</v>
      </c>
    </row>
    <row r="5341" spans="1:9" x14ac:dyDescent="0.35">
      <c r="A5341" t="s">
        <v>227</v>
      </c>
      <c r="B5341" t="s">
        <v>248</v>
      </c>
      <c r="C5341" s="2">
        <v>0.73370000000000002</v>
      </c>
      <c r="D5341" s="2">
        <v>8.4000000000000005E-2</v>
      </c>
      <c r="E5341" s="2">
        <v>8.8300000000000003E-2</v>
      </c>
      <c r="F5341" s="2">
        <v>7.5399999999999995E-2</v>
      </c>
      <c r="G5341" s="2">
        <v>1.49E-2</v>
      </c>
      <c r="H5341" s="2">
        <v>3.8E-3</v>
      </c>
      <c r="I5341">
        <v>611</v>
      </c>
    </row>
    <row r="5342" spans="1:9" x14ac:dyDescent="0.35">
      <c r="A5342" t="s">
        <v>227</v>
      </c>
      <c r="B5342" t="s">
        <v>249</v>
      </c>
      <c r="C5342" s="2">
        <v>0.66979999999999995</v>
      </c>
      <c r="D5342" s="2">
        <v>0.16020000000000001</v>
      </c>
      <c r="E5342" s="2">
        <v>0.1104</v>
      </c>
      <c r="F5342" s="2">
        <v>1.9300000000000001E-2</v>
      </c>
      <c r="G5342" s="2">
        <v>4.0300000000000002E-2</v>
      </c>
      <c r="I5342">
        <v>372</v>
      </c>
    </row>
    <row r="5343" spans="1:9" x14ac:dyDescent="0.35">
      <c r="A5343" t="s">
        <v>227</v>
      </c>
      <c r="B5343" t="s">
        <v>247</v>
      </c>
      <c r="C5343" s="2">
        <v>0.67600000000000005</v>
      </c>
      <c r="D5343" s="2">
        <v>0.12859999999999999</v>
      </c>
      <c r="E5343" s="2">
        <v>0.1007</v>
      </c>
      <c r="F5343" s="2">
        <v>4.3400000000000001E-2</v>
      </c>
      <c r="G5343" s="2">
        <v>4.8599999999999997E-2</v>
      </c>
      <c r="H5343" s="2">
        <v>2.5999999999999999E-3</v>
      </c>
      <c r="I5343">
        <v>980</v>
      </c>
    </row>
    <row r="5344" spans="1:9" x14ac:dyDescent="0.35">
      <c r="A5344" t="s">
        <v>228</v>
      </c>
      <c r="B5344" t="s">
        <v>228</v>
      </c>
      <c r="C5344" s="2">
        <v>0.69199999999999995</v>
      </c>
      <c r="D5344" s="2">
        <v>0.12130000000000001</v>
      </c>
      <c r="E5344" s="2">
        <v>9.8900000000000002E-2</v>
      </c>
      <c r="F5344" s="2">
        <v>4.8399999999999999E-2</v>
      </c>
      <c r="G5344" s="2">
        <v>3.6999999999999998E-2</v>
      </c>
      <c r="H5344" s="2">
        <v>2.5000000000000001E-3</v>
      </c>
      <c r="I5344">
        <v>1963</v>
      </c>
    </row>
    <row r="5346" spans="1:9" x14ac:dyDescent="0.35">
      <c r="A5346" s="1" t="s">
        <v>1520</v>
      </c>
    </row>
    <row r="5347" spans="1:9" x14ac:dyDescent="0.35">
      <c r="A5347" t="s">
        <v>219</v>
      </c>
      <c r="B5347" t="s">
        <v>301</v>
      </c>
      <c r="C5347" t="s">
        <v>566</v>
      </c>
      <c r="D5347" t="s">
        <v>570</v>
      </c>
      <c r="E5347" t="s">
        <v>569</v>
      </c>
      <c r="F5347" t="s">
        <v>277</v>
      </c>
      <c r="G5347" t="s">
        <v>568</v>
      </c>
      <c r="H5347" t="s">
        <v>282</v>
      </c>
      <c r="I5347" t="s">
        <v>226</v>
      </c>
    </row>
    <row r="5348" spans="1:9" x14ac:dyDescent="0.35">
      <c r="A5348" t="s">
        <v>227</v>
      </c>
      <c r="B5348" t="s">
        <v>245</v>
      </c>
      <c r="C5348" s="2">
        <v>0.69510000000000005</v>
      </c>
      <c r="D5348" s="2">
        <v>0.1542</v>
      </c>
      <c r="E5348" s="2">
        <v>0.09</v>
      </c>
      <c r="F5348" s="2">
        <v>3.5499999999999997E-2</v>
      </c>
      <c r="G5348" s="2">
        <v>2.46E-2</v>
      </c>
      <c r="H5348" s="2">
        <v>6.9999999999999999E-4</v>
      </c>
      <c r="I5348">
        <v>550</v>
      </c>
    </row>
    <row r="5349" spans="1:9" x14ac:dyDescent="0.35">
      <c r="A5349" t="s">
        <v>227</v>
      </c>
      <c r="B5349" t="s">
        <v>244</v>
      </c>
      <c r="C5349" s="2">
        <v>0.69069999999999998</v>
      </c>
      <c r="D5349" s="2">
        <v>0.1076</v>
      </c>
      <c r="E5349" s="2">
        <v>0.1026</v>
      </c>
      <c r="F5349" s="2">
        <v>5.3699999999999998E-2</v>
      </c>
      <c r="G5349" s="2">
        <v>4.2200000000000001E-2</v>
      </c>
      <c r="H5349" s="2">
        <v>3.2000000000000002E-3</v>
      </c>
      <c r="I5349">
        <v>1413</v>
      </c>
    </row>
    <row r="5350" spans="1:9" x14ac:dyDescent="0.35">
      <c r="A5350" t="s">
        <v>228</v>
      </c>
      <c r="B5350" t="s">
        <v>228</v>
      </c>
      <c r="C5350" s="2">
        <v>0.69199999999999995</v>
      </c>
      <c r="D5350" s="2">
        <v>0.12130000000000001</v>
      </c>
      <c r="E5350" s="2">
        <v>9.8900000000000002E-2</v>
      </c>
      <c r="F5350" s="2">
        <v>4.8399999999999999E-2</v>
      </c>
      <c r="G5350" s="2">
        <v>3.6999999999999998E-2</v>
      </c>
      <c r="H5350" s="2">
        <v>2.5000000000000001E-3</v>
      </c>
      <c r="I5350">
        <v>1963</v>
      </c>
    </row>
    <row r="5352" spans="1:9" x14ac:dyDescent="0.35">
      <c r="A5352" s="1" t="s">
        <v>1521</v>
      </c>
    </row>
    <row r="5353" spans="1:9" x14ac:dyDescent="0.35">
      <c r="A5353" t="s">
        <v>219</v>
      </c>
      <c r="B5353" t="s">
        <v>301</v>
      </c>
      <c r="C5353" t="s">
        <v>566</v>
      </c>
      <c r="D5353" t="s">
        <v>570</v>
      </c>
      <c r="E5353" t="s">
        <v>569</v>
      </c>
      <c r="F5353" t="s">
        <v>277</v>
      </c>
      <c r="G5353" t="s">
        <v>568</v>
      </c>
      <c r="H5353" t="s">
        <v>282</v>
      </c>
      <c r="I5353" t="s">
        <v>226</v>
      </c>
    </row>
    <row r="5354" spans="1:9" x14ac:dyDescent="0.35">
      <c r="A5354" t="s">
        <v>227</v>
      </c>
      <c r="B5354" t="s">
        <v>259</v>
      </c>
      <c r="C5354" s="2">
        <v>0.78280000000000005</v>
      </c>
      <c r="D5354" s="2">
        <v>9.5299999999999996E-2</v>
      </c>
      <c r="E5354" s="2">
        <v>0.1032</v>
      </c>
      <c r="F5354" s="2">
        <v>6.8999999999999999E-3</v>
      </c>
      <c r="G5354" s="2">
        <v>1.1900000000000001E-2</v>
      </c>
      <c r="I5354">
        <v>50</v>
      </c>
    </row>
    <row r="5355" spans="1:9" x14ac:dyDescent="0.35">
      <c r="A5355" t="s">
        <v>227</v>
      </c>
      <c r="B5355" t="s">
        <v>257</v>
      </c>
      <c r="C5355" s="2">
        <v>0.76280000000000003</v>
      </c>
      <c r="D5355" s="2">
        <v>9.3600000000000003E-2</v>
      </c>
      <c r="E5355" s="2">
        <v>7.5499999999999998E-2</v>
      </c>
      <c r="F5355" s="2">
        <v>1.84E-2</v>
      </c>
      <c r="G5355" s="2">
        <v>4.9799999999999997E-2</v>
      </c>
      <c r="I5355">
        <v>295</v>
      </c>
    </row>
    <row r="5356" spans="1:9" x14ac:dyDescent="0.35">
      <c r="A5356" t="s">
        <v>227</v>
      </c>
      <c r="B5356" t="s">
        <v>256</v>
      </c>
      <c r="C5356" s="2">
        <v>0.6925</v>
      </c>
      <c r="D5356" s="2">
        <v>0.1163</v>
      </c>
      <c r="E5356" s="2">
        <v>9.2899999999999996E-2</v>
      </c>
      <c r="F5356" s="2">
        <v>5.8900000000000001E-2</v>
      </c>
      <c r="G5356" s="2">
        <v>3.5900000000000001E-2</v>
      </c>
      <c r="H5356" s="2">
        <v>3.5000000000000001E-3</v>
      </c>
      <c r="I5356">
        <v>1233</v>
      </c>
    </row>
    <row r="5357" spans="1:9" x14ac:dyDescent="0.35">
      <c r="A5357" s="3" t="s">
        <v>227</v>
      </c>
      <c r="B5357" s="3" t="s">
        <v>232</v>
      </c>
      <c r="C5357" s="4">
        <v>0.4289</v>
      </c>
      <c r="D5357" s="5"/>
      <c r="E5357" s="4">
        <v>0.1249</v>
      </c>
      <c r="F5357" s="4">
        <v>0.37340000000000001</v>
      </c>
      <c r="G5357" s="4">
        <v>7.2800000000000004E-2</v>
      </c>
      <c r="H5357" s="5"/>
      <c r="I5357" s="5" t="s">
        <v>326</v>
      </c>
    </row>
    <row r="5358" spans="1:9" x14ac:dyDescent="0.35">
      <c r="A5358" t="s">
        <v>227</v>
      </c>
      <c r="B5358" t="s">
        <v>258</v>
      </c>
      <c r="C5358" s="2">
        <v>0.59589999999999999</v>
      </c>
      <c r="D5358" s="2">
        <v>0.182</v>
      </c>
      <c r="E5358" s="2">
        <v>0.1515</v>
      </c>
      <c r="F5358" s="2">
        <v>4.02E-2</v>
      </c>
      <c r="G5358" s="2">
        <v>2.9000000000000001E-2</v>
      </c>
      <c r="H5358" s="2">
        <v>1.5E-3</v>
      </c>
      <c r="I5358">
        <v>377</v>
      </c>
    </row>
    <row r="5359" spans="1:9" x14ac:dyDescent="0.35">
      <c r="A5359" t="s">
        <v>228</v>
      </c>
      <c r="B5359" t="s">
        <v>228</v>
      </c>
      <c r="C5359" s="2">
        <v>0.69199999999999995</v>
      </c>
      <c r="D5359" s="2">
        <v>0.12130000000000001</v>
      </c>
      <c r="E5359" s="2">
        <v>9.8900000000000002E-2</v>
      </c>
      <c r="F5359" s="2">
        <v>4.8399999999999999E-2</v>
      </c>
      <c r="G5359" s="2">
        <v>3.6999999999999998E-2</v>
      </c>
      <c r="H5359" s="2">
        <v>2.5000000000000001E-3</v>
      </c>
      <c r="I5359">
        <v>1963</v>
      </c>
    </row>
    <row r="5361" spans="1:9" x14ac:dyDescent="0.35">
      <c r="A5361" s="1" t="s">
        <v>1522</v>
      </c>
    </row>
    <row r="5362" spans="1:9" x14ac:dyDescent="0.35">
      <c r="A5362" t="s">
        <v>219</v>
      </c>
      <c r="B5362" t="s">
        <v>301</v>
      </c>
      <c r="C5362" t="s">
        <v>566</v>
      </c>
      <c r="D5362" t="s">
        <v>570</v>
      </c>
      <c r="E5362" t="s">
        <v>569</v>
      </c>
      <c r="F5362" t="s">
        <v>277</v>
      </c>
      <c r="G5362" t="s">
        <v>568</v>
      </c>
      <c r="H5362" t="s">
        <v>282</v>
      </c>
      <c r="I5362" t="s">
        <v>226</v>
      </c>
    </row>
    <row r="5363" spans="1:9" x14ac:dyDescent="0.35">
      <c r="A5363" t="s">
        <v>227</v>
      </c>
      <c r="B5363" t="s">
        <v>343</v>
      </c>
      <c r="C5363" s="2">
        <v>0.76280000000000003</v>
      </c>
      <c r="D5363" s="2">
        <v>9.3600000000000003E-2</v>
      </c>
      <c r="E5363" s="2">
        <v>7.5499999999999998E-2</v>
      </c>
      <c r="F5363" s="2">
        <v>1.84E-2</v>
      </c>
      <c r="G5363" s="2">
        <v>4.9799999999999997E-2</v>
      </c>
      <c r="I5363">
        <v>295</v>
      </c>
    </row>
    <row r="5364" spans="1:9" x14ac:dyDescent="0.35">
      <c r="A5364" t="s">
        <v>227</v>
      </c>
      <c r="B5364" t="s">
        <v>344</v>
      </c>
      <c r="C5364" s="2">
        <v>0.67589999999999995</v>
      </c>
      <c r="D5364" s="2">
        <v>0.12759999999999999</v>
      </c>
      <c r="E5364" s="2">
        <v>0.1042</v>
      </c>
      <c r="F5364" s="2">
        <v>5.5199999999999999E-2</v>
      </c>
      <c r="G5364" s="2">
        <v>3.4099999999999998E-2</v>
      </c>
      <c r="H5364" s="2">
        <v>3.0000000000000001E-3</v>
      </c>
      <c r="I5364">
        <v>1668</v>
      </c>
    </row>
    <row r="5365" spans="1:9" x14ac:dyDescent="0.35">
      <c r="A5365" t="s">
        <v>228</v>
      </c>
      <c r="B5365" t="s">
        <v>228</v>
      </c>
      <c r="C5365" s="2">
        <v>0.69199999999999995</v>
      </c>
      <c r="D5365" s="2">
        <v>0.12130000000000001</v>
      </c>
      <c r="E5365" s="2">
        <v>9.8900000000000002E-2</v>
      </c>
      <c r="F5365" s="2">
        <v>4.8399999999999999E-2</v>
      </c>
      <c r="G5365" s="2">
        <v>3.6999999999999998E-2</v>
      </c>
      <c r="H5365" s="2">
        <v>2.5000000000000001E-3</v>
      </c>
      <c r="I5365">
        <v>1963</v>
      </c>
    </row>
    <row r="5367" spans="1:9" x14ac:dyDescent="0.35">
      <c r="A5367" s="1" t="s">
        <v>1523</v>
      </c>
    </row>
    <row r="5368" spans="1:9" x14ac:dyDescent="0.35">
      <c r="A5368" t="s">
        <v>219</v>
      </c>
      <c r="B5368" t="s">
        <v>301</v>
      </c>
      <c r="C5368" t="s">
        <v>566</v>
      </c>
      <c r="D5368" t="s">
        <v>570</v>
      </c>
      <c r="E5368" t="s">
        <v>569</v>
      </c>
      <c r="F5368" t="s">
        <v>277</v>
      </c>
      <c r="G5368" t="s">
        <v>568</v>
      </c>
      <c r="H5368" t="s">
        <v>282</v>
      </c>
      <c r="I5368" t="s">
        <v>226</v>
      </c>
    </row>
    <row r="5369" spans="1:9" x14ac:dyDescent="0.35">
      <c r="A5369" t="s">
        <v>227</v>
      </c>
      <c r="B5369" t="s">
        <v>346</v>
      </c>
      <c r="C5369" s="2">
        <v>0.72419999999999995</v>
      </c>
      <c r="D5369" s="2">
        <v>0.11799999999999999</v>
      </c>
      <c r="E5369" s="2">
        <v>7.6399999999999996E-2</v>
      </c>
      <c r="F5369" s="2">
        <v>4.4999999999999998E-2</v>
      </c>
      <c r="G5369" s="2">
        <v>3.39E-2</v>
      </c>
      <c r="H5369" s="2">
        <v>2.3999999999999998E-3</v>
      </c>
      <c r="I5369">
        <v>997</v>
      </c>
    </row>
    <row r="5370" spans="1:9" x14ac:dyDescent="0.35">
      <c r="A5370" t="s">
        <v>227</v>
      </c>
      <c r="B5370" t="s">
        <v>347</v>
      </c>
      <c r="C5370" s="2">
        <v>0.46529999999999999</v>
      </c>
      <c r="D5370" s="2">
        <v>0.1249</v>
      </c>
      <c r="E5370" s="2">
        <v>0.32890000000000003</v>
      </c>
      <c r="F5370" s="2">
        <v>4.3900000000000002E-2</v>
      </c>
      <c r="G5370" s="2">
        <v>2.75E-2</v>
      </c>
      <c r="H5370" s="2">
        <v>9.5999999999999992E-3</v>
      </c>
      <c r="I5370">
        <v>431</v>
      </c>
    </row>
    <row r="5371" spans="1:9" x14ac:dyDescent="0.35">
      <c r="A5371" t="s">
        <v>227</v>
      </c>
      <c r="B5371" t="s">
        <v>348</v>
      </c>
      <c r="C5371" s="2">
        <v>0.50080000000000002</v>
      </c>
      <c r="D5371" s="2">
        <v>0.14879999999999999</v>
      </c>
      <c r="E5371" s="2">
        <v>0.20269999999999999</v>
      </c>
      <c r="F5371" s="2">
        <v>7.9899999999999999E-2</v>
      </c>
      <c r="G5371" s="2">
        <v>6.7699999999999996E-2</v>
      </c>
      <c r="I5371">
        <v>535</v>
      </c>
    </row>
    <row r="5372" spans="1:9" x14ac:dyDescent="0.35">
      <c r="A5372" t="s">
        <v>228</v>
      </c>
      <c r="B5372" t="s">
        <v>228</v>
      </c>
      <c r="C5372" s="2">
        <v>0.69199999999999995</v>
      </c>
      <c r="D5372" s="2">
        <v>0.12130000000000001</v>
      </c>
      <c r="E5372" s="2">
        <v>9.8900000000000002E-2</v>
      </c>
      <c r="F5372" s="2">
        <v>4.8399999999999999E-2</v>
      </c>
      <c r="G5372" s="2">
        <v>3.6999999999999998E-2</v>
      </c>
      <c r="H5372" s="2">
        <v>2.5000000000000001E-3</v>
      </c>
      <c r="I5372">
        <v>1963</v>
      </c>
    </row>
    <row r="5374" spans="1:9" x14ac:dyDescent="0.35">
      <c r="A5374" s="1" t="s">
        <v>1524</v>
      </c>
    </row>
    <row r="5375" spans="1:9" x14ac:dyDescent="0.35">
      <c r="A5375" t="s">
        <v>219</v>
      </c>
      <c r="B5375" t="s">
        <v>301</v>
      </c>
      <c r="C5375" t="s">
        <v>566</v>
      </c>
      <c r="D5375" t="s">
        <v>570</v>
      </c>
      <c r="E5375" t="s">
        <v>569</v>
      </c>
      <c r="F5375" t="s">
        <v>277</v>
      </c>
      <c r="G5375" t="s">
        <v>568</v>
      </c>
      <c r="H5375" t="s">
        <v>282</v>
      </c>
      <c r="I5375" t="s">
        <v>226</v>
      </c>
    </row>
    <row r="5376" spans="1:9" x14ac:dyDescent="0.35">
      <c r="A5376" t="s">
        <v>227</v>
      </c>
      <c r="B5376" t="s">
        <v>251</v>
      </c>
      <c r="C5376" s="2">
        <v>0.69069999999999998</v>
      </c>
      <c r="D5376" s="2">
        <v>0.1076</v>
      </c>
      <c r="E5376" s="2">
        <v>0.1026</v>
      </c>
      <c r="F5376" s="2">
        <v>5.3699999999999998E-2</v>
      </c>
      <c r="G5376" s="2">
        <v>4.2200000000000001E-2</v>
      </c>
      <c r="H5376" s="2">
        <v>3.2000000000000002E-3</v>
      </c>
      <c r="I5376">
        <v>1413</v>
      </c>
    </row>
    <row r="5377" spans="1:18" x14ac:dyDescent="0.35">
      <c r="A5377" t="s">
        <v>227</v>
      </c>
      <c r="B5377" t="s">
        <v>252</v>
      </c>
      <c r="C5377" s="2">
        <v>0.66210000000000002</v>
      </c>
      <c r="D5377" s="2">
        <v>0.16689999999999999</v>
      </c>
      <c r="E5377" s="2">
        <v>0.1043</v>
      </c>
      <c r="F5377" s="2">
        <v>4.1399999999999999E-2</v>
      </c>
      <c r="G5377" s="2">
        <v>2.4400000000000002E-2</v>
      </c>
      <c r="H5377" s="2">
        <v>8.9999999999999998E-4</v>
      </c>
      <c r="I5377">
        <v>397</v>
      </c>
    </row>
    <row r="5378" spans="1:18" x14ac:dyDescent="0.35">
      <c r="A5378" t="s">
        <v>227</v>
      </c>
      <c r="B5378" t="s">
        <v>253</v>
      </c>
      <c r="C5378" s="2">
        <v>0.7853</v>
      </c>
      <c r="D5378" s="2">
        <v>0.1193</v>
      </c>
      <c r="E5378" s="2">
        <v>5.0599999999999999E-2</v>
      </c>
      <c r="F5378" s="2">
        <v>1.95E-2</v>
      </c>
      <c r="G5378" s="2">
        <v>2.52E-2</v>
      </c>
      <c r="I5378">
        <v>153</v>
      </c>
    </row>
    <row r="5379" spans="1:18" x14ac:dyDescent="0.35">
      <c r="A5379" t="s">
        <v>228</v>
      </c>
      <c r="B5379" t="s">
        <v>228</v>
      </c>
      <c r="C5379" s="2">
        <v>0.69199999999999995</v>
      </c>
      <c r="D5379" s="2">
        <v>0.12130000000000001</v>
      </c>
      <c r="E5379" s="2">
        <v>9.8900000000000002E-2</v>
      </c>
      <c r="F5379" s="2">
        <v>4.8399999999999999E-2</v>
      </c>
      <c r="G5379" s="2">
        <v>3.6999999999999998E-2</v>
      </c>
      <c r="H5379" s="2">
        <v>2.5000000000000001E-3</v>
      </c>
      <c r="I5379">
        <v>1963</v>
      </c>
    </row>
    <row r="5381" spans="1:18" x14ac:dyDescent="0.35">
      <c r="A5381" s="1" t="s">
        <v>1525</v>
      </c>
    </row>
    <row r="5382" spans="1:18" x14ac:dyDescent="0.35">
      <c r="A5382" t="s">
        <v>219</v>
      </c>
      <c r="B5382" t="s">
        <v>301</v>
      </c>
      <c r="C5382" t="s">
        <v>566</v>
      </c>
      <c r="D5382" t="s">
        <v>570</v>
      </c>
      <c r="E5382" t="s">
        <v>569</v>
      </c>
      <c r="F5382" t="s">
        <v>277</v>
      </c>
      <c r="G5382" t="s">
        <v>568</v>
      </c>
      <c r="H5382" t="s">
        <v>282</v>
      </c>
      <c r="I5382" t="s">
        <v>226</v>
      </c>
    </row>
    <row r="5383" spans="1:18" x14ac:dyDescent="0.35">
      <c r="A5383" t="s">
        <v>227</v>
      </c>
      <c r="B5383" t="s">
        <v>1339</v>
      </c>
      <c r="C5383" s="2">
        <v>0.43859999999999999</v>
      </c>
      <c r="D5383" s="2">
        <v>0.17399999999999999</v>
      </c>
      <c r="E5383" s="2">
        <v>0.27779999999999999</v>
      </c>
      <c r="G5383" s="2">
        <v>0.1095</v>
      </c>
      <c r="I5383">
        <v>31</v>
      </c>
    </row>
    <row r="5384" spans="1:18" x14ac:dyDescent="0.35">
      <c r="A5384" t="s">
        <v>227</v>
      </c>
      <c r="B5384" t="s">
        <v>1340</v>
      </c>
      <c r="C5384" s="2">
        <v>0.64759999999999995</v>
      </c>
      <c r="D5384" s="2">
        <v>0.18049999999999999</v>
      </c>
      <c r="E5384" s="2">
        <v>9.98E-2</v>
      </c>
      <c r="F5384" s="2">
        <v>2.4400000000000002E-2</v>
      </c>
      <c r="G5384" s="2">
        <v>4.3200000000000002E-2</v>
      </c>
      <c r="H5384" s="2">
        <v>4.4000000000000003E-3</v>
      </c>
      <c r="I5384">
        <v>477</v>
      </c>
    </row>
    <row r="5385" spans="1:18" x14ac:dyDescent="0.35">
      <c r="A5385" t="s">
        <v>227</v>
      </c>
      <c r="B5385" t="s">
        <v>1341</v>
      </c>
      <c r="C5385" s="2">
        <v>0.70750000000000002</v>
      </c>
      <c r="D5385" s="2">
        <v>0.1095</v>
      </c>
      <c r="E5385" s="2">
        <v>9.6100000000000005E-2</v>
      </c>
      <c r="F5385" s="2">
        <v>4.9299999999999997E-2</v>
      </c>
      <c r="G5385" s="2">
        <v>3.6900000000000002E-2</v>
      </c>
      <c r="H5385" s="2">
        <v>6.9999999999999999E-4</v>
      </c>
      <c r="I5385">
        <v>923</v>
      </c>
    </row>
    <row r="5386" spans="1:18" x14ac:dyDescent="0.35">
      <c r="A5386" t="s">
        <v>227</v>
      </c>
      <c r="B5386" t="s">
        <v>1342</v>
      </c>
      <c r="C5386" s="2">
        <v>0.72319999999999995</v>
      </c>
      <c r="D5386" s="2">
        <v>8.6499999999999994E-2</v>
      </c>
      <c r="E5386" s="2">
        <v>8.8099999999999998E-2</v>
      </c>
      <c r="F5386" s="2">
        <v>7.22E-2</v>
      </c>
      <c r="G5386" s="2">
        <v>2.5499999999999998E-2</v>
      </c>
      <c r="H5386" s="2">
        <v>4.4000000000000003E-3</v>
      </c>
      <c r="I5386">
        <v>532</v>
      </c>
    </row>
    <row r="5387" spans="1:18" x14ac:dyDescent="0.35">
      <c r="A5387" t="s">
        <v>228</v>
      </c>
      <c r="B5387" t="s">
        <v>228</v>
      </c>
      <c r="C5387" s="2">
        <v>0.69199999999999995</v>
      </c>
      <c r="D5387" s="2">
        <v>0.12130000000000001</v>
      </c>
      <c r="E5387" s="2">
        <v>9.8900000000000002E-2</v>
      </c>
      <c r="F5387" s="2">
        <v>4.8399999999999999E-2</v>
      </c>
      <c r="G5387" s="2">
        <v>3.6999999999999998E-2</v>
      </c>
      <c r="H5387" s="2">
        <v>2.5000000000000001E-3</v>
      </c>
      <c r="I5387">
        <v>1963</v>
      </c>
    </row>
    <row r="5389" spans="1:18" x14ac:dyDescent="0.35">
      <c r="A5389" s="1" t="s">
        <v>1526</v>
      </c>
    </row>
    <row r="5390" spans="1:18" x14ac:dyDescent="0.35">
      <c r="A5390" t="s">
        <v>219</v>
      </c>
      <c r="B5390" t="s">
        <v>277</v>
      </c>
      <c r="C5390" t="s">
        <v>540</v>
      </c>
      <c r="D5390" t="s">
        <v>1527</v>
      </c>
      <c r="E5390" t="s">
        <v>1528</v>
      </c>
      <c r="F5390" t="s">
        <v>1529</v>
      </c>
      <c r="G5390" t="s">
        <v>318</v>
      </c>
      <c r="H5390" t="s">
        <v>1530</v>
      </c>
      <c r="I5390" t="s">
        <v>1531</v>
      </c>
      <c r="J5390" t="s">
        <v>1532</v>
      </c>
      <c r="K5390" t="s">
        <v>1533</v>
      </c>
      <c r="L5390" t="s">
        <v>1534</v>
      </c>
      <c r="M5390" t="s">
        <v>1535</v>
      </c>
      <c r="N5390" t="s">
        <v>282</v>
      </c>
      <c r="O5390" t="s">
        <v>1536</v>
      </c>
      <c r="P5390" t="s">
        <v>1537</v>
      </c>
      <c r="Q5390" t="s">
        <v>1538</v>
      </c>
      <c r="R5390" t="s">
        <v>226</v>
      </c>
    </row>
    <row r="5391" spans="1:18" x14ac:dyDescent="0.35">
      <c r="A5391" t="s">
        <v>227</v>
      </c>
      <c r="B5391" s="2">
        <v>0.38069999999999998</v>
      </c>
      <c r="C5391" s="2">
        <v>0.27139999999999997</v>
      </c>
      <c r="D5391" s="2">
        <v>0.22270000000000001</v>
      </c>
      <c r="E5391" s="2">
        <v>0.1215</v>
      </c>
      <c r="F5391" s="2">
        <v>7.4499999999999997E-2</v>
      </c>
      <c r="G5391" s="2">
        <v>3.0099999999999998E-2</v>
      </c>
      <c r="H5391" s="2">
        <v>2.8000000000000001E-2</v>
      </c>
      <c r="I5391" s="2">
        <v>2.5600000000000001E-2</v>
      </c>
      <c r="J5391" s="2">
        <v>2.2200000000000001E-2</v>
      </c>
      <c r="K5391" s="2">
        <v>1.77E-2</v>
      </c>
      <c r="L5391" s="2">
        <v>1.5100000000000001E-2</v>
      </c>
      <c r="M5391" s="2">
        <v>8.0999999999999996E-3</v>
      </c>
      <c r="N5391" s="2">
        <v>4.7999999999999996E-3</v>
      </c>
      <c r="O5391" s="2">
        <v>3.5999999999999999E-3</v>
      </c>
      <c r="P5391" s="2">
        <v>2.0999999999999999E-3</v>
      </c>
      <c r="Q5391" s="2">
        <v>2.0999999999999999E-3</v>
      </c>
      <c r="R5391">
        <v>820</v>
      </c>
    </row>
    <row r="5392" spans="1:18" x14ac:dyDescent="0.35">
      <c r="A5392" t="s">
        <v>228</v>
      </c>
      <c r="B5392" s="2">
        <v>0.38069999999999998</v>
      </c>
      <c r="C5392" s="2">
        <v>0.27139999999999997</v>
      </c>
      <c r="D5392" s="2">
        <v>0.22270000000000001</v>
      </c>
      <c r="E5392" s="2">
        <v>0.1215</v>
      </c>
      <c r="F5392" s="2">
        <v>7.4499999999999997E-2</v>
      </c>
      <c r="G5392" s="2">
        <v>3.0099999999999998E-2</v>
      </c>
      <c r="H5392" s="2">
        <v>2.8000000000000001E-2</v>
      </c>
      <c r="I5392" s="2">
        <v>2.5600000000000001E-2</v>
      </c>
      <c r="J5392" s="2">
        <v>2.2200000000000001E-2</v>
      </c>
      <c r="K5392" s="2">
        <v>1.77E-2</v>
      </c>
      <c r="L5392" s="2">
        <v>1.5100000000000001E-2</v>
      </c>
      <c r="M5392" s="2">
        <v>8.0999999999999996E-3</v>
      </c>
      <c r="N5392" s="2">
        <v>4.7999999999999996E-3</v>
      </c>
      <c r="O5392" s="2">
        <v>3.5999999999999999E-3</v>
      </c>
      <c r="P5392" s="2">
        <v>2.0999999999999999E-3</v>
      </c>
      <c r="Q5392" s="2">
        <v>2.0999999999999999E-3</v>
      </c>
      <c r="R5392">
        <v>820</v>
      </c>
    </row>
    <row r="5394" spans="1:19" x14ac:dyDescent="0.35">
      <c r="A5394" s="1" t="s">
        <v>1539</v>
      </c>
    </row>
    <row r="5395" spans="1:19" x14ac:dyDescent="0.35">
      <c r="A5395" t="s">
        <v>219</v>
      </c>
      <c r="B5395" t="s">
        <v>301</v>
      </c>
      <c r="C5395" t="s">
        <v>277</v>
      </c>
      <c r="D5395" t="s">
        <v>540</v>
      </c>
      <c r="E5395" t="s">
        <v>1527</v>
      </c>
      <c r="F5395" t="s">
        <v>1528</v>
      </c>
      <c r="G5395" t="s">
        <v>1529</v>
      </c>
      <c r="H5395" t="s">
        <v>318</v>
      </c>
      <c r="I5395" t="s">
        <v>1530</v>
      </c>
      <c r="J5395" t="s">
        <v>1531</v>
      </c>
      <c r="K5395" t="s">
        <v>1532</v>
      </c>
      <c r="L5395" t="s">
        <v>1533</v>
      </c>
      <c r="M5395" t="s">
        <v>1534</v>
      </c>
      <c r="N5395" t="s">
        <v>1535</v>
      </c>
      <c r="O5395" t="s">
        <v>282</v>
      </c>
      <c r="P5395" t="s">
        <v>1536</v>
      </c>
      <c r="Q5395" t="s">
        <v>1537</v>
      </c>
      <c r="R5395" t="s">
        <v>1538</v>
      </c>
      <c r="S5395" t="s">
        <v>226</v>
      </c>
    </row>
    <row r="5396" spans="1:19" x14ac:dyDescent="0.35">
      <c r="A5396" t="s">
        <v>227</v>
      </c>
      <c r="B5396" t="s">
        <v>238</v>
      </c>
      <c r="C5396" s="2">
        <v>0.48980000000000001</v>
      </c>
      <c r="D5396" s="2">
        <v>0.2233</v>
      </c>
      <c r="E5396" s="2">
        <v>0.17399999999999999</v>
      </c>
      <c r="F5396" s="2">
        <v>9.4799999999999995E-2</v>
      </c>
      <c r="G5396" s="2">
        <v>4.0800000000000003E-2</v>
      </c>
      <c r="H5396" s="2">
        <v>3.6799999999999999E-2</v>
      </c>
      <c r="I5396" s="2">
        <v>3.4799999999999998E-2</v>
      </c>
      <c r="J5396" s="2">
        <v>3.3399999999999999E-2</v>
      </c>
      <c r="K5396" s="2">
        <v>3.0099999999999998E-2</v>
      </c>
      <c r="L5396" s="2">
        <v>1.6899999999999998E-2</v>
      </c>
      <c r="M5396" s="2">
        <v>1.9E-2</v>
      </c>
      <c r="N5396" s="2">
        <v>1.0999999999999999E-2</v>
      </c>
      <c r="O5396" s="2">
        <v>7.3000000000000001E-3</v>
      </c>
      <c r="P5396" s="2">
        <v>3.7000000000000002E-3</v>
      </c>
      <c r="Q5396" s="2">
        <v>2.3999999999999998E-3</v>
      </c>
      <c r="R5396" s="2">
        <v>2.8E-3</v>
      </c>
      <c r="S5396">
        <v>305</v>
      </c>
    </row>
    <row r="5397" spans="1:19" x14ac:dyDescent="0.35">
      <c r="A5397" t="s">
        <v>227</v>
      </c>
      <c r="B5397" t="s">
        <v>237</v>
      </c>
      <c r="C5397" s="2">
        <v>0.32</v>
      </c>
      <c r="D5397" s="2">
        <v>0.29820000000000002</v>
      </c>
      <c r="E5397" s="2">
        <v>0.24990000000000001</v>
      </c>
      <c r="F5397" s="2">
        <v>0.13639999999999999</v>
      </c>
      <c r="G5397" s="2">
        <v>9.3200000000000005E-2</v>
      </c>
      <c r="H5397" s="2">
        <v>2.64E-2</v>
      </c>
      <c r="I5397" s="2">
        <v>2.4199999999999999E-2</v>
      </c>
      <c r="J5397" s="2">
        <v>2.1299999999999999E-2</v>
      </c>
      <c r="K5397" s="2">
        <v>1.78E-2</v>
      </c>
      <c r="L5397" s="2">
        <v>1.8200000000000001E-2</v>
      </c>
      <c r="M5397" s="2">
        <v>1.2999999999999999E-2</v>
      </c>
      <c r="N5397" s="2">
        <v>6.4999999999999997E-3</v>
      </c>
      <c r="O5397" s="2">
        <v>3.3999999999999998E-3</v>
      </c>
      <c r="P5397" s="2">
        <v>3.5999999999999999E-3</v>
      </c>
      <c r="Q5397" s="2">
        <v>2E-3</v>
      </c>
      <c r="R5397" s="2">
        <v>1.8E-3</v>
      </c>
      <c r="S5397">
        <v>515</v>
      </c>
    </row>
    <row r="5398" spans="1:19" x14ac:dyDescent="0.35">
      <c r="A5398" t="s">
        <v>228</v>
      </c>
      <c r="B5398" t="s">
        <v>228</v>
      </c>
      <c r="C5398" s="2">
        <v>0.38069999999999998</v>
      </c>
      <c r="D5398" s="2">
        <v>0.27139999999999997</v>
      </c>
      <c r="E5398" s="2">
        <v>0.22270000000000001</v>
      </c>
      <c r="F5398" s="2">
        <v>0.1215</v>
      </c>
      <c r="G5398" s="2">
        <v>7.4499999999999997E-2</v>
      </c>
      <c r="H5398" s="2">
        <v>3.0099999999999998E-2</v>
      </c>
      <c r="I5398" s="2">
        <v>2.8000000000000001E-2</v>
      </c>
      <c r="J5398" s="2">
        <v>2.5600000000000001E-2</v>
      </c>
      <c r="K5398" s="2">
        <v>2.2200000000000001E-2</v>
      </c>
      <c r="L5398" s="2">
        <v>1.77E-2</v>
      </c>
      <c r="M5398" s="2">
        <v>1.5100000000000001E-2</v>
      </c>
      <c r="N5398" s="2">
        <v>8.0999999999999996E-3</v>
      </c>
      <c r="O5398" s="2">
        <v>4.7999999999999996E-3</v>
      </c>
      <c r="P5398" s="2">
        <v>3.5999999999999999E-3</v>
      </c>
      <c r="Q5398" s="2">
        <v>2.0999999999999999E-3</v>
      </c>
      <c r="R5398" s="2">
        <v>2.0999999999999999E-3</v>
      </c>
      <c r="S5398">
        <v>820</v>
      </c>
    </row>
    <row r="5400" spans="1:19" x14ac:dyDescent="0.35">
      <c r="A5400" s="1" t="s">
        <v>1540</v>
      </c>
    </row>
    <row r="5401" spans="1:19" x14ac:dyDescent="0.35">
      <c r="A5401" t="s">
        <v>219</v>
      </c>
      <c r="B5401" t="s">
        <v>301</v>
      </c>
      <c r="C5401" t="s">
        <v>277</v>
      </c>
      <c r="D5401" t="s">
        <v>540</v>
      </c>
      <c r="E5401" t="s">
        <v>1527</v>
      </c>
      <c r="F5401" t="s">
        <v>1528</v>
      </c>
      <c r="G5401" t="s">
        <v>1529</v>
      </c>
      <c r="H5401" t="s">
        <v>318</v>
      </c>
      <c r="I5401" t="s">
        <v>1530</v>
      </c>
      <c r="J5401" t="s">
        <v>1531</v>
      </c>
      <c r="K5401" t="s">
        <v>1532</v>
      </c>
      <c r="L5401" t="s">
        <v>1533</v>
      </c>
      <c r="M5401" t="s">
        <v>1534</v>
      </c>
      <c r="N5401" t="s">
        <v>1535</v>
      </c>
      <c r="O5401" t="s">
        <v>282</v>
      </c>
      <c r="P5401" t="s">
        <v>1536</v>
      </c>
      <c r="Q5401" t="s">
        <v>1537</v>
      </c>
      <c r="R5401" t="s">
        <v>1538</v>
      </c>
      <c r="S5401" t="s">
        <v>226</v>
      </c>
    </row>
    <row r="5402" spans="1:19" x14ac:dyDescent="0.35">
      <c r="A5402" t="s">
        <v>227</v>
      </c>
      <c r="B5402" t="s">
        <v>235</v>
      </c>
      <c r="C5402" s="2">
        <v>0.38009999999999999</v>
      </c>
      <c r="D5402" s="2">
        <v>0.39050000000000001</v>
      </c>
      <c r="E5402" s="2">
        <v>0.1376</v>
      </c>
      <c r="F5402" s="2">
        <v>4.2099999999999999E-2</v>
      </c>
      <c r="G5402" s="2">
        <v>1.67E-2</v>
      </c>
      <c r="H5402" s="2">
        <v>3.1199999999999999E-2</v>
      </c>
      <c r="I5402" s="2">
        <v>2.0299999999999999E-2</v>
      </c>
      <c r="J5402" s="2">
        <v>2.5399999999999999E-2</v>
      </c>
      <c r="K5402" s="2">
        <v>0.01</v>
      </c>
      <c r="L5402" s="2">
        <v>6.7999999999999996E-3</v>
      </c>
      <c r="M5402" s="2">
        <v>7.0000000000000001E-3</v>
      </c>
      <c r="N5402" s="2">
        <v>3.5000000000000001E-3</v>
      </c>
      <c r="O5402" s="2">
        <v>1.2699999999999999E-2</v>
      </c>
      <c r="P5402" s="2">
        <v>6.4000000000000003E-3</v>
      </c>
      <c r="Q5402" s="2">
        <v>3.5000000000000001E-3</v>
      </c>
      <c r="R5402" s="2">
        <v>3.5000000000000001E-3</v>
      </c>
      <c r="S5402">
        <v>234</v>
      </c>
    </row>
    <row r="5403" spans="1:19" x14ac:dyDescent="0.35">
      <c r="A5403" t="s">
        <v>227</v>
      </c>
      <c r="B5403" t="s">
        <v>234</v>
      </c>
      <c r="C5403" s="2">
        <v>0.38090000000000002</v>
      </c>
      <c r="D5403" s="2">
        <v>0.2412</v>
      </c>
      <c r="E5403" s="2">
        <v>0.24429999999999999</v>
      </c>
      <c r="F5403" s="2">
        <v>0.1416</v>
      </c>
      <c r="G5403" s="2">
        <v>8.9099999999999999E-2</v>
      </c>
      <c r="H5403" s="2">
        <v>2.98E-2</v>
      </c>
      <c r="I5403" s="2">
        <v>2.9899999999999999E-2</v>
      </c>
      <c r="J5403" s="2">
        <v>2.5700000000000001E-2</v>
      </c>
      <c r="K5403" s="2">
        <v>2.53E-2</v>
      </c>
      <c r="L5403" s="2">
        <v>2.0500000000000001E-2</v>
      </c>
      <c r="M5403" s="2">
        <v>1.72E-2</v>
      </c>
      <c r="N5403" s="2">
        <v>9.2999999999999992E-3</v>
      </c>
      <c r="O5403" s="2">
        <v>2.8E-3</v>
      </c>
      <c r="P5403" s="2">
        <v>2.8999999999999998E-3</v>
      </c>
      <c r="Q5403" s="2">
        <v>1.8E-3</v>
      </c>
      <c r="R5403" s="2">
        <v>1.8E-3</v>
      </c>
      <c r="S5403">
        <v>586</v>
      </c>
    </row>
    <row r="5404" spans="1:19" x14ac:dyDescent="0.35">
      <c r="A5404" t="s">
        <v>228</v>
      </c>
      <c r="B5404" t="s">
        <v>228</v>
      </c>
      <c r="C5404" s="2">
        <v>0.38069999999999998</v>
      </c>
      <c r="D5404" s="2">
        <v>0.27139999999999997</v>
      </c>
      <c r="E5404" s="2">
        <v>0.22270000000000001</v>
      </c>
      <c r="F5404" s="2">
        <v>0.1215</v>
      </c>
      <c r="G5404" s="2">
        <v>7.4499999999999997E-2</v>
      </c>
      <c r="H5404" s="2">
        <v>3.0099999999999998E-2</v>
      </c>
      <c r="I5404" s="2">
        <v>2.8000000000000001E-2</v>
      </c>
      <c r="J5404" s="2">
        <v>2.5600000000000001E-2</v>
      </c>
      <c r="K5404" s="2">
        <v>2.2200000000000001E-2</v>
      </c>
      <c r="L5404" s="2">
        <v>1.77E-2</v>
      </c>
      <c r="M5404" s="2">
        <v>1.5100000000000001E-2</v>
      </c>
      <c r="N5404" s="2">
        <v>8.0999999999999996E-3</v>
      </c>
      <c r="O5404" s="2">
        <v>4.7999999999999996E-3</v>
      </c>
      <c r="P5404" s="2">
        <v>3.5999999999999999E-3</v>
      </c>
      <c r="Q5404" s="2">
        <v>2.0999999999999999E-3</v>
      </c>
      <c r="R5404" s="2">
        <v>2.0999999999999999E-3</v>
      </c>
      <c r="S5404">
        <v>820</v>
      </c>
    </row>
    <row r="5406" spans="1:19" x14ac:dyDescent="0.35">
      <c r="A5406" s="1" t="s">
        <v>1541</v>
      </c>
    </row>
    <row r="5407" spans="1:19" x14ac:dyDescent="0.35">
      <c r="A5407" t="s">
        <v>219</v>
      </c>
      <c r="B5407" t="s">
        <v>301</v>
      </c>
      <c r="C5407" t="s">
        <v>277</v>
      </c>
      <c r="D5407" t="s">
        <v>540</v>
      </c>
      <c r="E5407" t="s">
        <v>1527</v>
      </c>
      <c r="F5407" t="s">
        <v>1528</v>
      </c>
      <c r="G5407" t="s">
        <v>1529</v>
      </c>
      <c r="H5407" t="s">
        <v>318</v>
      </c>
      <c r="I5407" t="s">
        <v>1530</v>
      </c>
      <c r="J5407" t="s">
        <v>1531</v>
      </c>
      <c r="K5407" t="s">
        <v>1532</v>
      </c>
      <c r="L5407" t="s">
        <v>1533</v>
      </c>
      <c r="M5407" t="s">
        <v>1534</v>
      </c>
      <c r="N5407" t="s">
        <v>1535</v>
      </c>
      <c r="O5407" t="s">
        <v>282</v>
      </c>
      <c r="P5407" t="s">
        <v>1536</v>
      </c>
      <c r="Q5407" t="s">
        <v>1537</v>
      </c>
      <c r="R5407" t="s">
        <v>1538</v>
      </c>
      <c r="S5407" t="s">
        <v>226</v>
      </c>
    </row>
    <row r="5408" spans="1:19" x14ac:dyDescent="0.35">
      <c r="A5408" t="s">
        <v>227</v>
      </c>
      <c r="B5408" t="s">
        <v>240</v>
      </c>
      <c r="C5408" s="2">
        <v>0.37140000000000001</v>
      </c>
      <c r="D5408" s="2">
        <v>0.28210000000000002</v>
      </c>
      <c r="E5408" s="2">
        <v>0.2359</v>
      </c>
      <c r="F5408" s="2">
        <v>0.1114</v>
      </c>
      <c r="G5408" s="2">
        <v>7.3800000000000004E-2</v>
      </c>
      <c r="H5408" s="2">
        <v>3.5900000000000001E-2</v>
      </c>
      <c r="I5408" s="2">
        <v>3.0499999999999999E-2</v>
      </c>
      <c r="J5408" s="2">
        <v>2.1499999999999998E-2</v>
      </c>
      <c r="K5408" s="2">
        <v>1.7100000000000001E-2</v>
      </c>
      <c r="L5408" s="2">
        <v>2.1499999999999998E-2</v>
      </c>
      <c r="M5408" s="2">
        <v>1.32E-2</v>
      </c>
      <c r="N5408" s="2">
        <v>1.21E-2</v>
      </c>
      <c r="O5408" s="2">
        <v>3.8E-3</v>
      </c>
      <c r="P5408" s="2">
        <v>2.3999999999999998E-3</v>
      </c>
      <c r="Q5408" s="2">
        <v>2.5999999999999999E-3</v>
      </c>
      <c r="R5408" s="2">
        <v>1.6000000000000001E-3</v>
      </c>
      <c r="S5408">
        <v>496</v>
      </c>
    </row>
    <row r="5409" spans="1:19" x14ac:dyDescent="0.35">
      <c r="A5409" t="s">
        <v>227</v>
      </c>
      <c r="B5409" t="s">
        <v>241</v>
      </c>
      <c r="C5409" s="2">
        <v>0.4415</v>
      </c>
      <c r="D5409" s="2">
        <v>0.2492</v>
      </c>
      <c r="E5409" s="2">
        <v>0.18440000000000001</v>
      </c>
      <c r="F5409" s="2">
        <v>0.1196</v>
      </c>
      <c r="G5409" s="2">
        <v>6.5100000000000005E-2</v>
      </c>
      <c r="H5409" s="2">
        <v>1.3299999999999999E-2</v>
      </c>
      <c r="I5409" s="2">
        <v>1.7899999999999999E-2</v>
      </c>
      <c r="J5409" s="2">
        <v>2.8899999999999999E-2</v>
      </c>
      <c r="K5409" s="2">
        <v>2.0199999999999999E-2</v>
      </c>
      <c r="L5409" s="2">
        <v>1.17E-2</v>
      </c>
      <c r="M5409" s="2">
        <v>1.3899999999999999E-2</v>
      </c>
      <c r="N5409" s="2">
        <v>1.5E-3</v>
      </c>
      <c r="O5409" s="2">
        <v>7.7000000000000002E-3</v>
      </c>
      <c r="P5409" s="2">
        <v>6.6E-3</v>
      </c>
      <c r="Q5409" s="2">
        <v>1.5E-3</v>
      </c>
      <c r="R5409" s="2">
        <v>3.5000000000000001E-3</v>
      </c>
      <c r="S5409">
        <v>276</v>
      </c>
    </row>
    <row r="5410" spans="1:19" x14ac:dyDescent="0.35">
      <c r="A5410" t="s">
        <v>227</v>
      </c>
      <c r="B5410" t="s">
        <v>242</v>
      </c>
      <c r="C5410" s="2">
        <v>0.13650000000000001</v>
      </c>
      <c r="D5410" s="2">
        <v>0.27829999999999999</v>
      </c>
      <c r="E5410" s="2">
        <v>0.29459999999999997</v>
      </c>
      <c r="F5410" s="2">
        <v>0.246</v>
      </c>
      <c r="G5410" s="2">
        <v>0.1363</v>
      </c>
      <c r="H5410" s="2">
        <v>6.1199999999999997E-2</v>
      </c>
      <c r="I5410" s="2">
        <v>5.7500000000000002E-2</v>
      </c>
      <c r="J5410" s="2">
        <v>5.2499999999999998E-2</v>
      </c>
      <c r="K5410" s="2">
        <v>9.0700000000000003E-2</v>
      </c>
      <c r="L5410" s="2">
        <v>0.01</v>
      </c>
      <c r="M5410" s="2">
        <v>4.2900000000000001E-2</v>
      </c>
      <c r="N5410" s="2">
        <v>1.6000000000000001E-3</v>
      </c>
      <c r="S5410">
        <v>48</v>
      </c>
    </row>
    <row r="5411" spans="1:19" x14ac:dyDescent="0.35">
      <c r="A5411" t="s">
        <v>228</v>
      </c>
      <c r="B5411" t="s">
        <v>228</v>
      </c>
      <c r="C5411" s="2">
        <v>0.38069999999999998</v>
      </c>
      <c r="D5411" s="2">
        <v>0.27139999999999997</v>
      </c>
      <c r="E5411" s="2">
        <v>0.22270000000000001</v>
      </c>
      <c r="F5411" s="2">
        <v>0.1215</v>
      </c>
      <c r="G5411" s="2">
        <v>7.4499999999999997E-2</v>
      </c>
      <c r="H5411" s="2">
        <v>3.0099999999999998E-2</v>
      </c>
      <c r="I5411" s="2">
        <v>2.8000000000000001E-2</v>
      </c>
      <c r="J5411" s="2">
        <v>2.5600000000000001E-2</v>
      </c>
      <c r="K5411" s="2">
        <v>2.2200000000000001E-2</v>
      </c>
      <c r="L5411" s="2">
        <v>1.77E-2</v>
      </c>
      <c r="M5411" s="2">
        <v>1.5100000000000001E-2</v>
      </c>
      <c r="N5411" s="2">
        <v>8.0999999999999996E-3</v>
      </c>
      <c r="O5411" s="2">
        <v>4.7999999999999996E-3</v>
      </c>
      <c r="P5411" s="2">
        <v>3.5999999999999999E-3</v>
      </c>
      <c r="Q5411" s="2">
        <v>2.0999999999999999E-3</v>
      </c>
      <c r="R5411" s="2">
        <v>2.0999999999999999E-3</v>
      </c>
      <c r="S5411">
        <v>820</v>
      </c>
    </row>
    <row r="5413" spans="1:19" x14ac:dyDescent="0.35">
      <c r="A5413" s="1" t="s">
        <v>1542</v>
      </c>
    </row>
    <row r="5414" spans="1:19" x14ac:dyDescent="0.35">
      <c r="A5414" t="s">
        <v>219</v>
      </c>
      <c r="B5414" t="s">
        <v>301</v>
      </c>
      <c r="C5414" t="s">
        <v>277</v>
      </c>
      <c r="D5414" t="s">
        <v>540</v>
      </c>
      <c r="E5414" t="s">
        <v>1527</v>
      </c>
      <c r="F5414" t="s">
        <v>1528</v>
      </c>
      <c r="G5414" t="s">
        <v>1529</v>
      </c>
      <c r="H5414" t="s">
        <v>318</v>
      </c>
      <c r="I5414" t="s">
        <v>1530</v>
      </c>
      <c r="J5414" t="s">
        <v>1531</v>
      </c>
      <c r="K5414" t="s">
        <v>1532</v>
      </c>
      <c r="L5414" t="s">
        <v>1533</v>
      </c>
      <c r="M5414" t="s">
        <v>1534</v>
      </c>
      <c r="N5414" t="s">
        <v>1535</v>
      </c>
      <c r="O5414" t="s">
        <v>282</v>
      </c>
      <c r="P5414" t="s">
        <v>1536</v>
      </c>
      <c r="Q5414" t="s">
        <v>1537</v>
      </c>
      <c r="R5414" t="s">
        <v>1538</v>
      </c>
      <c r="S5414" t="s">
        <v>226</v>
      </c>
    </row>
    <row r="5415" spans="1:19" x14ac:dyDescent="0.35">
      <c r="A5415" t="s">
        <v>227</v>
      </c>
      <c r="B5415" t="s">
        <v>334</v>
      </c>
      <c r="C5415" s="2">
        <v>0.45800000000000002</v>
      </c>
      <c r="D5415" s="2">
        <v>0.26800000000000002</v>
      </c>
      <c r="E5415" s="2">
        <v>0.11360000000000001</v>
      </c>
      <c r="F5415" s="2">
        <v>8.6800000000000002E-2</v>
      </c>
      <c r="G5415" s="2">
        <v>3.1E-2</v>
      </c>
      <c r="H5415" s="2">
        <v>3.3399999999999999E-2</v>
      </c>
      <c r="I5415" s="2">
        <v>1.5699999999999999E-2</v>
      </c>
      <c r="J5415" s="2">
        <v>3.6299999999999999E-2</v>
      </c>
      <c r="K5415" s="2">
        <v>2.5600000000000001E-2</v>
      </c>
      <c r="L5415" s="2">
        <v>4.0000000000000001E-3</v>
      </c>
      <c r="M5415" s="2">
        <v>1.29E-2</v>
      </c>
      <c r="N5415" s="2">
        <v>4.1999999999999997E-3</v>
      </c>
      <c r="O5415" s="2">
        <v>2.4799999999999999E-2</v>
      </c>
      <c r="P5415" s="2">
        <v>6.1999999999999998E-3</v>
      </c>
      <c r="Q5415" s="2">
        <v>3.5000000000000001E-3</v>
      </c>
      <c r="R5415" s="2">
        <v>5.1999999999999998E-3</v>
      </c>
      <c r="S5415">
        <v>180</v>
      </c>
    </row>
    <row r="5416" spans="1:19" x14ac:dyDescent="0.35">
      <c r="A5416" t="s">
        <v>227</v>
      </c>
      <c r="B5416" t="s">
        <v>335</v>
      </c>
      <c r="C5416" s="2">
        <v>0.32569999999999999</v>
      </c>
      <c r="D5416" s="2">
        <v>0.24740000000000001</v>
      </c>
      <c r="E5416" s="2">
        <v>0.28649999999999998</v>
      </c>
      <c r="F5416" s="2">
        <v>0.16089999999999999</v>
      </c>
      <c r="G5416" s="2">
        <v>0.12609999999999999</v>
      </c>
      <c r="H5416" s="2">
        <v>2.1600000000000001E-2</v>
      </c>
      <c r="I5416" s="2">
        <v>2.93E-2</v>
      </c>
      <c r="J5416" s="2">
        <v>2.4299999999999999E-2</v>
      </c>
      <c r="K5416" s="2">
        <v>1.9300000000000001E-2</v>
      </c>
      <c r="L5416" s="2">
        <v>4.1500000000000002E-2</v>
      </c>
      <c r="M5416" s="2">
        <v>1.2800000000000001E-2</v>
      </c>
      <c r="N5416" s="2">
        <v>1.9E-3</v>
      </c>
      <c r="P5416" s="2">
        <v>5.4999999999999997E-3</v>
      </c>
      <c r="Q5416" s="2">
        <v>1.2999999999999999E-3</v>
      </c>
      <c r="R5416" s="2">
        <v>2.8E-3</v>
      </c>
      <c r="S5416">
        <v>204</v>
      </c>
    </row>
    <row r="5417" spans="1:19" x14ac:dyDescent="0.35">
      <c r="A5417" t="s">
        <v>227</v>
      </c>
      <c r="B5417" t="s">
        <v>336</v>
      </c>
      <c r="C5417" s="2">
        <v>0.36680000000000001</v>
      </c>
      <c r="D5417" s="2">
        <v>0.29089999999999999</v>
      </c>
      <c r="E5417" s="2">
        <v>0.17549999999999999</v>
      </c>
      <c r="F5417" s="2">
        <v>6.1100000000000002E-2</v>
      </c>
      <c r="G5417" s="2">
        <v>6.3399999999999998E-2</v>
      </c>
      <c r="H5417" s="2">
        <v>6.3399999999999998E-2</v>
      </c>
      <c r="I5417" s="2">
        <v>6.8099999999999994E-2</v>
      </c>
      <c r="J5417" s="2">
        <v>4.7E-2</v>
      </c>
      <c r="K5417" s="2">
        <v>5.1999999999999998E-2</v>
      </c>
      <c r="L5417" s="2">
        <v>5.0000000000000001E-3</v>
      </c>
      <c r="M5417" s="2">
        <v>4.3700000000000003E-2</v>
      </c>
      <c r="N5417" s="2">
        <v>2.4199999999999999E-2</v>
      </c>
      <c r="O5417" s="2">
        <v>1.1000000000000001E-3</v>
      </c>
      <c r="P5417" s="2">
        <v>2.3E-3</v>
      </c>
      <c r="Q5417" s="2">
        <v>1.6999999999999999E-3</v>
      </c>
      <c r="R5417" s="2">
        <v>1.1999999999999999E-3</v>
      </c>
      <c r="S5417">
        <v>166</v>
      </c>
    </row>
    <row r="5418" spans="1:19" x14ac:dyDescent="0.35">
      <c r="A5418" t="s">
        <v>227</v>
      </c>
      <c r="B5418" t="s">
        <v>337</v>
      </c>
      <c r="C5418" s="2">
        <v>0.3957</v>
      </c>
      <c r="D5418" s="2">
        <v>0.30620000000000003</v>
      </c>
      <c r="E5418" s="2">
        <v>0.21479999999999999</v>
      </c>
      <c r="F5418" s="2">
        <v>0.1396</v>
      </c>
      <c r="G5418" s="2">
        <v>2.8799999999999999E-2</v>
      </c>
      <c r="H5418" s="2">
        <v>3.2399999999999998E-2</v>
      </c>
      <c r="I5418" s="2">
        <v>1.7299999999999999E-2</v>
      </c>
      <c r="J5418" s="2">
        <v>7.3000000000000001E-3</v>
      </c>
      <c r="K5418" s="2">
        <v>8.8000000000000005E-3</v>
      </c>
      <c r="L5418" s="2">
        <v>2.2000000000000001E-3</v>
      </c>
      <c r="M5418" s="2">
        <v>4.0000000000000001E-3</v>
      </c>
      <c r="N5418" s="2">
        <v>1.4E-2</v>
      </c>
      <c r="P5418" s="2">
        <v>8.9999999999999998E-4</v>
      </c>
      <c r="S5418">
        <v>162</v>
      </c>
    </row>
    <row r="5419" spans="1:19" x14ac:dyDescent="0.35">
      <c r="A5419" t="s">
        <v>228</v>
      </c>
      <c r="B5419" t="s">
        <v>228</v>
      </c>
      <c r="C5419" s="2">
        <v>0.38069999999999998</v>
      </c>
      <c r="D5419" s="2">
        <v>0.27139999999999997</v>
      </c>
      <c r="E5419" s="2">
        <v>0.22270000000000001</v>
      </c>
      <c r="F5419" s="2">
        <v>0.1215</v>
      </c>
      <c r="G5419" s="2">
        <v>7.4499999999999997E-2</v>
      </c>
      <c r="H5419" s="2">
        <v>3.0099999999999998E-2</v>
      </c>
      <c r="I5419" s="2">
        <v>2.8000000000000001E-2</v>
      </c>
      <c r="J5419" s="2">
        <v>2.5600000000000001E-2</v>
      </c>
      <c r="K5419" s="2">
        <v>2.2200000000000001E-2</v>
      </c>
      <c r="L5419" s="2">
        <v>1.77E-2</v>
      </c>
      <c r="M5419" s="2">
        <v>1.5100000000000001E-2</v>
      </c>
      <c r="N5419" s="2">
        <v>8.0999999999999996E-3</v>
      </c>
      <c r="O5419" s="2">
        <v>4.7999999999999996E-3</v>
      </c>
      <c r="P5419" s="2">
        <v>3.5999999999999999E-3</v>
      </c>
      <c r="Q5419" s="2">
        <v>2.0999999999999999E-3</v>
      </c>
      <c r="R5419" s="2">
        <v>2.0999999999999999E-3</v>
      </c>
      <c r="S5419">
        <v>712</v>
      </c>
    </row>
    <row r="5421" spans="1:19" x14ac:dyDescent="0.35">
      <c r="A5421" s="1" t="s">
        <v>1543</v>
      </c>
    </row>
    <row r="5422" spans="1:19" x14ac:dyDescent="0.35">
      <c r="A5422" t="s">
        <v>219</v>
      </c>
      <c r="B5422" t="s">
        <v>301</v>
      </c>
      <c r="C5422" t="s">
        <v>277</v>
      </c>
      <c r="D5422" t="s">
        <v>540</v>
      </c>
      <c r="E5422" t="s">
        <v>1527</v>
      </c>
      <c r="F5422" t="s">
        <v>1528</v>
      </c>
      <c r="G5422" t="s">
        <v>1529</v>
      </c>
      <c r="H5422" t="s">
        <v>318</v>
      </c>
      <c r="I5422" t="s">
        <v>1530</v>
      </c>
      <c r="J5422" t="s">
        <v>1531</v>
      </c>
      <c r="K5422" t="s">
        <v>1532</v>
      </c>
      <c r="L5422" t="s">
        <v>1533</v>
      </c>
      <c r="M5422" t="s">
        <v>1534</v>
      </c>
      <c r="N5422" t="s">
        <v>1535</v>
      </c>
      <c r="O5422" t="s">
        <v>282</v>
      </c>
      <c r="P5422" t="s">
        <v>1536</v>
      </c>
      <c r="Q5422" t="s">
        <v>1537</v>
      </c>
      <c r="R5422" t="s">
        <v>1538</v>
      </c>
      <c r="S5422" t="s">
        <v>226</v>
      </c>
    </row>
    <row r="5423" spans="1:19" x14ac:dyDescent="0.35">
      <c r="A5423" t="s">
        <v>227</v>
      </c>
      <c r="B5423" t="s">
        <v>263</v>
      </c>
      <c r="C5423" s="2">
        <v>0.36470000000000002</v>
      </c>
      <c r="D5423" s="2">
        <v>0.26550000000000001</v>
      </c>
      <c r="E5423" s="2">
        <v>0.24440000000000001</v>
      </c>
      <c r="F5423" s="2">
        <v>0.14749999999999999</v>
      </c>
      <c r="G5423" s="2">
        <v>9.8000000000000004E-2</v>
      </c>
      <c r="H5423" s="2">
        <v>8.0000000000000004E-4</v>
      </c>
      <c r="I5423" s="2">
        <v>3.0800000000000001E-2</v>
      </c>
      <c r="J5423" s="2">
        <v>2.98E-2</v>
      </c>
      <c r="K5423" s="2">
        <v>2.5999999999999999E-2</v>
      </c>
      <c r="L5423" s="2">
        <v>3.7699999999999997E-2</v>
      </c>
      <c r="M5423" s="2">
        <v>2.3300000000000001E-2</v>
      </c>
      <c r="O5423" s="2">
        <v>8.5000000000000006E-3</v>
      </c>
      <c r="P5423" s="2">
        <v>2.3E-3</v>
      </c>
      <c r="R5423" s="2">
        <v>4.0000000000000002E-4</v>
      </c>
      <c r="S5423">
        <v>168</v>
      </c>
    </row>
    <row r="5424" spans="1:19" x14ac:dyDescent="0.35">
      <c r="A5424" t="s">
        <v>227</v>
      </c>
      <c r="B5424" t="s">
        <v>262</v>
      </c>
      <c r="C5424" s="2">
        <v>0.3967</v>
      </c>
      <c r="D5424" s="2">
        <v>0.28389999999999999</v>
      </c>
      <c r="E5424" s="2">
        <v>0.1719</v>
      </c>
      <c r="F5424" s="2">
        <v>0.1108</v>
      </c>
      <c r="G5424" s="2">
        <v>7.5200000000000003E-2</v>
      </c>
      <c r="H5424" s="2">
        <v>3.2899999999999999E-2</v>
      </c>
      <c r="I5424" s="2">
        <v>3.4099999999999998E-2</v>
      </c>
      <c r="J5424" s="2">
        <v>3.4099999999999998E-2</v>
      </c>
      <c r="K5424" s="2">
        <v>2.5499999999999998E-2</v>
      </c>
      <c r="L5424" s="2">
        <v>8.3000000000000001E-3</v>
      </c>
      <c r="M5424" s="2">
        <v>1.8800000000000001E-2</v>
      </c>
      <c r="N5424" s="2">
        <v>1.11E-2</v>
      </c>
      <c r="O5424" s="2">
        <v>6.1999999999999998E-3</v>
      </c>
      <c r="P5424" s="2">
        <v>5.3E-3</v>
      </c>
      <c r="Q5424" s="2">
        <v>2.3E-3</v>
      </c>
      <c r="R5424" s="2">
        <v>3.3E-3</v>
      </c>
      <c r="S5424">
        <v>357</v>
      </c>
    </row>
    <row r="5425" spans="1:19" x14ac:dyDescent="0.35">
      <c r="A5425" t="s">
        <v>227</v>
      </c>
      <c r="B5425" t="s">
        <v>261</v>
      </c>
      <c r="C5425" s="2">
        <v>0.37530000000000002</v>
      </c>
      <c r="D5425" s="2">
        <v>0.2631</v>
      </c>
      <c r="E5425" s="2">
        <v>0.25940000000000002</v>
      </c>
      <c r="F5425" s="2">
        <v>0.11849999999999999</v>
      </c>
      <c r="G5425" s="2">
        <v>6.0499999999999998E-2</v>
      </c>
      <c r="H5425" s="2">
        <v>3.85E-2</v>
      </c>
      <c r="I5425" s="2">
        <v>1.9900000000000001E-2</v>
      </c>
      <c r="J5425" s="2">
        <v>1.44E-2</v>
      </c>
      <c r="K5425" s="2">
        <v>1.66E-2</v>
      </c>
      <c r="L5425" s="2">
        <v>1.61E-2</v>
      </c>
      <c r="M5425" s="2">
        <v>6.4999999999999997E-3</v>
      </c>
      <c r="N5425" s="2">
        <v>9.7999999999999997E-3</v>
      </c>
      <c r="O5425" s="2">
        <v>1.2999999999999999E-3</v>
      </c>
      <c r="P5425" s="2">
        <v>2.7000000000000001E-3</v>
      </c>
      <c r="Q5425" s="2">
        <v>3.3E-3</v>
      </c>
      <c r="R5425" s="2">
        <v>2E-3</v>
      </c>
      <c r="S5425">
        <v>294</v>
      </c>
    </row>
    <row r="5426" spans="1:19" x14ac:dyDescent="0.35">
      <c r="A5426" s="3" t="s">
        <v>227</v>
      </c>
      <c r="B5426" s="3" t="s">
        <v>232</v>
      </c>
      <c r="C5426" s="5"/>
      <c r="D5426" s="5"/>
      <c r="E5426" s="4">
        <v>1</v>
      </c>
      <c r="F5426" s="5"/>
      <c r="G5426" s="5"/>
      <c r="H5426" s="4">
        <v>1</v>
      </c>
      <c r="I5426" s="5"/>
      <c r="J5426" s="5"/>
      <c r="K5426" s="5"/>
      <c r="L5426" s="5"/>
      <c r="M5426" s="5"/>
      <c r="N5426" s="5"/>
      <c r="O5426" s="5"/>
      <c r="P5426" s="5"/>
      <c r="Q5426" s="5"/>
      <c r="R5426" s="5"/>
      <c r="S5426" s="5" t="s">
        <v>323</v>
      </c>
    </row>
    <row r="5427" spans="1:19" x14ac:dyDescent="0.35">
      <c r="A5427" t="s">
        <v>228</v>
      </c>
      <c r="B5427" t="s">
        <v>228</v>
      </c>
      <c r="C5427" s="2">
        <v>0.38069999999999998</v>
      </c>
      <c r="D5427" s="2">
        <v>0.27139999999999997</v>
      </c>
      <c r="E5427" s="2">
        <v>0.22270000000000001</v>
      </c>
      <c r="F5427" s="2">
        <v>0.1215</v>
      </c>
      <c r="G5427" s="2">
        <v>7.4499999999999997E-2</v>
      </c>
      <c r="H5427" s="2">
        <v>3.0099999999999998E-2</v>
      </c>
      <c r="I5427" s="2">
        <v>2.8000000000000001E-2</v>
      </c>
      <c r="J5427" s="2">
        <v>2.5600000000000001E-2</v>
      </c>
      <c r="K5427" s="2">
        <v>2.2200000000000001E-2</v>
      </c>
      <c r="L5427" s="2">
        <v>1.77E-2</v>
      </c>
      <c r="M5427" s="2">
        <v>1.5100000000000001E-2</v>
      </c>
      <c r="N5427" s="2">
        <v>8.0999999999999996E-3</v>
      </c>
      <c r="O5427" s="2">
        <v>4.7999999999999996E-3</v>
      </c>
      <c r="P5427" s="2">
        <v>3.5999999999999999E-3</v>
      </c>
      <c r="Q5427" s="2">
        <v>2.0999999999999999E-3</v>
      </c>
      <c r="R5427" s="2">
        <v>2.0999999999999999E-3</v>
      </c>
      <c r="S5427">
        <v>820</v>
      </c>
    </row>
    <row r="5429" spans="1:19" x14ac:dyDescent="0.35">
      <c r="A5429" s="1" t="s">
        <v>1544</v>
      </c>
    </row>
    <row r="5430" spans="1:19" x14ac:dyDescent="0.35">
      <c r="A5430" t="s">
        <v>219</v>
      </c>
      <c r="B5430" t="s">
        <v>301</v>
      </c>
      <c r="C5430" t="s">
        <v>277</v>
      </c>
      <c r="D5430" t="s">
        <v>540</v>
      </c>
      <c r="E5430" t="s">
        <v>1527</v>
      </c>
      <c r="F5430" t="s">
        <v>1528</v>
      </c>
      <c r="G5430" t="s">
        <v>1529</v>
      </c>
      <c r="H5430" t="s">
        <v>318</v>
      </c>
      <c r="I5430" t="s">
        <v>1530</v>
      </c>
      <c r="J5430" t="s">
        <v>1531</v>
      </c>
      <c r="K5430" t="s">
        <v>1532</v>
      </c>
      <c r="L5430" t="s">
        <v>1533</v>
      </c>
      <c r="M5430" t="s">
        <v>1534</v>
      </c>
      <c r="N5430" t="s">
        <v>1535</v>
      </c>
      <c r="O5430" t="s">
        <v>282</v>
      </c>
      <c r="P5430" t="s">
        <v>1536</v>
      </c>
      <c r="Q5430" t="s">
        <v>1537</v>
      </c>
      <c r="R5430" t="s">
        <v>1538</v>
      </c>
      <c r="S5430" t="s">
        <v>226</v>
      </c>
    </row>
    <row r="5431" spans="1:19" x14ac:dyDescent="0.35">
      <c r="A5431" t="s">
        <v>227</v>
      </c>
      <c r="B5431" t="s">
        <v>248</v>
      </c>
      <c r="C5431" s="2">
        <v>0.5696</v>
      </c>
      <c r="D5431" s="2">
        <v>0.26889999999999997</v>
      </c>
      <c r="E5431" s="2">
        <v>7.3099999999999998E-2</v>
      </c>
      <c r="F5431" s="2">
        <v>6.8500000000000005E-2</v>
      </c>
      <c r="G5431" s="2">
        <v>9.4000000000000004E-3</v>
      </c>
      <c r="H5431" s="2">
        <v>7.1000000000000004E-3</v>
      </c>
      <c r="I5431" s="2">
        <v>9.7000000000000003E-3</v>
      </c>
      <c r="J5431" s="2">
        <v>1.6799999999999999E-2</v>
      </c>
      <c r="K5431" s="2">
        <v>1.72E-2</v>
      </c>
      <c r="L5431" s="2">
        <v>8.0999999999999996E-3</v>
      </c>
      <c r="M5431" s="2">
        <v>9.5999999999999992E-3</v>
      </c>
      <c r="N5431" s="2">
        <v>1E-3</v>
      </c>
      <c r="O5431" s="2">
        <v>1.0500000000000001E-2</v>
      </c>
      <c r="P5431" s="2">
        <v>1.6999999999999999E-3</v>
      </c>
      <c r="Q5431" s="2">
        <v>4.4000000000000003E-3</v>
      </c>
      <c r="R5431" s="2">
        <v>1E-3</v>
      </c>
      <c r="S5431">
        <v>221</v>
      </c>
    </row>
    <row r="5432" spans="1:19" x14ac:dyDescent="0.35">
      <c r="A5432" t="s">
        <v>227</v>
      </c>
      <c r="B5432" t="s">
        <v>249</v>
      </c>
      <c r="C5432" s="2">
        <v>0.41289999999999999</v>
      </c>
      <c r="D5432" s="2">
        <v>0.2414</v>
      </c>
      <c r="E5432" s="2">
        <v>0.2117</v>
      </c>
      <c r="F5432" s="2">
        <v>0.1</v>
      </c>
      <c r="G5432" s="2">
        <v>4.9599999999999998E-2</v>
      </c>
      <c r="H5432" s="2">
        <v>5.8299999999999998E-2</v>
      </c>
      <c r="I5432" s="2">
        <v>4.6699999999999998E-2</v>
      </c>
      <c r="J5432" s="2">
        <v>3.56E-2</v>
      </c>
      <c r="K5432" s="2">
        <v>1.5599999999999999E-2</v>
      </c>
      <c r="L5432" s="2">
        <v>2.3999999999999998E-3</v>
      </c>
      <c r="M5432" s="2">
        <v>2.4199999999999999E-2</v>
      </c>
      <c r="N5432" s="2">
        <v>2.5999999999999999E-3</v>
      </c>
      <c r="O5432" s="2">
        <v>1.04E-2</v>
      </c>
      <c r="P5432" s="2">
        <v>3.5999999999999999E-3</v>
      </c>
      <c r="Q5432" s="2">
        <v>3.0999999999999999E-3</v>
      </c>
      <c r="R5432" s="2">
        <v>3.5999999999999999E-3</v>
      </c>
      <c r="S5432">
        <v>161</v>
      </c>
    </row>
    <row r="5433" spans="1:19" x14ac:dyDescent="0.35">
      <c r="A5433" t="s">
        <v>227</v>
      </c>
      <c r="B5433" t="s">
        <v>247</v>
      </c>
      <c r="C5433" s="2">
        <v>0.28920000000000001</v>
      </c>
      <c r="D5433" s="2">
        <v>0.28139999999999998</v>
      </c>
      <c r="E5433" s="2">
        <v>0.29089999999999999</v>
      </c>
      <c r="F5433" s="2">
        <v>0.151</v>
      </c>
      <c r="G5433" s="2">
        <v>0.1101</v>
      </c>
      <c r="H5433" s="2">
        <v>3.1600000000000003E-2</v>
      </c>
      <c r="I5433" s="2">
        <v>3.0300000000000001E-2</v>
      </c>
      <c r="J5433" s="2">
        <v>2.6499999999999999E-2</v>
      </c>
      <c r="K5433" s="2">
        <v>2.63E-2</v>
      </c>
      <c r="L5433" s="2">
        <v>2.64E-2</v>
      </c>
      <c r="M5433" s="2">
        <v>1.4800000000000001E-2</v>
      </c>
      <c r="N5433" s="2">
        <v>1.29E-2</v>
      </c>
      <c r="O5433" s="2">
        <v>6.9999999999999999E-4</v>
      </c>
      <c r="P5433" s="2">
        <v>4.4999999999999997E-3</v>
      </c>
      <c r="Q5433" s="2">
        <v>8.0000000000000004E-4</v>
      </c>
      <c r="R5433" s="2">
        <v>2.2000000000000001E-3</v>
      </c>
      <c r="S5433">
        <v>438</v>
      </c>
    </row>
    <row r="5434" spans="1:19" x14ac:dyDescent="0.35">
      <c r="A5434" t="s">
        <v>228</v>
      </c>
      <c r="B5434" t="s">
        <v>228</v>
      </c>
      <c r="C5434" s="2">
        <v>0.38069999999999998</v>
      </c>
      <c r="D5434" s="2">
        <v>0.27139999999999997</v>
      </c>
      <c r="E5434" s="2">
        <v>0.22270000000000001</v>
      </c>
      <c r="F5434" s="2">
        <v>0.1215</v>
      </c>
      <c r="G5434" s="2">
        <v>7.4499999999999997E-2</v>
      </c>
      <c r="H5434" s="2">
        <v>3.0099999999999998E-2</v>
      </c>
      <c r="I5434" s="2">
        <v>2.8000000000000001E-2</v>
      </c>
      <c r="J5434" s="2">
        <v>2.5600000000000001E-2</v>
      </c>
      <c r="K5434" s="2">
        <v>2.2200000000000001E-2</v>
      </c>
      <c r="L5434" s="2">
        <v>1.77E-2</v>
      </c>
      <c r="M5434" s="2">
        <v>1.5100000000000001E-2</v>
      </c>
      <c r="N5434" s="2">
        <v>8.0999999999999996E-3</v>
      </c>
      <c r="O5434" s="2">
        <v>4.7999999999999996E-3</v>
      </c>
      <c r="P5434" s="2">
        <v>3.5999999999999999E-3</v>
      </c>
      <c r="Q5434" s="2">
        <v>2.0999999999999999E-3</v>
      </c>
      <c r="R5434" s="2">
        <v>2.0999999999999999E-3</v>
      </c>
      <c r="S5434">
        <v>820</v>
      </c>
    </row>
    <row r="5436" spans="1:19" x14ac:dyDescent="0.35">
      <c r="A5436" s="1" t="s">
        <v>1545</v>
      </c>
    </row>
    <row r="5437" spans="1:19" x14ac:dyDescent="0.35">
      <c r="A5437" t="s">
        <v>219</v>
      </c>
      <c r="B5437" t="s">
        <v>301</v>
      </c>
      <c r="C5437" t="s">
        <v>277</v>
      </c>
      <c r="D5437" t="s">
        <v>540</v>
      </c>
      <c r="E5437" t="s">
        <v>1527</v>
      </c>
      <c r="F5437" t="s">
        <v>1528</v>
      </c>
      <c r="G5437" t="s">
        <v>1529</v>
      </c>
      <c r="H5437" t="s">
        <v>318</v>
      </c>
      <c r="I5437" t="s">
        <v>1530</v>
      </c>
      <c r="J5437" t="s">
        <v>1531</v>
      </c>
      <c r="K5437" t="s">
        <v>1532</v>
      </c>
      <c r="L5437" t="s">
        <v>1533</v>
      </c>
      <c r="M5437" t="s">
        <v>1534</v>
      </c>
      <c r="N5437" t="s">
        <v>1535</v>
      </c>
      <c r="O5437" t="s">
        <v>282</v>
      </c>
      <c r="P5437" t="s">
        <v>1536</v>
      </c>
      <c r="Q5437" t="s">
        <v>1537</v>
      </c>
      <c r="R5437" t="s">
        <v>1538</v>
      </c>
      <c r="S5437" t="s">
        <v>226</v>
      </c>
    </row>
    <row r="5438" spans="1:19" x14ac:dyDescent="0.35">
      <c r="A5438" t="s">
        <v>227</v>
      </c>
      <c r="B5438" t="s">
        <v>245</v>
      </c>
      <c r="C5438" s="2">
        <v>0.27529999999999999</v>
      </c>
      <c r="D5438" s="2">
        <v>0.24679999999999999</v>
      </c>
      <c r="E5438" s="2">
        <v>0.3155</v>
      </c>
      <c r="F5438" s="2">
        <v>0.14560000000000001</v>
      </c>
      <c r="G5438" s="2">
        <v>9.8100000000000007E-2</v>
      </c>
      <c r="H5438" s="2">
        <v>5.91E-2</v>
      </c>
      <c r="I5438" s="2">
        <v>3.6900000000000002E-2</v>
      </c>
      <c r="J5438" s="2">
        <v>1.6199999999999999E-2</v>
      </c>
      <c r="K5438" s="2">
        <v>3.3599999999999998E-2</v>
      </c>
      <c r="L5438" s="2">
        <v>2.07E-2</v>
      </c>
      <c r="M5438" s="2">
        <v>2.3800000000000002E-2</v>
      </c>
      <c r="N5438" s="2">
        <v>2.4199999999999999E-2</v>
      </c>
      <c r="O5438" s="2">
        <v>2.9999999999999997E-4</v>
      </c>
      <c r="P5438" s="2">
        <v>8.9999999999999998E-4</v>
      </c>
      <c r="Q5438" s="2">
        <v>5.9999999999999995E-4</v>
      </c>
      <c r="S5438">
        <v>212</v>
      </c>
    </row>
    <row r="5439" spans="1:19" x14ac:dyDescent="0.35">
      <c r="A5439" t="s">
        <v>227</v>
      </c>
      <c r="B5439" t="s">
        <v>244</v>
      </c>
      <c r="C5439" s="2">
        <v>0.42209999999999998</v>
      </c>
      <c r="D5439" s="2">
        <v>0.28100000000000003</v>
      </c>
      <c r="E5439" s="2">
        <v>0.18629999999999999</v>
      </c>
      <c r="F5439" s="2">
        <v>0.11210000000000001</v>
      </c>
      <c r="G5439" s="2">
        <v>6.5199999999999994E-2</v>
      </c>
      <c r="H5439" s="2">
        <v>1.8700000000000001E-2</v>
      </c>
      <c r="I5439" s="2">
        <v>2.4500000000000001E-2</v>
      </c>
      <c r="J5439" s="2">
        <v>2.93E-2</v>
      </c>
      <c r="K5439" s="2">
        <v>1.77E-2</v>
      </c>
      <c r="L5439" s="2">
        <v>1.6500000000000001E-2</v>
      </c>
      <c r="M5439" s="2">
        <v>1.17E-2</v>
      </c>
      <c r="N5439" s="2">
        <v>1.8E-3</v>
      </c>
      <c r="O5439" s="2">
        <v>6.6E-3</v>
      </c>
      <c r="P5439" s="2">
        <v>4.7000000000000002E-3</v>
      </c>
      <c r="Q5439" s="2">
        <v>2.7000000000000001E-3</v>
      </c>
      <c r="R5439" s="2">
        <v>3.0000000000000001E-3</v>
      </c>
      <c r="S5439">
        <v>608</v>
      </c>
    </row>
    <row r="5440" spans="1:19" x14ac:dyDescent="0.35">
      <c r="A5440" t="s">
        <v>228</v>
      </c>
      <c r="B5440" t="s">
        <v>228</v>
      </c>
      <c r="C5440" s="2">
        <v>0.38069999999999998</v>
      </c>
      <c r="D5440" s="2">
        <v>0.27139999999999997</v>
      </c>
      <c r="E5440" s="2">
        <v>0.22270000000000001</v>
      </c>
      <c r="F5440" s="2">
        <v>0.1215</v>
      </c>
      <c r="G5440" s="2">
        <v>7.4499999999999997E-2</v>
      </c>
      <c r="H5440" s="2">
        <v>3.0099999999999998E-2</v>
      </c>
      <c r="I5440" s="2">
        <v>2.8000000000000001E-2</v>
      </c>
      <c r="J5440" s="2">
        <v>2.5600000000000001E-2</v>
      </c>
      <c r="K5440" s="2">
        <v>2.2200000000000001E-2</v>
      </c>
      <c r="L5440" s="2">
        <v>1.77E-2</v>
      </c>
      <c r="M5440" s="2">
        <v>1.5100000000000001E-2</v>
      </c>
      <c r="N5440" s="2">
        <v>8.0999999999999996E-3</v>
      </c>
      <c r="O5440" s="2">
        <v>4.7999999999999996E-3</v>
      </c>
      <c r="P5440" s="2">
        <v>3.5999999999999999E-3</v>
      </c>
      <c r="Q5440" s="2">
        <v>2.0999999999999999E-3</v>
      </c>
      <c r="R5440" s="2">
        <v>2.0999999999999999E-3</v>
      </c>
      <c r="S5440">
        <v>820</v>
      </c>
    </row>
    <row r="5442" spans="1:19" x14ac:dyDescent="0.35">
      <c r="A5442" s="1" t="s">
        <v>1546</v>
      </c>
    </row>
    <row r="5443" spans="1:19" x14ac:dyDescent="0.35">
      <c r="A5443" t="s">
        <v>219</v>
      </c>
      <c r="B5443" t="s">
        <v>301</v>
      </c>
      <c r="C5443" t="s">
        <v>277</v>
      </c>
      <c r="D5443" t="s">
        <v>540</v>
      </c>
      <c r="E5443" t="s">
        <v>1527</v>
      </c>
      <c r="F5443" t="s">
        <v>1528</v>
      </c>
      <c r="G5443" t="s">
        <v>1529</v>
      </c>
      <c r="H5443" t="s">
        <v>318</v>
      </c>
      <c r="I5443" t="s">
        <v>1530</v>
      </c>
      <c r="J5443" t="s">
        <v>1531</v>
      </c>
      <c r="K5443" t="s">
        <v>1532</v>
      </c>
      <c r="L5443" t="s">
        <v>1533</v>
      </c>
      <c r="M5443" t="s">
        <v>1534</v>
      </c>
      <c r="N5443" t="s">
        <v>1535</v>
      </c>
      <c r="O5443" t="s">
        <v>282</v>
      </c>
      <c r="P5443" t="s">
        <v>1536</v>
      </c>
      <c r="Q5443" t="s">
        <v>1537</v>
      </c>
      <c r="R5443" t="s">
        <v>1538</v>
      </c>
      <c r="S5443" t="s">
        <v>226</v>
      </c>
    </row>
    <row r="5444" spans="1:19" x14ac:dyDescent="0.35">
      <c r="A5444" s="3" t="s">
        <v>227</v>
      </c>
      <c r="B5444" s="3" t="s">
        <v>259</v>
      </c>
      <c r="C5444" s="4">
        <v>6.5100000000000005E-2</v>
      </c>
      <c r="D5444" s="4">
        <v>0.77980000000000005</v>
      </c>
      <c r="E5444" s="4">
        <v>6.3E-3</v>
      </c>
      <c r="F5444" s="4">
        <v>4.48E-2</v>
      </c>
      <c r="G5444" s="5"/>
      <c r="H5444" s="4">
        <v>3.85E-2</v>
      </c>
      <c r="I5444" s="4">
        <v>8.3299999999999999E-2</v>
      </c>
      <c r="J5444" s="4">
        <v>6.4899999999999999E-2</v>
      </c>
      <c r="K5444" s="5"/>
      <c r="L5444" s="4">
        <v>6.3E-3</v>
      </c>
      <c r="M5444" s="4">
        <v>1.2500000000000001E-2</v>
      </c>
      <c r="N5444" s="5"/>
      <c r="O5444" s="5"/>
      <c r="P5444" s="4">
        <v>6.3E-3</v>
      </c>
      <c r="Q5444" s="5"/>
      <c r="R5444" s="4">
        <v>6.3E-3</v>
      </c>
      <c r="S5444" s="5" t="s">
        <v>429</v>
      </c>
    </row>
    <row r="5445" spans="1:19" x14ac:dyDescent="0.35">
      <c r="A5445" t="s">
        <v>227</v>
      </c>
      <c r="B5445" t="s">
        <v>257</v>
      </c>
      <c r="C5445" s="2">
        <v>0.40229999999999999</v>
      </c>
      <c r="D5445" s="2">
        <v>0.28960000000000002</v>
      </c>
      <c r="E5445" s="2">
        <v>0.1888</v>
      </c>
      <c r="F5445" s="2">
        <v>5.8299999999999998E-2</v>
      </c>
      <c r="G5445" s="2">
        <v>7.6899999999999996E-2</v>
      </c>
      <c r="I5445" s="2">
        <v>5.6300000000000003E-2</v>
      </c>
      <c r="J5445" s="2">
        <v>4.0500000000000001E-2</v>
      </c>
      <c r="K5445" s="2">
        <v>4.4499999999999998E-2</v>
      </c>
      <c r="L5445" s="2">
        <v>3.6299999999999999E-2</v>
      </c>
      <c r="M5445" s="2">
        <v>3.7199999999999997E-2</v>
      </c>
      <c r="N5445" s="2">
        <v>2.53E-2</v>
      </c>
      <c r="P5445" s="2">
        <v>3.0000000000000001E-3</v>
      </c>
      <c r="Q5445" s="2">
        <v>3.0000000000000001E-3</v>
      </c>
      <c r="R5445" s="2">
        <v>1.9E-3</v>
      </c>
      <c r="S5445">
        <v>104</v>
      </c>
    </row>
    <row r="5446" spans="1:19" x14ac:dyDescent="0.35">
      <c r="A5446" t="s">
        <v>227</v>
      </c>
      <c r="B5446" t="s">
        <v>256</v>
      </c>
      <c r="C5446" s="2">
        <v>0.42709999999999998</v>
      </c>
      <c r="D5446" s="2">
        <v>0.26429999999999998</v>
      </c>
      <c r="E5446" s="2">
        <v>0.2072</v>
      </c>
      <c r="F5446" s="2">
        <v>0.1077</v>
      </c>
      <c r="G5446" s="2">
        <v>7.0800000000000002E-2</v>
      </c>
      <c r="H5446" s="2">
        <v>3.5200000000000002E-2</v>
      </c>
      <c r="I5446" s="2">
        <v>1.4500000000000001E-2</v>
      </c>
      <c r="J5446" s="2">
        <v>1.67E-2</v>
      </c>
      <c r="K5446" s="2">
        <v>1.06E-2</v>
      </c>
      <c r="L5446" s="2">
        <v>7.7999999999999996E-3</v>
      </c>
      <c r="M5446" s="2">
        <v>7.4000000000000003E-3</v>
      </c>
      <c r="N5446" s="2">
        <v>1.6999999999999999E-3</v>
      </c>
      <c r="O5446" s="2">
        <v>6.8999999999999999E-3</v>
      </c>
      <c r="P5446" s="2">
        <v>4.0000000000000001E-3</v>
      </c>
      <c r="Q5446" s="2">
        <v>1.4E-3</v>
      </c>
      <c r="R5446" s="2">
        <v>2.3E-3</v>
      </c>
      <c r="S5446">
        <v>511</v>
      </c>
    </row>
    <row r="5447" spans="1:19" x14ac:dyDescent="0.35">
      <c r="A5447" s="3" t="s">
        <v>227</v>
      </c>
      <c r="B5447" s="3" t="s">
        <v>232</v>
      </c>
      <c r="C5447" s="4">
        <v>0.5454</v>
      </c>
      <c r="D5447" s="4">
        <v>0.4546</v>
      </c>
      <c r="E5447" s="5"/>
      <c r="F5447" s="5"/>
      <c r="G5447" s="5"/>
      <c r="H5447" s="5"/>
      <c r="I5447" s="5"/>
      <c r="J5447" s="5"/>
      <c r="K5447" s="5"/>
      <c r="L5447" s="5"/>
      <c r="M5447" s="5"/>
      <c r="N5447" s="5"/>
      <c r="O5447" s="5"/>
      <c r="P5447" s="5"/>
      <c r="Q5447" s="5"/>
      <c r="R5447" s="5"/>
      <c r="S5447" s="5" t="s">
        <v>341</v>
      </c>
    </row>
    <row r="5448" spans="1:19" x14ac:dyDescent="0.35">
      <c r="A5448" t="s">
        <v>227</v>
      </c>
      <c r="B5448" t="s">
        <v>258</v>
      </c>
      <c r="C5448" s="2">
        <v>0.22209999999999999</v>
      </c>
      <c r="D5448" s="2">
        <v>0.24110000000000001</v>
      </c>
      <c r="E5448" s="2">
        <v>0.3236</v>
      </c>
      <c r="F5448" s="2">
        <v>0.22800000000000001</v>
      </c>
      <c r="G5448" s="2">
        <v>9.2100000000000001E-2</v>
      </c>
      <c r="H5448" s="2">
        <v>3.5299999999999998E-2</v>
      </c>
      <c r="I5448" s="2">
        <v>4.9399999999999999E-2</v>
      </c>
      <c r="J5448" s="2">
        <v>4.2700000000000002E-2</v>
      </c>
      <c r="K5448" s="2">
        <v>4.7899999999999998E-2</v>
      </c>
      <c r="L5448" s="2">
        <v>3.9199999999999999E-2</v>
      </c>
      <c r="M5448" s="2">
        <v>2.53E-2</v>
      </c>
      <c r="N5448" s="2">
        <v>1.8200000000000001E-2</v>
      </c>
      <c r="O5448" s="2">
        <v>1.8E-3</v>
      </c>
      <c r="P5448" s="2">
        <v>2.5999999999999999E-3</v>
      </c>
      <c r="Q5448" s="2">
        <v>4.3E-3</v>
      </c>
      <c r="R5448" s="2">
        <v>1.6000000000000001E-3</v>
      </c>
      <c r="S5448">
        <v>182</v>
      </c>
    </row>
    <row r="5449" spans="1:19" x14ac:dyDescent="0.35">
      <c r="A5449" t="s">
        <v>228</v>
      </c>
      <c r="B5449" t="s">
        <v>228</v>
      </c>
      <c r="C5449" s="2">
        <v>0.38069999999999998</v>
      </c>
      <c r="D5449" s="2">
        <v>0.27139999999999997</v>
      </c>
      <c r="E5449" s="2">
        <v>0.22270000000000001</v>
      </c>
      <c r="F5449" s="2">
        <v>0.1215</v>
      </c>
      <c r="G5449" s="2">
        <v>7.4499999999999997E-2</v>
      </c>
      <c r="H5449" s="2">
        <v>3.0099999999999998E-2</v>
      </c>
      <c r="I5449" s="2">
        <v>2.8000000000000001E-2</v>
      </c>
      <c r="J5449" s="2">
        <v>2.5600000000000001E-2</v>
      </c>
      <c r="K5449" s="2">
        <v>2.2200000000000001E-2</v>
      </c>
      <c r="L5449" s="2">
        <v>1.77E-2</v>
      </c>
      <c r="M5449" s="2">
        <v>1.5100000000000001E-2</v>
      </c>
      <c r="N5449" s="2">
        <v>8.0999999999999996E-3</v>
      </c>
      <c r="O5449" s="2">
        <v>4.7999999999999996E-3</v>
      </c>
      <c r="P5449" s="2">
        <v>3.5999999999999999E-3</v>
      </c>
      <c r="Q5449" s="2">
        <v>2.0999999999999999E-3</v>
      </c>
      <c r="R5449" s="2">
        <v>2.0999999999999999E-3</v>
      </c>
      <c r="S5449">
        <v>820</v>
      </c>
    </row>
    <row r="5451" spans="1:19" x14ac:dyDescent="0.35">
      <c r="A5451" s="1" t="s">
        <v>1547</v>
      </c>
    </row>
    <row r="5452" spans="1:19" x14ac:dyDescent="0.35">
      <c r="A5452" t="s">
        <v>219</v>
      </c>
      <c r="B5452" t="s">
        <v>301</v>
      </c>
      <c r="C5452" t="s">
        <v>277</v>
      </c>
      <c r="D5452" t="s">
        <v>540</v>
      </c>
      <c r="E5452" t="s">
        <v>1527</v>
      </c>
      <c r="F5452" t="s">
        <v>1528</v>
      </c>
      <c r="G5452" t="s">
        <v>1529</v>
      </c>
      <c r="H5452" t="s">
        <v>318</v>
      </c>
      <c r="I5452" t="s">
        <v>1530</v>
      </c>
      <c r="J5452" t="s">
        <v>1531</v>
      </c>
      <c r="K5452" t="s">
        <v>1532</v>
      </c>
      <c r="L5452" t="s">
        <v>1533</v>
      </c>
      <c r="M5452" t="s">
        <v>1534</v>
      </c>
      <c r="N5452" t="s">
        <v>1535</v>
      </c>
      <c r="O5452" t="s">
        <v>282</v>
      </c>
      <c r="P5452" t="s">
        <v>1536</v>
      </c>
      <c r="Q5452" t="s">
        <v>1537</v>
      </c>
      <c r="R5452" t="s">
        <v>1538</v>
      </c>
      <c r="S5452" t="s">
        <v>226</v>
      </c>
    </row>
    <row r="5453" spans="1:19" x14ac:dyDescent="0.35">
      <c r="A5453" t="s">
        <v>227</v>
      </c>
      <c r="B5453" t="s">
        <v>343</v>
      </c>
      <c r="C5453" s="2">
        <v>0.40229999999999999</v>
      </c>
      <c r="D5453" s="2">
        <v>0.28960000000000002</v>
      </c>
      <c r="E5453" s="2">
        <v>0.1888</v>
      </c>
      <c r="F5453" s="2">
        <v>5.8299999999999998E-2</v>
      </c>
      <c r="G5453" s="2">
        <v>7.6899999999999996E-2</v>
      </c>
      <c r="I5453" s="2">
        <v>5.6300000000000003E-2</v>
      </c>
      <c r="J5453" s="2">
        <v>4.0500000000000001E-2</v>
      </c>
      <c r="K5453" s="2">
        <v>4.4499999999999998E-2</v>
      </c>
      <c r="L5453" s="2">
        <v>3.6299999999999999E-2</v>
      </c>
      <c r="M5453" s="2">
        <v>3.7199999999999997E-2</v>
      </c>
      <c r="N5453" s="2">
        <v>2.53E-2</v>
      </c>
      <c r="P5453" s="2">
        <v>3.0000000000000001E-3</v>
      </c>
      <c r="Q5453" s="2">
        <v>3.0000000000000001E-3</v>
      </c>
      <c r="R5453" s="2">
        <v>1.9E-3</v>
      </c>
      <c r="S5453">
        <v>104</v>
      </c>
    </row>
    <row r="5454" spans="1:19" x14ac:dyDescent="0.35">
      <c r="A5454" t="s">
        <v>227</v>
      </c>
      <c r="B5454" t="s">
        <v>344</v>
      </c>
      <c r="C5454" s="2">
        <v>0.37709999999999999</v>
      </c>
      <c r="D5454" s="2">
        <v>0.26829999999999998</v>
      </c>
      <c r="E5454" s="2">
        <v>0.22850000000000001</v>
      </c>
      <c r="F5454" s="2">
        <v>0.1323</v>
      </c>
      <c r="G5454" s="2">
        <v>7.4099999999999999E-2</v>
      </c>
      <c r="H5454" s="2">
        <v>3.5200000000000002E-2</v>
      </c>
      <c r="I5454" s="2">
        <v>2.3099999999999999E-2</v>
      </c>
      <c r="J5454" s="2">
        <v>2.3099999999999999E-2</v>
      </c>
      <c r="K5454" s="2">
        <v>1.84E-2</v>
      </c>
      <c r="L5454" s="2">
        <v>1.4500000000000001E-2</v>
      </c>
      <c r="M5454" s="2">
        <v>1.14E-2</v>
      </c>
      <c r="N5454" s="2">
        <v>5.1999999999999998E-3</v>
      </c>
      <c r="O5454" s="2">
        <v>5.5999999999999999E-3</v>
      </c>
      <c r="P5454" s="2">
        <v>3.7000000000000002E-3</v>
      </c>
      <c r="Q5454" s="2">
        <v>2E-3</v>
      </c>
      <c r="R5454" s="2">
        <v>2.2000000000000001E-3</v>
      </c>
      <c r="S5454">
        <v>716</v>
      </c>
    </row>
    <row r="5455" spans="1:19" x14ac:dyDescent="0.35">
      <c r="A5455" t="s">
        <v>228</v>
      </c>
      <c r="B5455" t="s">
        <v>228</v>
      </c>
      <c r="C5455" s="2">
        <v>0.38069999999999998</v>
      </c>
      <c r="D5455" s="2">
        <v>0.27139999999999997</v>
      </c>
      <c r="E5455" s="2">
        <v>0.22270000000000001</v>
      </c>
      <c r="F5455" s="2">
        <v>0.1215</v>
      </c>
      <c r="G5455" s="2">
        <v>7.4499999999999997E-2</v>
      </c>
      <c r="H5455" s="2">
        <v>3.0099999999999998E-2</v>
      </c>
      <c r="I5455" s="2">
        <v>2.8000000000000001E-2</v>
      </c>
      <c r="J5455" s="2">
        <v>2.5600000000000001E-2</v>
      </c>
      <c r="K5455" s="2">
        <v>2.2200000000000001E-2</v>
      </c>
      <c r="L5455" s="2">
        <v>1.77E-2</v>
      </c>
      <c r="M5455" s="2">
        <v>1.5100000000000001E-2</v>
      </c>
      <c r="N5455" s="2">
        <v>8.0999999999999996E-3</v>
      </c>
      <c r="O5455" s="2">
        <v>4.7999999999999996E-3</v>
      </c>
      <c r="P5455" s="2">
        <v>3.5999999999999999E-3</v>
      </c>
      <c r="Q5455" s="2">
        <v>2.0999999999999999E-3</v>
      </c>
      <c r="R5455" s="2">
        <v>2.0999999999999999E-3</v>
      </c>
      <c r="S5455">
        <v>820</v>
      </c>
    </row>
    <row r="5457" spans="1:19" x14ac:dyDescent="0.35">
      <c r="A5457" s="1" t="s">
        <v>1548</v>
      </c>
    </row>
    <row r="5458" spans="1:19" x14ac:dyDescent="0.35">
      <c r="A5458" t="s">
        <v>219</v>
      </c>
      <c r="B5458" t="s">
        <v>301</v>
      </c>
      <c r="C5458" t="s">
        <v>277</v>
      </c>
      <c r="D5458" t="s">
        <v>540</v>
      </c>
      <c r="E5458" t="s">
        <v>1527</v>
      </c>
      <c r="F5458" t="s">
        <v>1528</v>
      </c>
      <c r="G5458" t="s">
        <v>1529</v>
      </c>
      <c r="H5458" t="s">
        <v>318</v>
      </c>
      <c r="I5458" t="s">
        <v>1530</v>
      </c>
      <c r="J5458" t="s">
        <v>1531</v>
      </c>
      <c r="K5458" t="s">
        <v>1532</v>
      </c>
      <c r="L5458" t="s">
        <v>1533</v>
      </c>
      <c r="M5458" t="s">
        <v>1534</v>
      </c>
      <c r="N5458" t="s">
        <v>1535</v>
      </c>
      <c r="O5458" t="s">
        <v>282</v>
      </c>
      <c r="P5458" t="s">
        <v>1536</v>
      </c>
      <c r="Q5458" t="s">
        <v>1537</v>
      </c>
      <c r="R5458" t="s">
        <v>1538</v>
      </c>
      <c r="S5458" t="s">
        <v>226</v>
      </c>
    </row>
    <row r="5459" spans="1:19" x14ac:dyDescent="0.35">
      <c r="A5459" t="s">
        <v>227</v>
      </c>
      <c r="B5459" t="s">
        <v>346</v>
      </c>
      <c r="C5459" s="2">
        <v>0.38059999999999999</v>
      </c>
      <c r="D5459" s="2">
        <v>0.27739999999999998</v>
      </c>
      <c r="E5459" s="2">
        <v>0.2276</v>
      </c>
      <c r="F5459" s="2">
        <v>0.1178</v>
      </c>
      <c r="G5459" s="2">
        <v>7.4899999999999994E-2</v>
      </c>
      <c r="H5459" s="2">
        <v>3.39E-2</v>
      </c>
      <c r="I5459" s="2">
        <v>1.7500000000000002E-2</v>
      </c>
      <c r="J5459" s="2">
        <v>1.5699999999999999E-2</v>
      </c>
      <c r="K5459" s="2">
        <v>1.6899999999999998E-2</v>
      </c>
      <c r="L5459" s="2">
        <v>1.52E-2</v>
      </c>
      <c r="M5459" s="2">
        <v>0.01</v>
      </c>
      <c r="N5459" s="2">
        <v>7.6E-3</v>
      </c>
      <c r="O5459" s="2">
        <v>4.8999999999999998E-3</v>
      </c>
      <c r="P5459" s="2">
        <v>4.0000000000000002E-4</v>
      </c>
      <c r="Q5459" s="2">
        <v>4.0000000000000002E-4</v>
      </c>
      <c r="R5459" s="2">
        <v>2.0000000000000001E-4</v>
      </c>
      <c r="S5459">
        <v>429</v>
      </c>
    </row>
    <row r="5460" spans="1:19" x14ac:dyDescent="0.35">
      <c r="A5460" t="s">
        <v>227</v>
      </c>
      <c r="B5460" t="s">
        <v>347</v>
      </c>
      <c r="C5460" s="2">
        <v>0.31009999999999999</v>
      </c>
      <c r="D5460" s="2">
        <v>0.24260000000000001</v>
      </c>
      <c r="E5460" s="2">
        <v>0.22559999999999999</v>
      </c>
      <c r="F5460" s="2">
        <v>0.14050000000000001</v>
      </c>
      <c r="G5460" s="2">
        <v>6.5299999999999997E-2</v>
      </c>
      <c r="H5460" s="2">
        <v>8.8999999999999999E-3</v>
      </c>
      <c r="I5460" s="2">
        <v>0.12870000000000001</v>
      </c>
      <c r="J5460" s="2">
        <v>0.16300000000000001</v>
      </c>
      <c r="K5460" s="2">
        <v>6.2600000000000003E-2</v>
      </c>
      <c r="L5460" s="2">
        <v>7.1099999999999997E-2</v>
      </c>
      <c r="M5460" s="2">
        <v>0.10630000000000001</v>
      </c>
      <c r="N5460" s="2">
        <v>3.2199999999999999E-2</v>
      </c>
      <c r="O5460" s="2">
        <v>1.14E-2</v>
      </c>
      <c r="P5460" s="2">
        <v>5.8700000000000002E-2</v>
      </c>
      <c r="Q5460" s="2">
        <v>2.0299999999999999E-2</v>
      </c>
      <c r="R5460" s="2">
        <v>4.4299999999999999E-2</v>
      </c>
      <c r="S5460">
        <v>169</v>
      </c>
    </row>
    <row r="5461" spans="1:19" x14ac:dyDescent="0.35">
      <c r="A5461" t="s">
        <v>227</v>
      </c>
      <c r="B5461" t="s">
        <v>348</v>
      </c>
      <c r="C5461" s="2">
        <v>0.40720000000000001</v>
      </c>
      <c r="D5461" s="2">
        <v>0.23039999999999999</v>
      </c>
      <c r="E5461" s="2">
        <v>0.1807</v>
      </c>
      <c r="F5461" s="2">
        <v>0.14610000000000001</v>
      </c>
      <c r="G5461" s="2">
        <v>7.4399999999999994E-2</v>
      </c>
      <c r="H5461" s="2">
        <v>5.4999999999999997E-3</v>
      </c>
      <c r="I5461" s="2">
        <v>8.0699999999999994E-2</v>
      </c>
      <c r="J5461" s="2">
        <v>6.0900000000000003E-2</v>
      </c>
      <c r="K5461" s="2">
        <v>5.28E-2</v>
      </c>
      <c r="L5461" s="2">
        <v>1.9699999999999999E-2</v>
      </c>
      <c r="M5461" s="2">
        <v>2.58E-2</v>
      </c>
      <c r="N5461" s="2">
        <v>4.3E-3</v>
      </c>
      <c r="O5461" s="2">
        <v>1.6000000000000001E-3</v>
      </c>
      <c r="P5461" s="2">
        <v>1.14E-2</v>
      </c>
      <c r="Q5461" s="2">
        <v>1.04E-2</v>
      </c>
      <c r="R5461" s="2">
        <v>3.5999999999999999E-3</v>
      </c>
      <c r="S5461">
        <v>222</v>
      </c>
    </row>
    <row r="5462" spans="1:19" x14ac:dyDescent="0.35">
      <c r="A5462" t="s">
        <v>228</v>
      </c>
      <c r="B5462" t="s">
        <v>228</v>
      </c>
      <c r="C5462" s="2">
        <v>0.38069999999999998</v>
      </c>
      <c r="D5462" s="2">
        <v>0.27139999999999997</v>
      </c>
      <c r="E5462" s="2">
        <v>0.22270000000000001</v>
      </c>
      <c r="F5462" s="2">
        <v>0.1215</v>
      </c>
      <c r="G5462" s="2">
        <v>7.4499999999999997E-2</v>
      </c>
      <c r="H5462" s="2">
        <v>3.0099999999999998E-2</v>
      </c>
      <c r="I5462" s="2">
        <v>2.8000000000000001E-2</v>
      </c>
      <c r="J5462" s="2">
        <v>2.5600000000000001E-2</v>
      </c>
      <c r="K5462" s="2">
        <v>2.2200000000000001E-2</v>
      </c>
      <c r="L5462" s="2">
        <v>1.77E-2</v>
      </c>
      <c r="M5462" s="2">
        <v>1.5100000000000001E-2</v>
      </c>
      <c r="N5462" s="2">
        <v>8.0999999999999996E-3</v>
      </c>
      <c r="O5462" s="2">
        <v>4.7999999999999996E-3</v>
      </c>
      <c r="P5462" s="2">
        <v>3.5999999999999999E-3</v>
      </c>
      <c r="Q5462" s="2">
        <v>2.0999999999999999E-3</v>
      </c>
      <c r="R5462" s="2">
        <v>2.0999999999999999E-3</v>
      </c>
      <c r="S5462">
        <v>820</v>
      </c>
    </row>
    <row r="5464" spans="1:19" x14ac:dyDescent="0.35">
      <c r="A5464" s="1" t="s">
        <v>1549</v>
      </c>
    </row>
    <row r="5465" spans="1:19" x14ac:dyDescent="0.35">
      <c r="A5465" t="s">
        <v>219</v>
      </c>
      <c r="B5465" t="s">
        <v>301</v>
      </c>
      <c r="C5465" t="s">
        <v>277</v>
      </c>
      <c r="D5465" t="s">
        <v>540</v>
      </c>
      <c r="E5465" t="s">
        <v>1527</v>
      </c>
      <c r="F5465" t="s">
        <v>1528</v>
      </c>
      <c r="G5465" t="s">
        <v>1529</v>
      </c>
      <c r="H5465" t="s">
        <v>318</v>
      </c>
      <c r="I5465" t="s">
        <v>1530</v>
      </c>
      <c r="J5465" t="s">
        <v>1531</v>
      </c>
      <c r="K5465" t="s">
        <v>1532</v>
      </c>
      <c r="L5465" t="s">
        <v>1533</v>
      </c>
      <c r="M5465" t="s">
        <v>1534</v>
      </c>
      <c r="N5465" t="s">
        <v>1535</v>
      </c>
      <c r="O5465" t="s">
        <v>282</v>
      </c>
      <c r="P5465" t="s">
        <v>1536</v>
      </c>
      <c r="Q5465" t="s">
        <v>1537</v>
      </c>
      <c r="R5465" t="s">
        <v>1538</v>
      </c>
      <c r="S5465" t="s">
        <v>226</v>
      </c>
    </row>
    <row r="5466" spans="1:19" x14ac:dyDescent="0.35">
      <c r="A5466" t="s">
        <v>227</v>
      </c>
      <c r="B5466" t="s">
        <v>251</v>
      </c>
      <c r="C5466" s="2">
        <v>0.42209999999999998</v>
      </c>
      <c r="D5466" s="2">
        <v>0.28100000000000003</v>
      </c>
      <c r="E5466" s="2">
        <v>0.18629999999999999</v>
      </c>
      <c r="F5466" s="2">
        <v>0.11210000000000001</v>
      </c>
      <c r="G5466" s="2">
        <v>6.5199999999999994E-2</v>
      </c>
      <c r="H5466" s="2">
        <v>1.8700000000000001E-2</v>
      </c>
      <c r="I5466" s="2">
        <v>2.4500000000000001E-2</v>
      </c>
      <c r="J5466" s="2">
        <v>2.93E-2</v>
      </c>
      <c r="K5466" s="2">
        <v>1.77E-2</v>
      </c>
      <c r="L5466" s="2">
        <v>1.6500000000000001E-2</v>
      </c>
      <c r="M5466" s="2">
        <v>1.17E-2</v>
      </c>
      <c r="N5466" s="2">
        <v>1.8E-3</v>
      </c>
      <c r="O5466" s="2">
        <v>6.6E-3</v>
      </c>
      <c r="P5466" s="2">
        <v>4.7000000000000002E-3</v>
      </c>
      <c r="Q5466" s="2">
        <v>2.7000000000000001E-3</v>
      </c>
      <c r="R5466" s="2">
        <v>3.0000000000000001E-3</v>
      </c>
      <c r="S5466">
        <v>608</v>
      </c>
    </row>
    <row r="5467" spans="1:19" x14ac:dyDescent="0.35">
      <c r="A5467" t="s">
        <v>227</v>
      </c>
      <c r="B5467" t="s">
        <v>252</v>
      </c>
      <c r="C5467" s="2">
        <v>0.29099999999999998</v>
      </c>
      <c r="D5467" s="2">
        <v>0.23200000000000001</v>
      </c>
      <c r="E5467" s="2">
        <v>0.33800000000000002</v>
      </c>
      <c r="F5467" s="2">
        <v>0.15540000000000001</v>
      </c>
      <c r="G5467" s="2">
        <v>8.1900000000000001E-2</v>
      </c>
      <c r="H5467" s="2">
        <v>4.7699999999999999E-2</v>
      </c>
      <c r="I5467" s="2">
        <v>2.7199999999999998E-2</v>
      </c>
      <c r="J5467" s="2">
        <v>6.0000000000000001E-3</v>
      </c>
      <c r="K5467" s="2">
        <v>2.8400000000000002E-2</v>
      </c>
      <c r="L5467" s="2">
        <v>2.1899999999999999E-2</v>
      </c>
      <c r="M5467" s="2">
        <v>1.54E-2</v>
      </c>
      <c r="N5467" s="2">
        <v>1.41E-2</v>
      </c>
      <c r="P5467" s="2">
        <v>4.0000000000000002E-4</v>
      </c>
      <c r="S5467">
        <v>160</v>
      </c>
    </row>
    <row r="5468" spans="1:19" x14ac:dyDescent="0.35">
      <c r="A5468" t="s">
        <v>227</v>
      </c>
      <c r="B5468" t="s">
        <v>253</v>
      </c>
      <c r="C5468" s="2">
        <v>0.22450000000000001</v>
      </c>
      <c r="D5468" s="2">
        <v>0.29559999999999997</v>
      </c>
      <c r="E5468" s="2">
        <v>0.24249999999999999</v>
      </c>
      <c r="F5468" s="2">
        <v>0.11360000000000001</v>
      </c>
      <c r="G5468" s="2">
        <v>0.15110000000000001</v>
      </c>
      <c r="H5468" s="2">
        <v>9.6299999999999997E-2</v>
      </c>
      <c r="I5468" s="2">
        <v>6.8500000000000005E-2</v>
      </c>
      <c r="J5468" s="2">
        <v>4.9700000000000001E-2</v>
      </c>
      <c r="K5468" s="2">
        <v>5.0900000000000001E-2</v>
      </c>
      <c r="L5468" s="2">
        <v>1.66E-2</v>
      </c>
      <c r="M5468" s="2">
        <v>5.0900000000000001E-2</v>
      </c>
      <c r="N5468" s="2">
        <v>5.7099999999999998E-2</v>
      </c>
      <c r="P5468" s="2">
        <v>2.5000000000000001E-3</v>
      </c>
      <c r="Q5468" s="2">
        <v>2.5000000000000001E-3</v>
      </c>
      <c r="S5468">
        <v>51</v>
      </c>
    </row>
    <row r="5469" spans="1:19" x14ac:dyDescent="0.35">
      <c r="A5469" s="3" t="s">
        <v>227</v>
      </c>
      <c r="B5469" s="3" t="s">
        <v>254</v>
      </c>
      <c r="C5469" s="5"/>
      <c r="D5469" s="5"/>
      <c r="E5469" s="5"/>
      <c r="F5469" s="5"/>
      <c r="G5469" s="5"/>
      <c r="H5469" s="5"/>
      <c r="I5469" s="5"/>
      <c r="J5469" s="5"/>
      <c r="K5469" s="5"/>
      <c r="L5469" s="5"/>
      <c r="M5469" s="5"/>
      <c r="N5469" s="5"/>
      <c r="O5469" s="4">
        <v>1</v>
      </c>
      <c r="P5469" s="5"/>
      <c r="Q5469" s="5"/>
      <c r="R5469" s="5"/>
      <c r="S5469" s="5" t="s">
        <v>323</v>
      </c>
    </row>
    <row r="5470" spans="1:19" x14ac:dyDescent="0.35">
      <c r="A5470" t="s">
        <v>228</v>
      </c>
      <c r="B5470" t="s">
        <v>228</v>
      </c>
      <c r="C5470" s="2">
        <v>0.38069999999999998</v>
      </c>
      <c r="D5470" s="2">
        <v>0.27139999999999997</v>
      </c>
      <c r="E5470" s="2">
        <v>0.22270000000000001</v>
      </c>
      <c r="F5470" s="2">
        <v>0.1215</v>
      </c>
      <c r="G5470" s="2">
        <v>7.4499999999999997E-2</v>
      </c>
      <c r="H5470" s="2">
        <v>3.0099999999999998E-2</v>
      </c>
      <c r="I5470" s="2">
        <v>2.8000000000000001E-2</v>
      </c>
      <c r="J5470" s="2">
        <v>2.5600000000000001E-2</v>
      </c>
      <c r="K5470" s="2">
        <v>2.2200000000000001E-2</v>
      </c>
      <c r="L5470" s="2">
        <v>1.77E-2</v>
      </c>
      <c r="M5470" s="2">
        <v>1.5100000000000001E-2</v>
      </c>
      <c r="N5470" s="2">
        <v>8.0999999999999996E-3</v>
      </c>
      <c r="O5470" s="2">
        <v>4.7999999999999996E-3</v>
      </c>
      <c r="P5470" s="2">
        <v>3.5999999999999999E-3</v>
      </c>
      <c r="Q5470" s="2">
        <v>2.0999999999999999E-3</v>
      </c>
      <c r="R5470" s="2">
        <v>2.0999999999999999E-3</v>
      </c>
      <c r="S5470">
        <v>820</v>
      </c>
    </row>
    <row r="5472" spans="1:19" x14ac:dyDescent="0.35">
      <c r="A5472" s="1" t="s">
        <v>1550</v>
      </c>
    </row>
    <row r="5473" spans="1:20" x14ac:dyDescent="0.35">
      <c r="A5473" t="s">
        <v>219</v>
      </c>
      <c r="B5473" t="s">
        <v>301</v>
      </c>
      <c r="C5473" t="s">
        <v>277</v>
      </c>
      <c r="D5473" t="s">
        <v>540</v>
      </c>
      <c r="E5473" t="s">
        <v>1527</v>
      </c>
      <c r="F5473" t="s">
        <v>1528</v>
      </c>
      <c r="G5473" t="s">
        <v>1529</v>
      </c>
      <c r="H5473" t="s">
        <v>318</v>
      </c>
      <c r="I5473" t="s">
        <v>1530</v>
      </c>
      <c r="J5473" t="s">
        <v>1531</v>
      </c>
      <c r="K5473" t="s">
        <v>1532</v>
      </c>
      <c r="L5473" t="s">
        <v>1533</v>
      </c>
      <c r="M5473" t="s">
        <v>1534</v>
      </c>
      <c r="N5473" t="s">
        <v>1535</v>
      </c>
      <c r="O5473" t="s">
        <v>282</v>
      </c>
      <c r="P5473" t="s">
        <v>1536</v>
      </c>
      <c r="Q5473" t="s">
        <v>1537</v>
      </c>
      <c r="R5473" t="s">
        <v>1538</v>
      </c>
      <c r="S5473" t="s">
        <v>226</v>
      </c>
    </row>
    <row r="5474" spans="1:20" x14ac:dyDescent="0.35">
      <c r="A5474" t="s">
        <v>227</v>
      </c>
      <c r="B5474" t="s">
        <v>1335</v>
      </c>
      <c r="C5474" s="2">
        <v>0.47220000000000001</v>
      </c>
      <c r="D5474" s="2">
        <v>0.21310000000000001</v>
      </c>
      <c r="E5474" s="2">
        <v>0.21379999999999999</v>
      </c>
      <c r="F5474" s="2">
        <v>0.1268</v>
      </c>
      <c r="G5474" s="2">
        <v>5.3100000000000001E-2</v>
      </c>
      <c r="H5474" s="2">
        <v>1.24E-2</v>
      </c>
      <c r="I5474" s="2">
        <v>1.7999999999999999E-2</v>
      </c>
      <c r="J5474" s="2">
        <v>1.49E-2</v>
      </c>
      <c r="K5474" s="2">
        <v>1.29E-2</v>
      </c>
      <c r="L5474" s="2">
        <v>1.83E-2</v>
      </c>
      <c r="M5474" s="2">
        <v>1.5800000000000002E-2</v>
      </c>
      <c r="N5474" s="2">
        <v>1.0500000000000001E-2</v>
      </c>
      <c r="O5474" s="2">
        <v>5.8999999999999999E-3</v>
      </c>
      <c r="P5474" s="2">
        <v>2.5000000000000001E-3</v>
      </c>
      <c r="R5474" s="2">
        <v>1.1999999999999999E-3</v>
      </c>
      <c r="S5474">
        <v>239</v>
      </c>
    </row>
    <row r="5475" spans="1:20" x14ac:dyDescent="0.35">
      <c r="A5475" t="s">
        <v>227</v>
      </c>
      <c r="B5475" t="s">
        <v>1337</v>
      </c>
      <c r="C5475" s="2">
        <v>0.3382</v>
      </c>
      <c r="D5475" s="2">
        <v>0.29849999999999999</v>
      </c>
      <c r="E5475" s="2">
        <v>0.22689999999999999</v>
      </c>
      <c r="F5475" s="2">
        <v>0.1191</v>
      </c>
      <c r="G5475" s="2">
        <v>8.4400000000000003E-2</v>
      </c>
      <c r="H5475" s="2">
        <v>3.8300000000000001E-2</v>
      </c>
      <c r="I5475" s="2">
        <v>3.2599999999999997E-2</v>
      </c>
      <c r="J5475" s="2">
        <v>3.0599999999999999E-2</v>
      </c>
      <c r="K5475" s="2">
        <v>2.6499999999999999E-2</v>
      </c>
      <c r="L5475" s="2">
        <v>1.7399999999999999E-2</v>
      </c>
      <c r="M5475" s="2">
        <v>1.4800000000000001E-2</v>
      </c>
      <c r="N5475" s="2">
        <v>7.0000000000000001E-3</v>
      </c>
      <c r="O5475" s="2">
        <v>4.3E-3</v>
      </c>
      <c r="P5475" s="2">
        <v>4.1000000000000003E-3</v>
      </c>
      <c r="Q5475" s="2">
        <v>3.0999999999999999E-3</v>
      </c>
      <c r="R5475" s="2">
        <v>2.5999999999999999E-3</v>
      </c>
      <c r="S5475">
        <v>581</v>
      </c>
    </row>
    <row r="5476" spans="1:20" x14ac:dyDescent="0.35">
      <c r="A5476" t="s">
        <v>228</v>
      </c>
      <c r="B5476" t="s">
        <v>228</v>
      </c>
      <c r="C5476" s="2">
        <v>0.38069999999999998</v>
      </c>
      <c r="D5476" s="2">
        <v>0.27139999999999997</v>
      </c>
      <c r="E5476" s="2">
        <v>0.22270000000000001</v>
      </c>
      <c r="F5476" s="2">
        <v>0.1215</v>
      </c>
      <c r="G5476" s="2">
        <v>7.4499999999999997E-2</v>
      </c>
      <c r="H5476" s="2">
        <v>3.0099999999999998E-2</v>
      </c>
      <c r="I5476" s="2">
        <v>2.8000000000000001E-2</v>
      </c>
      <c r="J5476" s="2">
        <v>2.5600000000000001E-2</v>
      </c>
      <c r="K5476" s="2">
        <v>2.2200000000000001E-2</v>
      </c>
      <c r="L5476" s="2">
        <v>1.77E-2</v>
      </c>
      <c r="M5476" s="2">
        <v>1.5100000000000001E-2</v>
      </c>
      <c r="N5476" s="2">
        <v>8.0999999999999996E-3</v>
      </c>
      <c r="O5476" s="2">
        <v>4.7999999999999996E-3</v>
      </c>
      <c r="P5476" s="2">
        <v>3.5999999999999999E-3</v>
      </c>
      <c r="Q5476" s="2">
        <v>2.0999999999999999E-3</v>
      </c>
      <c r="R5476" s="2">
        <v>2.0999999999999999E-3</v>
      </c>
      <c r="S5476">
        <v>820</v>
      </c>
    </row>
    <row r="5478" spans="1:20" x14ac:dyDescent="0.35">
      <c r="A5478" s="1" t="s">
        <v>1551</v>
      </c>
    </row>
    <row r="5479" spans="1:20" x14ac:dyDescent="0.35">
      <c r="A5479" t="s">
        <v>219</v>
      </c>
      <c r="B5479" t="s">
        <v>301</v>
      </c>
      <c r="C5479" t="s">
        <v>277</v>
      </c>
      <c r="D5479" t="s">
        <v>540</v>
      </c>
      <c r="E5479" t="s">
        <v>1527</v>
      </c>
      <c r="F5479" t="s">
        <v>1528</v>
      </c>
      <c r="G5479" t="s">
        <v>1529</v>
      </c>
      <c r="H5479" t="s">
        <v>318</v>
      </c>
      <c r="I5479" t="s">
        <v>1530</v>
      </c>
      <c r="J5479" t="s">
        <v>1531</v>
      </c>
      <c r="K5479" t="s">
        <v>1532</v>
      </c>
      <c r="L5479" t="s">
        <v>1533</v>
      </c>
      <c r="M5479" t="s">
        <v>1534</v>
      </c>
      <c r="N5479" t="s">
        <v>1535</v>
      </c>
      <c r="O5479" t="s">
        <v>282</v>
      </c>
      <c r="P5479" t="s">
        <v>1536</v>
      </c>
      <c r="Q5479" t="s">
        <v>1537</v>
      </c>
      <c r="R5479" t="s">
        <v>1538</v>
      </c>
      <c r="S5479" t="s">
        <v>226</v>
      </c>
    </row>
    <row r="5480" spans="1:20" x14ac:dyDescent="0.35">
      <c r="A5480" s="3" t="s">
        <v>227</v>
      </c>
      <c r="B5480" s="3" t="s">
        <v>1339</v>
      </c>
      <c r="C5480" s="4">
        <v>4.4299999999999999E-2</v>
      </c>
      <c r="D5480" s="4">
        <v>0.2152</v>
      </c>
      <c r="E5480" s="4">
        <v>0.69</v>
      </c>
      <c r="F5480" s="4">
        <v>0.1991</v>
      </c>
      <c r="G5480" s="4">
        <v>0.43269999999999997</v>
      </c>
      <c r="H5480" s="4">
        <v>8.0399999999999999E-2</v>
      </c>
      <c r="I5480" s="4">
        <v>5.4999999999999997E-3</v>
      </c>
      <c r="J5480" s="5"/>
      <c r="K5480" s="4">
        <v>1.46E-2</v>
      </c>
      <c r="L5480" s="4">
        <v>9.7000000000000003E-3</v>
      </c>
      <c r="M5480" s="4">
        <v>2.4299999999999999E-2</v>
      </c>
      <c r="N5480" s="5"/>
      <c r="O5480" s="5"/>
      <c r="P5480" s="5"/>
      <c r="Q5480" s="5"/>
      <c r="R5480" s="5"/>
      <c r="S5480" s="5" t="s">
        <v>1552</v>
      </c>
    </row>
    <row r="5481" spans="1:20" x14ac:dyDescent="0.35">
      <c r="A5481" t="s">
        <v>227</v>
      </c>
      <c r="B5481" t="s">
        <v>1340</v>
      </c>
      <c r="C5481" s="2">
        <v>0.23569999999999999</v>
      </c>
      <c r="D5481" s="2">
        <v>0.25080000000000002</v>
      </c>
      <c r="E5481" s="2">
        <v>0.3599</v>
      </c>
      <c r="F5481" s="2">
        <v>0.12659999999999999</v>
      </c>
      <c r="G5481" s="2">
        <v>0.12470000000000001</v>
      </c>
      <c r="H5481" s="2">
        <v>2.3099999999999999E-2</v>
      </c>
      <c r="I5481" s="2">
        <v>4.5600000000000002E-2</v>
      </c>
      <c r="J5481" s="2">
        <v>3.8600000000000002E-2</v>
      </c>
      <c r="K5481" s="2">
        <v>4.2999999999999997E-2</v>
      </c>
      <c r="L5481" s="2">
        <v>3.5400000000000001E-2</v>
      </c>
      <c r="M5481" s="2">
        <v>1.5100000000000001E-2</v>
      </c>
      <c r="N5481" s="2">
        <v>1.52E-2</v>
      </c>
      <c r="P5481" s="2">
        <v>4.4000000000000003E-3</v>
      </c>
      <c r="Q5481" s="2">
        <v>2.3999999999999998E-3</v>
      </c>
      <c r="R5481" s="2">
        <v>1.8E-3</v>
      </c>
      <c r="S5481">
        <v>213</v>
      </c>
    </row>
    <row r="5482" spans="1:20" x14ac:dyDescent="0.35">
      <c r="A5482" t="s">
        <v>227</v>
      </c>
      <c r="B5482" t="s">
        <v>1341</v>
      </c>
      <c r="C5482" s="2">
        <v>0.37359999999999999</v>
      </c>
      <c r="D5482" s="2">
        <v>0.30509999999999998</v>
      </c>
      <c r="E5482" s="2">
        <v>0.19159999999999999</v>
      </c>
      <c r="F5482" s="2">
        <v>0.13519999999999999</v>
      </c>
      <c r="G5482" s="2">
        <v>5.2900000000000003E-2</v>
      </c>
      <c r="H5482" s="2">
        <v>3.9699999999999999E-2</v>
      </c>
      <c r="I5482" s="2">
        <v>2.6700000000000002E-2</v>
      </c>
      <c r="J5482" s="2">
        <v>2.24E-2</v>
      </c>
      <c r="K5482" s="2">
        <v>1.06E-2</v>
      </c>
      <c r="L5482" s="2">
        <v>1.47E-2</v>
      </c>
      <c r="M5482" s="2">
        <v>1.4200000000000001E-2</v>
      </c>
      <c r="N5482" s="2">
        <v>7.1999999999999998E-3</v>
      </c>
      <c r="O5482" s="2">
        <v>4.4999999999999997E-3</v>
      </c>
      <c r="P5482" s="2">
        <v>4.4000000000000003E-3</v>
      </c>
      <c r="Q5482" s="2">
        <v>1.1000000000000001E-3</v>
      </c>
      <c r="R5482" s="2">
        <v>2.8999999999999998E-3</v>
      </c>
      <c r="S5482">
        <v>386</v>
      </c>
    </row>
    <row r="5483" spans="1:20" x14ac:dyDescent="0.35">
      <c r="A5483" t="s">
        <v>227</v>
      </c>
      <c r="B5483" t="s">
        <v>1342</v>
      </c>
      <c r="C5483" s="2">
        <v>0.6462</v>
      </c>
      <c r="D5483" s="2">
        <v>0.2263</v>
      </c>
      <c r="E5483" s="2">
        <v>4.1099999999999998E-2</v>
      </c>
      <c r="F5483" s="2">
        <v>7.0000000000000007E-2</v>
      </c>
      <c r="G5483" s="2">
        <v>4.7000000000000002E-3</v>
      </c>
      <c r="H5483" s="2">
        <v>8.8000000000000005E-3</v>
      </c>
      <c r="I5483" s="2">
        <v>1.03E-2</v>
      </c>
      <c r="J5483" s="2">
        <v>1.9699999999999999E-2</v>
      </c>
      <c r="K5483" s="2">
        <v>2.3E-2</v>
      </c>
      <c r="L5483" s="2">
        <v>2.0999999999999999E-3</v>
      </c>
      <c r="M5483" s="2">
        <v>1.6E-2</v>
      </c>
      <c r="N5483" s="2">
        <v>2.0999999999999999E-3</v>
      </c>
      <c r="O5483" s="2">
        <v>1.2999999999999999E-2</v>
      </c>
      <c r="P5483" s="2">
        <v>1.1999999999999999E-3</v>
      </c>
      <c r="Q5483" s="2">
        <v>4.7000000000000002E-3</v>
      </c>
      <c r="R5483" s="2">
        <v>1.1999999999999999E-3</v>
      </c>
      <c r="S5483">
        <v>200</v>
      </c>
    </row>
    <row r="5484" spans="1:20" x14ac:dyDescent="0.35">
      <c r="A5484" t="s">
        <v>228</v>
      </c>
      <c r="B5484" t="s">
        <v>228</v>
      </c>
      <c r="C5484" s="2">
        <v>0.38069999999999998</v>
      </c>
      <c r="D5484" s="2">
        <v>0.27139999999999997</v>
      </c>
      <c r="E5484" s="2">
        <v>0.22270000000000001</v>
      </c>
      <c r="F5484" s="2">
        <v>0.1215</v>
      </c>
      <c r="G5484" s="2">
        <v>7.4499999999999997E-2</v>
      </c>
      <c r="H5484" s="2">
        <v>3.0099999999999998E-2</v>
      </c>
      <c r="I5484" s="2">
        <v>2.8000000000000001E-2</v>
      </c>
      <c r="J5484" s="2">
        <v>2.5600000000000001E-2</v>
      </c>
      <c r="K5484" s="2">
        <v>2.2200000000000001E-2</v>
      </c>
      <c r="L5484" s="2">
        <v>1.77E-2</v>
      </c>
      <c r="M5484" s="2">
        <v>1.5100000000000001E-2</v>
      </c>
      <c r="N5484" s="2">
        <v>8.0999999999999996E-3</v>
      </c>
      <c r="O5484" s="2">
        <v>4.7999999999999996E-3</v>
      </c>
      <c r="P5484" s="2">
        <v>3.5999999999999999E-3</v>
      </c>
      <c r="Q5484" s="2">
        <v>2.0999999999999999E-3</v>
      </c>
      <c r="R5484" s="2">
        <v>2.0999999999999999E-3</v>
      </c>
      <c r="S5484">
        <v>820</v>
      </c>
    </row>
    <row r="5486" spans="1:20" x14ac:dyDescent="0.35">
      <c r="A5486" s="1" t="s">
        <v>1553</v>
      </c>
    </row>
    <row r="5487" spans="1:20" x14ac:dyDescent="0.35">
      <c r="A5487" t="s">
        <v>219</v>
      </c>
      <c r="B5487" t="s">
        <v>301</v>
      </c>
      <c r="C5487" t="s">
        <v>325</v>
      </c>
      <c r="D5487" t="s">
        <v>277</v>
      </c>
      <c r="E5487" t="s">
        <v>540</v>
      </c>
      <c r="F5487" t="s">
        <v>1527</v>
      </c>
      <c r="G5487" t="s">
        <v>1528</v>
      </c>
      <c r="H5487" t="s">
        <v>1529</v>
      </c>
      <c r="I5487" t="s">
        <v>318</v>
      </c>
      <c r="J5487" t="s">
        <v>1530</v>
      </c>
      <c r="K5487" t="s">
        <v>1531</v>
      </c>
      <c r="L5487" t="s">
        <v>1532</v>
      </c>
      <c r="M5487" t="s">
        <v>1533</v>
      </c>
      <c r="N5487" t="s">
        <v>1534</v>
      </c>
      <c r="O5487" t="s">
        <v>1535</v>
      </c>
      <c r="P5487" t="s">
        <v>282</v>
      </c>
      <c r="Q5487" t="s">
        <v>1536</v>
      </c>
      <c r="R5487" t="s">
        <v>1537</v>
      </c>
      <c r="S5487" t="s">
        <v>1538</v>
      </c>
      <c r="T5487" t="s">
        <v>226</v>
      </c>
    </row>
    <row r="5488" spans="1:20" x14ac:dyDescent="0.35">
      <c r="A5488" s="3" t="s">
        <v>227</v>
      </c>
      <c r="B5488" s="3" t="s">
        <v>1335</v>
      </c>
      <c r="C5488" s="3" t="s">
        <v>1339</v>
      </c>
      <c r="D5488" s="4">
        <v>0.1356</v>
      </c>
      <c r="E5488" s="4">
        <v>0.25979999999999998</v>
      </c>
      <c r="F5488" s="4">
        <v>0.52249999999999996</v>
      </c>
      <c r="G5488" s="4">
        <v>2.0799999999999999E-2</v>
      </c>
      <c r="H5488" s="4">
        <v>9.7900000000000001E-2</v>
      </c>
      <c r="I5488" s="4">
        <v>8.2199999999999995E-2</v>
      </c>
      <c r="J5488" s="4">
        <v>2.0799999999999999E-2</v>
      </c>
      <c r="K5488" s="5"/>
      <c r="L5488" s="4">
        <v>5.5399999999999998E-2</v>
      </c>
      <c r="M5488" s="5"/>
      <c r="N5488" s="4">
        <v>5.5399999999999998E-2</v>
      </c>
      <c r="O5488" s="5"/>
      <c r="P5488" s="5"/>
      <c r="Q5488" s="5"/>
      <c r="R5488" s="5"/>
      <c r="S5488" s="5"/>
      <c r="T5488" s="5" t="s">
        <v>515</v>
      </c>
    </row>
    <row r="5489" spans="1:20" x14ac:dyDescent="0.35">
      <c r="A5489" t="s">
        <v>227</v>
      </c>
      <c r="B5489" t="s">
        <v>1335</v>
      </c>
      <c r="C5489" t="s">
        <v>1340</v>
      </c>
      <c r="D5489" s="2">
        <v>0.34670000000000001</v>
      </c>
      <c r="E5489" s="2">
        <v>0.21829999999999999</v>
      </c>
      <c r="F5489" s="2">
        <v>0.34949999999999998</v>
      </c>
      <c r="G5489" s="2">
        <v>0.1981</v>
      </c>
      <c r="H5489" s="2">
        <v>6.0100000000000001E-2</v>
      </c>
      <c r="J5489" s="2">
        <v>1.21E-2</v>
      </c>
      <c r="K5489" s="2">
        <v>4.0000000000000001E-3</v>
      </c>
      <c r="M5489" s="2">
        <v>2.41E-2</v>
      </c>
      <c r="T5489">
        <v>69</v>
      </c>
    </row>
    <row r="5490" spans="1:20" x14ac:dyDescent="0.35">
      <c r="A5490" t="s">
        <v>227</v>
      </c>
      <c r="B5490" t="s">
        <v>1335</v>
      </c>
      <c r="C5490" t="s">
        <v>1341</v>
      </c>
      <c r="D5490" s="2">
        <v>0.44119999999999998</v>
      </c>
      <c r="E5490" s="2">
        <v>0.25180000000000002</v>
      </c>
      <c r="F5490" s="2">
        <v>0.18540000000000001</v>
      </c>
      <c r="G5490" s="2">
        <v>0.11310000000000001</v>
      </c>
      <c r="H5490" s="2">
        <v>6.4000000000000001E-2</v>
      </c>
      <c r="I5490" s="2">
        <v>2.06E-2</v>
      </c>
      <c r="J5490" s="2">
        <v>2.5700000000000001E-2</v>
      </c>
      <c r="K5490" s="2">
        <v>2.5700000000000001E-2</v>
      </c>
      <c r="L5490" s="2">
        <v>2.1100000000000001E-2</v>
      </c>
      <c r="M5490" s="2">
        <v>2.24E-2</v>
      </c>
      <c r="N5490" s="2">
        <v>2.86E-2</v>
      </c>
      <c r="O5490" s="2">
        <v>2.0400000000000001E-2</v>
      </c>
      <c r="P5490" s="2">
        <v>1.18E-2</v>
      </c>
      <c r="Q5490" s="2">
        <v>5.0000000000000001E-3</v>
      </c>
      <c r="S5490" s="2">
        <v>2.3999999999999998E-3</v>
      </c>
      <c r="T5490">
        <v>118</v>
      </c>
    </row>
    <row r="5491" spans="1:20" x14ac:dyDescent="0.35">
      <c r="A5491" t="s">
        <v>227</v>
      </c>
      <c r="B5491" t="s">
        <v>1335</v>
      </c>
      <c r="C5491" t="s">
        <v>1342</v>
      </c>
      <c r="D5491" s="2">
        <v>0.80379999999999996</v>
      </c>
      <c r="E5491" s="2">
        <v>9.2299999999999993E-2</v>
      </c>
      <c r="F5491" s="2">
        <v>3.3300000000000003E-2</v>
      </c>
      <c r="G5491" s="2">
        <v>6.5299999999999997E-2</v>
      </c>
      <c r="H5491" s="2">
        <v>5.5999999999999999E-3</v>
      </c>
      <c r="J5491" s="2">
        <v>5.5999999999999999E-3</v>
      </c>
      <c r="K5491" s="2">
        <v>4.7999999999999996E-3</v>
      </c>
      <c r="L5491" s="2">
        <v>5.1000000000000004E-3</v>
      </c>
      <c r="O5491" s="2">
        <v>1.6000000000000001E-3</v>
      </c>
      <c r="T5491">
        <v>43</v>
      </c>
    </row>
    <row r="5492" spans="1:20" x14ac:dyDescent="0.35">
      <c r="A5492" s="3" t="s">
        <v>227</v>
      </c>
      <c r="B5492" s="3" t="s">
        <v>1337</v>
      </c>
      <c r="C5492" s="3" t="s">
        <v>1339</v>
      </c>
      <c r="D5492" s="4">
        <v>1.1599999999999999E-2</v>
      </c>
      <c r="E5492" s="4">
        <v>0.19919999999999999</v>
      </c>
      <c r="F5492" s="4">
        <v>0.74990000000000001</v>
      </c>
      <c r="G5492" s="4">
        <v>0.26290000000000002</v>
      </c>
      <c r="H5492" s="4">
        <v>0.55249999999999999</v>
      </c>
      <c r="I5492" s="4">
        <v>7.9799999999999996E-2</v>
      </c>
      <c r="J5492" s="5"/>
      <c r="K5492" s="5"/>
      <c r="L5492" s="5"/>
      <c r="M5492" s="4">
        <v>1.32E-2</v>
      </c>
      <c r="N5492" s="4">
        <v>1.32E-2</v>
      </c>
      <c r="O5492" s="5"/>
      <c r="P5492" s="5"/>
      <c r="Q5492" s="5"/>
      <c r="R5492" s="5"/>
      <c r="S5492" s="5"/>
      <c r="T5492" s="5" t="s">
        <v>490</v>
      </c>
    </row>
    <row r="5493" spans="1:20" x14ac:dyDescent="0.35">
      <c r="A5493" t="s">
        <v>227</v>
      </c>
      <c r="B5493" t="s">
        <v>1337</v>
      </c>
      <c r="C5493" t="s">
        <v>1340</v>
      </c>
      <c r="D5493" s="2">
        <v>0.18010000000000001</v>
      </c>
      <c r="E5493" s="2">
        <v>0.26719999999999999</v>
      </c>
      <c r="F5493" s="2">
        <v>0.36509999999999998</v>
      </c>
      <c r="G5493" s="2">
        <v>9.0800000000000006E-2</v>
      </c>
      <c r="H5493" s="2">
        <v>0.15709999999999999</v>
      </c>
      <c r="I5493" s="2">
        <v>3.4599999999999999E-2</v>
      </c>
      <c r="J5493" s="2">
        <v>6.2399999999999997E-2</v>
      </c>
      <c r="K5493" s="2">
        <v>5.6000000000000001E-2</v>
      </c>
      <c r="L5493" s="2">
        <v>6.4500000000000002E-2</v>
      </c>
      <c r="M5493" s="2">
        <v>4.1000000000000002E-2</v>
      </c>
      <c r="N5493" s="2">
        <v>2.2700000000000001E-2</v>
      </c>
      <c r="O5493" s="2">
        <v>2.2800000000000001E-2</v>
      </c>
      <c r="Q5493" s="2">
        <v>6.6E-3</v>
      </c>
      <c r="R5493" s="2">
        <v>3.5999999999999999E-3</v>
      </c>
      <c r="S5493" s="2">
        <v>2.7000000000000001E-3</v>
      </c>
      <c r="T5493">
        <v>144</v>
      </c>
    </row>
    <row r="5494" spans="1:20" x14ac:dyDescent="0.35">
      <c r="A5494" t="s">
        <v>227</v>
      </c>
      <c r="B5494" t="s">
        <v>1337</v>
      </c>
      <c r="C5494" t="s">
        <v>1341</v>
      </c>
      <c r="D5494" s="2">
        <v>0.34110000000000001</v>
      </c>
      <c r="E5494" s="2">
        <v>0.3306</v>
      </c>
      <c r="F5494" s="2">
        <v>0.1946</v>
      </c>
      <c r="G5494" s="2">
        <v>0.14580000000000001</v>
      </c>
      <c r="H5494" s="2">
        <v>4.7500000000000001E-2</v>
      </c>
      <c r="I5494" s="2">
        <v>4.8899999999999999E-2</v>
      </c>
      <c r="J5494" s="2">
        <v>2.7199999999999998E-2</v>
      </c>
      <c r="K5494" s="2">
        <v>2.0799999999999999E-2</v>
      </c>
      <c r="L5494" s="2">
        <v>5.5999999999999999E-3</v>
      </c>
      <c r="M5494" s="2">
        <v>1.0999999999999999E-2</v>
      </c>
      <c r="N5494" s="2">
        <v>7.3000000000000001E-3</v>
      </c>
      <c r="O5494" s="2">
        <v>8.0000000000000004E-4</v>
      </c>
      <c r="P5494" s="2">
        <v>1E-3</v>
      </c>
      <c r="Q5494" s="2">
        <v>4.1000000000000003E-3</v>
      </c>
      <c r="R5494" s="2">
        <v>1.6000000000000001E-3</v>
      </c>
      <c r="S5494" s="2">
        <v>3.0999999999999999E-3</v>
      </c>
      <c r="T5494">
        <v>268</v>
      </c>
    </row>
    <row r="5495" spans="1:20" x14ac:dyDescent="0.35">
      <c r="A5495" t="s">
        <v>227</v>
      </c>
      <c r="B5495" t="s">
        <v>1337</v>
      </c>
      <c r="C5495" t="s">
        <v>1342</v>
      </c>
      <c r="D5495" s="2">
        <v>0.58309999999999995</v>
      </c>
      <c r="E5495" s="2">
        <v>0.27989999999999998</v>
      </c>
      <c r="F5495" s="2">
        <v>4.4200000000000003E-2</v>
      </c>
      <c r="G5495" s="2">
        <v>7.1800000000000003E-2</v>
      </c>
      <c r="H5495" s="2">
        <v>4.3E-3</v>
      </c>
      <c r="I5495" s="2">
        <v>1.23E-2</v>
      </c>
      <c r="J5495" s="2">
        <v>1.2200000000000001E-2</v>
      </c>
      <c r="K5495" s="2">
        <v>2.5600000000000001E-2</v>
      </c>
      <c r="L5495" s="2">
        <v>3.0099999999999998E-2</v>
      </c>
      <c r="M5495" s="2">
        <v>2.8999999999999998E-3</v>
      </c>
      <c r="N5495" s="2">
        <v>2.24E-2</v>
      </c>
      <c r="O5495" s="2">
        <v>2.3E-3</v>
      </c>
      <c r="P5495" s="2">
        <v>1.8200000000000001E-2</v>
      </c>
      <c r="Q5495" s="2">
        <v>1.6999999999999999E-3</v>
      </c>
      <c r="R5495" s="2">
        <v>6.4999999999999997E-3</v>
      </c>
      <c r="S5495" s="2">
        <v>1.6999999999999999E-3</v>
      </c>
      <c r="T5495">
        <v>157</v>
      </c>
    </row>
    <row r="5496" spans="1:20" x14ac:dyDescent="0.35">
      <c r="A5496" t="s">
        <v>228</v>
      </c>
      <c r="B5496" t="s">
        <v>228</v>
      </c>
      <c r="C5496" t="s">
        <v>228</v>
      </c>
      <c r="D5496" s="2">
        <v>0.38069999999999998</v>
      </c>
      <c r="E5496" s="2">
        <v>0.27139999999999997</v>
      </c>
      <c r="F5496" s="2">
        <v>0.22270000000000001</v>
      </c>
      <c r="G5496" s="2">
        <v>0.1215</v>
      </c>
      <c r="H5496" s="2">
        <v>7.4499999999999997E-2</v>
      </c>
      <c r="I5496" s="2">
        <v>3.0099999999999998E-2</v>
      </c>
      <c r="J5496" s="2">
        <v>2.8000000000000001E-2</v>
      </c>
      <c r="K5496" s="2">
        <v>2.5600000000000001E-2</v>
      </c>
      <c r="L5496" s="2">
        <v>2.2200000000000001E-2</v>
      </c>
      <c r="M5496" s="2">
        <v>1.77E-2</v>
      </c>
      <c r="N5496" s="2">
        <v>1.5100000000000001E-2</v>
      </c>
      <c r="O5496" s="2">
        <v>8.0999999999999996E-3</v>
      </c>
      <c r="P5496" s="2">
        <v>4.7999999999999996E-3</v>
      </c>
      <c r="Q5496" s="2">
        <v>3.5999999999999999E-3</v>
      </c>
      <c r="R5496" s="2">
        <v>2.0999999999999999E-3</v>
      </c>
      <c r="S5496" s="2">
        <v>2.0999999999999999E-3</v>
      </c>
      <c r="T5496">
        <v>820</v>
      </c>
    </row>
    <row r="5498" spans="1:20" x14ac:dyDescent="0.35">
      <c r="A5498" s="1" t="s">
        <v>1554</v>
      </c>
    </row>
    <row r="5499" spans="1:20" x14ac:dyDescent="0.35">
      <c r="A5499" t="s">
        <v>219</v>
      </c>
      <c r="B5499" t="s">
        <v>540</v>
      </c>
      <c r="C5499" t="s">
        <v>1394</v>
      </c>
      <c r="D5499" t="s">
        <v>277</v>
      </c>
      <c r="E5499" t="s">
        <v>1397</v>
      </c>
      <c r="F5499" t="s">
        <v>1498</v>
      </c>
      <c r="G5499" t="s">
        <v>1396</v>
      </c>
      <c r="H5499" t="s">
        <v>1398</v>
      </c>
      <c r="I5499" t="s">
        <v>1402</v>
      </c>
      <c r="J5499" t="s">
        <v>1395</v>
      </c>
      <c r="K5499" t="s">
        <v>1400</v>
      </c>
      <c r="L5499" t="s">
        <v>282</v>
      </c>
      <c r="M5499" t="s">
        <v>1401</v>
      </c>
      <c r="N5499" t="s">
        <v>318</v>
      </c>
      <c r="O5499" t="s">
        <v>226</v>
      </c>
    </row>
    <row r="5500" spans="1:20" x14ac:dyDescent="0.35">
      <c r="A5500" t="s">
        <v>227</v>
      </c>
      <c r="B5500" s="2">
        <v>0.48409999999999997</v>
      </c>
      <c r="C5500" s="2">
        <v>0.29170000000000001</v>
      </c>
      <c r="D5500" s="2">
        <v>0.1764</v>
      </c>
      <c r="E5500" s="2">
        <v>2.41E-2</v>
      </c>
      <c r="F5500" s="2">
        <v>1.6299999999999999E-2</v>
      </c>
      <c r="G5500" s="2">
        <v>1.43E-2</v>
      </c>
      <c r="H5500" s="2">
        <v>1.06E-2</v>
      </c>
      <c r="I5500" s="2">
        <v>1.04E-2</v>
      </c>
      <c r="J5500" s="2">
        <v>7.4999999999999997E-3</v>
      </c>
      <c r="K5500" s="2">
        <v>6.4999999999999997E-3</v>
      </c>
      <c r="L5500" s="2">
        <v>2.2000000000000001E-3</v>
      </c>
      <c r="M5500" s="2">
        <v>1.6999999999999999E-3</v>
      </c>
      <c r="N5500" s="2">
        <v>1.6999999999999999E-3</v>
      </c>
      <c r="O5500">
        <v>2755</v>
      </c>
    </row>
    <row r="5501" spans="1:20" x14ac:dyDescent="0.35">
      <c r="A5501" t="s">
        <v>228</v>
      </c>
      <c r="B5501" s="2">
        <v>0.48409999999999997</v>
      </c>
      <c r="C5501" s="2">
        <v>0.29170000000000001</v>
      </c>
      <c r="D5501" s="2">
        <v>0.1764</v>
      </c>
      <c r="E5501" s="2">
        <v>2.41E-2</v>
      </c>
      <c r="F5501" s="2">
        <v>1.6299999999999999E-2</v>
      </c>
      <c r="G5501" s="2">
        <v>1.43E-2</v>
      </c>
      <c r="H5501" s="2">
        <v>1.06E-2</v>
      </c>
      <c r="I5501" s="2">
        <v>1.04E-2</v>
      </c>
      <c r="J5501" s="2">
        <v>7.4999999999999997E-3</v>
      </c>
      <c r="K5501" s="2">
        <v>6.4999999999999997E-3</v>
      </c>
      <c r="L5501" s="2">
        <v>2.2000000000000001E-3</v>
      </c>
      <c r="M5501" s="2">
        <v>1.6999999999999999E-3</v>
      </c>
      <c r="N5501" s="2">
        <v>1.6999999999999999E-3</v>
      </c>
      <c r="O5501">
        <v>2755</v>
      </c>
    </row>
    <row r="5503" spans="1:20" x14ac:dyDescent="0.35">
      <c r="A5503" s="1" t="s">
        <v>1555</v>
      </c>
    </row>
    <row r="5504" spans="1:20" x14ac:dyDescent="0.35">
      <c r="A5504" t="s">
        <v>219</v>
      </c>
      <c r="B5504" t="s">
        <v>301</v>
      </c>
      <c r="C5504" t="s">
        <v>540</v>
      </c>
      <c r="D5504" t="s">
        <v>1394</v>
      </c>
      <c r="E5504" t="s">
        <v>277</v>
      </c>
      <c r="F5504" t="s">
        <v>1397</v>
      </c>
      <c r="G5504" t="s">
        <v>1498</v>
      </c>
      <c r="H5504" t="s">
        <v>1396</v>
      </c>
      <c r="I5504" t="s">
        <v>1398</v>
      </c>
      <c r="J5504" t="s">
        <v>1402</v>
      </c>
      <c r="K5504" t="s">
        <v>1395</v>
      </c>
      <c r="L5504" t="s">
        <v>1400</v>
      </c>
      <c r="M5504" t="s">
        <v>282</v>
      </c>
      <c r="N5504" t="s">
        <v>1401</v>
      </c>
      <c r="O5504" t="s">
        <v>318</v>
      </c>
      <c r="P5504" t="s">
        <v>226</v>
      </c>
    </row>
    <row r="5505" spans="1:16" x14ac:dyDescent="0.35">
      <c r="A5505" t="s">
        <v>227</v>
      </c>
      <c r="B5505" t="s">
        <v>238</v>
      </c>
      <c r="C5505" s="2">
        <v>0.49230000000000002</v>
      </c>
      <c r="D5505" s="2">
        <v>0.27279999999999999</v>
      </c>
      <c r="E5505" s="2">
        <v>0.20050000000000001</v>
      </c>
      <c r="F5505" s="2">
        <v>6.7999999999999996E-3</v>
      </c>
      <c r="G5505" s="2">
        <v>4.1000000000000003E-3</v>
      </c>
      <c r="H5505" s="2">
        <v>1.41E-2</v>
      </c>
      <c r="I5505" s="2">
        <v>9.9000000000000008E-3</v>
      </c>
      <c r="J5505" s="2">
        <v>6.6E-3</v>
      </c>
      <c r="K5505" s="2">
        <v>2.3999999999999998E-3</v>
      </c>
      <c r="L5505" s="2">
        <v>4.5999999999999999E-3</v>
      </c>
      <c r="M5505" s="2">
        <v>2.2000000000000001E-3</v>
      </c>
      <c r="N5505" s="2">
        <v>4.5999999999999999E-3</v>
      </c>
      <c r="P5505">
        <v>982</v>
      </c>
    </row>
    <row r="5506" spans="1:16" x14ac:dyDescent="0.35">
      <c r="A5506" t="s">
        <v>227</v>
      </c>
      <c r="B5506" t="s">
        <v>237</v>
      </c>
      <c r="C5506" s="2">
        <v>0.47939999999999999</v>
      </c>
      <c r="D5506" s="2">
        <v>0.30280000000000001</v>
      </c>
      <c r="E5506" s="2">
        <v>0.1623</v>
      </c>
      <c r="F5506" s="2">
        <v>3.4200000000000001E-2</v>
      </c>
      <c r="G5506" s="2">
        <v>2.3400000000000001E-2</v>
      </c>
      <c r="H5506" s="2">
        <v>1.4500000000000001E-2</v>
      </c>
      <c r="I5506" s="2">
        <v>1.0999999999999999E-2</v>
      </c>
      <c r="J5506" s="2">
        <v>1.2500000000000001E-2</v>
      </c>
      <c r="K5506" s="2">
        <v>1.04E-2</v>
      </c>
      <c r="L5506" s="2">
        <v>7.6E-3</v>
      </c>
      <c r="M5506" s="2">
        <v>2.2000000000000001E-3</v>
      </c>
      <c r="O5506" s="2">
        <v>2.7000000000000001E-3</v>
      </c>
      <c r="P5506">
        <v>1773</v>
      </c>
    </row>
    <row r="5507" spans="1:16" x14ac:dyDescent="0.35">
      <c r="A5507" t="s">
        <v>228</v>
      </c>
      <c r="B5507" t="s">
        <v>228</v>
      </c>
      <c r="C5507" s="2">
        <v>0.48409999999999997</v>
      </c>
      <c r="D5507" s="2">
        <v>0.29170000000000001</v>
      </c>
      <c r="E5507" s="2">
        <v>0.1764</v>
      </c>
      <c r="F5507" s="2">
        <v>2.41E-2</v>
      </c>
      <c r="G5507" s="2">
        <v>1.6299999999999999E-2</v>
      </c>
      <c r="H5507" s="2">
        <v>1.43E-2</v>
      </c>
      <c r="I5507" s="2">
        <v>1.06E-2</v>
      </c>
      <c r="J5507" s="2">
        <v>1.04E-2</v>
      </c>
      <c r="K5507" s="2">
        <v>7.4999999999999997E-3</v>
      </c>
      <c r="L5507" s="2">
        <v>6.4999999999999997E-3</v>
      </c>
      <c r="M5507" s="2">
        <v>2.2000000000000001E-3</v>
      </c>
      <c r="N5507" s="2">
        <v>1.6999999999999999E-3</v>
      </c>
      <c r="O5507" s="2">
        <v>1.6999999999999999E-3</v>
      </c>
      <c r="P5507">
        <v>2755</v>
      </c>
    </row>
    <row r="5509" spans="1:16" x14ac:dyDescent="0.35">
      <c r="A5509" s="1" t="s">
        <v>1556</v>
      </c>
    </row>
    <row r="5510" spans="1:16" x14ac:dyDescent="0.35">
      <c r="A5510" t="s">
        <v>219</v>
      </c>
      <c r="B5510" t="s">
        <v>301</v>
      </c>
      <c r="C5510" t="s">
        <v>540</v>
      </c>
      <c r="D5510" t="s">
        <v>1394</v>
      </c>
      <c r="E5510" t="s">
        <v>277</v>
      </c>
      <c r="F5510" t="s">
        <v>1397</v>
      </c>
      <c r="G5510" t="s">
        <v>1498</v>
      </c>
      <c r="H5510" t="s">
        <v>1396</v>
      </c>
      <c r="I5510" t="s">
        <v>1398</v>
      </c>
      <c r="J5510" t="s">
        <v>1402</v>
      </c>
      <c r="K5510" t="s">
        <v>1395</v>
      </c>
      <c r="L5510" t="s">
        <v>1400</v>
      </c>
      <c r="M5510" t="s">
        <v>282</v>
      </c>
      <c r="N5510" t="s">
        <v>1401</v>
      </c>
      <c r="O5510" t="s">
        <v>318</v>
      </c>
      <c r="P5510" t="s">
        <v>226</v>
      </c>
    </row>
    <row r="5511" spans="1:16" x14ac:dyDescent="0.35">
      <c r="A5511" t="s">
        <v>227</v>
      </c>
      <c r="B5511" t="s">
        <v>235</v>
      </c>
      <c r="C5511" s="2">
        <v>0.5222</v>
      </c>
      <c r="D5511" s="2">
        <v>0.26319999999999999</v>
      </c>
      <c r="E5511" s="2">
        <v>0.1764</v>
      </c>
      <c r="F5511" s="2">
        <v>1.23E-2</v>
      </c>
      <c r="G5511" s="2">
        <v>6.1000000000000004E-3</v>
      </c>
      <c r="H5511" s="2">
        <v>2.7000000000000001E-3</v>
      </c>
      <c r="I5511" s="2">
        <v>7.7000000000000002E-3</v>
      </c>
      <c r="J5511" s="2">
        <v>2.8E-3</v>
      </c>
      <c r="K5511" s="2">
        <v>1.0500000000000001E-2</v>
      </c>
      <c r="L5511" s="2">
        <v>9.7999999999999997E-3</v>
      </c>
      <c r="M5511" s="2">
        <v>3.0999999999999999E-3</v>
      </c>
      <c r="P5511">
        <v>983</v>
      </c>
    </row>
    <row r="5512" spans="1:16" x14ac:dyDescent="0.35">
      <c r="A5512" t="s">
        <v>227</v>
      </c>
      <c r="B5512" t="s">
        <v>234</v>
      </c>
      <c r="C5512" s="2">
        <v>0.46779999999999999</v>
      </c>
      <c r="D5512" s="2">
        <v>0.3039</v>
      </c>
      <c r="E5512" s="2">
        <v>0.1764</v>
      </c>
      <c r="F5512" s="2">
        <v>2.92E-2</v>
      </c>
      <c r="G5512" s="2">
        <v>2.06E-2</v>
      </c>
      <c r="H5512" s="2">
        <v>1.9300000000000001E-2</v>
      </c>
      <c r="I5512" s="2">
        <v>1.18E-2</v>
      </c>
      <c r="J5512" s="2">
        <v>1.3599999999999999E-2</v>
      </c>
      <c r="K5512" s="2">
        <v>6.1999999999999998E-3</v>
      </c>
      <c r="L5512" s="2">
        <v>5.1000000000000004E-3</v>
      </c>
      <c r="M5512" s="2">
        <v>1.8E-3</v>
      </c>
      <c r="N5512" s="2">
        <v>2.3999999999999998E-3</v>
      </c>
      <c r="O5512" s="2">
        <v>2.3999999999999998E-3</v>
      </c>
      <c r="P5512">
        <v>1772</v>
      </c>
    </row>
    <row r="5513" spans="1:16" x14ac:dyDescent="0.35">
      <c r="A5513" t="s">
        <v>228</v>
      </c>
      <c r="B5513" t="s">
        <v>228</v>
      </c>
      <c r="C5513" s="2">
        <v>0.48409999999999997</v>
      </c>
      <c r="D5513" s="2">
        <v>0.29170000000000001</v>
      </c>
      <c r="E5513" s="2">
        <v>0.1764</v>
      </c>
      <c r="F5513" s="2">
        <v>2.41E-2</v>
      </c>
      <c r="G5513" s="2">
        <v>1.6299999999999999E-2</v>
      </c>
      <c r="H5513" s="2">
        <v>1.43E-2</v>
      </c>
      <c r="I5513" s="2">
        <v>1.06E-2</v>
      </c>
      <c r="J5513" s="2">
        <v>1.04E-2</v>
      </c>
      <c r="K5513" s="2">
        <v>7.4999999999999997E-3</v>
      </c>
      <c r="L5513" s="2">
        <v>6.4999999999999997E-3</v>
      </c>
      <c r="M5513" s="2">
        <v>2.2000000000000001E-3</v>
      </c>
      <c r="N5513" s="2">
        <v>1.6999999999999999E-3</v>
      </c>
      <c r="O5513" s="2">
        <v>1.6999999999999999E-3</v>
      </c>
      <c r="P5513">
        <v>2755</v>
      </c>
    </row>
    <row r="5515" spans="1:16" x14ac:dyDescent="0.35">
      <c r="A5515" s="1" t="s">
        <v>1557</v>
      </c>
    </row>
    <row r="5516" spans="1:16" x14ac:dyDescent="0.35">
      <c r="A5516" t="s">
        <v>219</v>
      </c>
      <c r="B5516" t="s">
        <v>301</v>
      </c>
      <c r="C5516" t="s">
        <v>540</v>
      </c>
      <c r="D5516" t="s">
        <v>1394</v>
      </c>
      <c r="E5516" t="s">
        <v>277</v>
      </c>
      <c r="F5516" t="s">
        <v>1397</v>
      </c>
      <c r="G5516" t="s">
        <v>1498</v>
      </c>
      <c r="H5516" t="s">
        <v>1396</v>
      </c>
      <c r="I5516" t="s">
        <v>1398</v>
      </c>
      <c r="J5516" t="s">
        <v>1402</v>
      </c>
      <c r="K5516" t="s">
        <v>1395</v>
      </c>
      <c r="L5516" t="s">
        <v>1400</v>
      </c>
      <c r="M5516" t="s">
        <v>282</v>
      </c>
      <c r="N5516" t="s">
        <v>1401</v>
      </c>
      <c r="O5516" t="s">
        <v>318</v>
      </c>
      <c r="P5516" t="s">
        <v>226</v>
      </c>
    </row>
    <row r="5517" spans="1:16" x14ac:dyDescent="0.35">
      <c r="A5517" t="s">
        <v>227</v>
      </c>
      <c r="B5517" t="s">
        <v>240</v>
      </c>
      <c r="C5517" s="2">
        <v>0.51459999999999995</v>
      </c>
      <c r="D5517" s="2">
        <v>0.2802</v>
      </c>
      <c r="E5517" s="2">
        <v>0.15110000000000001</v>
      </c>
      <c r="F5517" s="2">
        <v>2.4500000000000001E-2</v>
      </c>
      <c r="G5517" s="2">
        <v>8.0999999999999996E-3</v>
      </c>
      <c r="H5517" s="2">
        <v>1.6899999999999998E-2</v>
      </c>
      <c r="I5517" s="2">
        <v>1.4E-2</v>
      </c>
      <c r="J5517" s="2">
        <v>1.17E-2</v>
      </c>
      <c r="K5517" s="2">
        <v>7.4000000000000003E-3</v>
      </c>
      <c r="L5517" s="2">
        <v>7.6E-3</v>
      </c>
      <c r="M5517" s="2">
        <v>5.0000000000000001E-4</v>
      </c>
      <c r="N5517" s="2">
        <v>2.7000000000000001E-3</v>
      </c>
      <c r="O5517" s="2">
        <v>1.1000000000000001E-3</v>
      </c>
      <c r="P5517">
        <v>1713</v>
      </c>
    </row>
    <row r="5518" spans="1:16" x14ac:dyDescent="0.35">
      <c r="A5518" t="s">
        <v>227</v>
      </c>
      <c r="B5518" t="s">
        <v>241</v>
      </c>
      <c r="C5518" s="2">
        <v>0.42320000000000002</v>
      </c>
      <c r="D5518" s="2">
        <v>0.30370000000000003</v>
      </c>
      <c r="E5518" s="2">
        <v>0.23780000000000001</v>
      </c>
      <c r="F5518" s="2">
        <v>2.8299999999999999E-2</v>
      </c>
      <c r="G5518" s="2">
        <v>3.1099999999999999E-2</v>
      </c>
      <c r="H5518" s="2">
        <v>1.21E-2</v>
      </c>
      <c r="I5518" s="2">
        <v>2.5000000000000001E-3</v>
      </c>
      <c r="J5518" s="2">
        <v>9.1999999999999998E-3</v>
      </c>
      <c r="K5518" s="2">
        <v>8.2000000000000007E-3</v>
      </c>
      <c r="L5518" s="2">
        <v>5.4999999999999997E-3</v>
      </c>
      <c r="M5518" s="2">
        <v>3.0999999999999999E-3</v>
      </c>
      <c r="O5518" s="2">
        <v>3.2000000000000002E-3</v>
      </c>
      <c r="P5518">
        <v>879</v>
      </c>
    </row>
    <row r="5519" spans="1:16" x14ac:dyDescent="0.35">
      <c r="A5519" t="s">
        <v>227</v>
      </c>
      <c r="B5519" t="s">
        <v>242</v>
      </c>
      <c r="C5519" s="2">
        <v>0.46239999999999998</v>
      </c>
      <c r="D5519" s="2">
        <v>0.34960000000000002</v>
      </c>
      <c r="E5519" s="2">
        <v>0.14599999999999999</v>
      </c>
      <c r="F5519" s="2">
        <v>1.1999999999999999E-3</v>
      </c>
      <c r="G5519" s="2">
        <v>2.8899999999999999E-2</v>
      </c>
      <c r="I5519" s="2">
        <v>1.44E-2</v>
      </c>
      <c r="J5519" s="2">
        <v>2.2000000000000001E-3</v>
      </c>
      <c r="K5519" s="2">
        <v>4.7999999999999996E-3</v>
      </c>
      <c r="M5519" s="2">
        <v>1.44E-2</v>
      </c>
      <c r="P5519">
        <v>163</v>
      </c>
    </row>
    <row r="5520" spans="1:16" x14ac:dyDescent="0.35">
      <c r="A5520" t="s">
        <v>228</v>
      </c>
      <c r="B5520" t="s">
        <v>228</v>
      </c>
      <c r="C5520" s="2">
        <v>0.48409999999999997</v>
      </c>
      <c r="D5520" s="2">
        <v>0.29170000000000001</v>
      </c>
      <c r="E5520" s="2">
        <v>0.1764</v>
      </c>
      <c r="F5520" s="2">
        <v>2.41E-2</v>
      </c>
      <c r="G5520" s="2">
        <v>1.6299999999999999E-2</v>
      </c>
      <c r="H5520" s="2">
        <v>1.43E-2</v>
      </c>
      <c r="I5520" s="2">
        <v>1.06E-2</v>
      </c>
      <c r="J5520" s="2">
        <v>1.04E-2</v>
      </c>
      <c r="K5520" s="2">
        <v>7.4999999999999997E-3</v>
      </c>
      <c r="L5520" s="2">
        <v>6.4999999999999997E-3</v>
      </c>
      <c r="M5520" s="2">
        <v>2.2000000000000001E-3</v>
      </c>
      <c r="N5520" s="2">
        <v>1.6999999999999999E-3</v>
      </c>
      <c r="O5520" s="2">
        <v>1.6999999999999999E-3</v>
      </c>
      <c r="P5520">
        <v>2755</v>
      </c>
    </row>
    <row r="5522" spans="1:16" x14ac:dyDescent="0.35">
      <c r="A5522" s="1" t="s">
        <v>1558</v>
      </c>
    </row>
    <row r="5523" spans="1:16" x14ac:dyDescent="0.35">
      <c r="A5523" t="s">
        <v>219</v>
      </c>
      <c r="B5523" t="s">
        <v>301</v>
      </c>
      <c r="C5523" t="s">
        <v>540</v>
      </c>
      <c r="D5523" t="s">
        <v>1394</v>
      </c>
      <c r="E5523" t="s">
        <v>277</v>
      </c>
      <c r="F5523" t="s">
        <v>1397</v>
      </c>
      <c r="G5523" t="s">
        <v>1498</v>
      </c>
      <c r="H5523" t="s">
        <v>1396</v>
      </c>
      <c r="I5523" t="s">
        <v>1398</v>
      </c>
      <c r="J5523" t="s">
        <v>1402</v>
      </c>
      <c r="K5523" t="s">
        <v>1395</v>
      </c>
      <c r="L5523" t="s">
        <v>1400</v>
      </c>
      <c r="M5523" t="s">
        <v>282</v>
      </c>
      <c r="N5523" t="s">
        <v>1401</v>
      </c>
      <c r="O5523" t="s">
        <v>318</v>
      </c>
      <c r="P5523" t="s">
        <v>226</v>
      </c>
    </row>
    <row r="5524" spans="1:16" x14ac:dyDescent="0.35">
      <c r="A5524" t="s">
        <v>227</v>
      </c>
      <c r="B5524" t="s">
        <v>334</v>
      </c>
      <c r="C5524" s="2">
        <v>0.45900000000000002</v>
      </c>
      <c r="D5524" s="2">
        <v>0.28749999999999998</v>
      </c>
      <c r="E5524" s="2">
        <v>0.21479999999999999</v>
      </c>
      <c r="F5524" s="2">
        <v>6.7999999999999996E-3</v>
      </c>
      <c r="G5524" s="2">
        <v>1.8E-3</v>
      </c>
      <c r="H5524" s="2">
        <v>1.24E-2</v>
      </c>
      <c r="I5524" s="2">
        <v>1.44E-2</v>
      </c>
      <c r="J5524" s="2">
        <v>3.5000000000000001E-3</v>
      </c>
      <c r="K5524" s="2">
        <v>4.4000000000000003E-3</v>
      </c>
      <c r="L5524" s="2">
        <v>1.1000000000000001E-3</v>
      </c>
      <c r="M5524" s="2">
        <v>4.1999999999999997E-3</v>
      </c>
      <c r="O5524" s="2">
        <v>4.4999999999999997E-3</v>
      </c>
      <c r="P5524">
        <v>616</v>
      </c>
    </row>
    <row r="5525" spans="1:16" x14ac:dyDescent="0.35">
      <c r="A5525" t="s">
        <v>227</v>
      </c>
      <c r="B5525" t="s">
        <v>335</v>
      </c>
      <c r="C5525" s="2">
        <v>0.45150000000000001</v>
      </c>
      <c r="D5525" s="2">
        <v>0.33700000000000002</v>
      </c>
      <c r="E5525" s="2">
        <v>0.14829999999999999</v>
      </c>
      <c r="F5525" s="2">
        <v>4.7E-2</v>
      </c>
      <c r="G5525" s="2">
        <v>2.64E-2</v>
      </c>
      <c r="H5525" s="2">
        <v>2.1700000000000001E-2</v>
      </c>
      <c r="I5525" s="2">
        <v>1.7299999999999999E-2</v>
      </c>
      <c r="J5525" s="2">
        <v>2.3199999999999998E-2</v>
      </c>
      <c r="K5525" s="2">
        <v>5.5999999999999999E-3</v>
      </c>
      <c r="L5525" s="2">
        <v>7.1999999999999998E-3</v>
      </c>
      <c r="M5525" s="2">
        <v>1E-4</v>
      </c>
      <c r="O5525" s="2">
        <v>2.5000000000000001E-3</v>
      </c>
      <c r="P5525">
        <v>607</v>
      </c>
    </row>
    <row r="5526" spans="1:16" x14ac:dyDescent="0.35">
      <c r="A5526" t="s">
        <v>227</v>
      </c>
      <c r="B5526" t="s">
        <v>336</v>
      </c>
      <c r="C5526" s="2">
        <v>0.502</v>
      </c>
      <c r="D5526" s="2">
        <v>0.25609999999999999</v>
      </c>
      <c r="E5526" s="2">
        <v>0.2019</v>
      </c>
      <c r="F5526" s="2">
        <v>1.78E-2</v>
      </c>
      <c r="G5526" s="2">
        <v>1.4E-2</v>
      </c>
      <c r="H5526" s="2">
        <v>5.1000000000000004E-3</v>
      </c>
      <c r="I5526" s="2">
        <v>1E-4</v>
      </c>
      <c r="J5526" s="2">
        <v>7.1999999999999998E-3</v>
      </c>
      <c r="K5526" s="2">
        <v>7.7999999999999996E-3</v>
      </c>
      <c r="L5526" s="2">
        <v>1.1900000000000001E-2</v>
      </c>
      <c r="M5526" s="2">
        <v>1E-4</v>
      </c>
      <c r="P5526">
        <v>611</v>
      </c>
    </row>
    <row r="5527" spans="1:16" x14ac:dyDescent="0.35">
      <c r="A5527" t="s">
        <v>227</v>
      </c>
      <c r="B5527" t="s">
        <v>337</v>
      </c>
      <c r="C5527" s="2">
        <v>0.50629999999999997</v>
      </c>
      <c r="D5527" s="2">
        <v>0.28050000000000003</v>
      </c>
      <c r="E5527" s="2">
        <v>0.1618</v>
      </c>
      <c r="F5527" s="2">
        <v>2.2499999999999999E-2</v>
      </c>
      <c r="G5527" s="2">
        <v>1.43E-2</v>
      </c>
      <c r="H5527" s="2">
        <v>1.7399999999999999E-2</v>
      </c>
      <c r="I5527" s="2">
        <v>4.5999999999999999E-3</v>
      </c>
      <c r="J5527" s="2">
        <v>1.6000000000000001E-3</v>
      </c>
      <c r="K5527" s="2">
        <v>9.2999999999999992E-3</v>
      </c>
      <c r="L5527" s="2">
        <v>1.8E-3</v>
      </c>
      <c r="M5527" s="2">
        <v>5.1999999999999998E-3</v>
      </c>
      <c r="N5527" s="2">
        <v>8.2000000000000007E-3</v>
      </c>
      <c r="P5527">
        <v>588</v>
      </c>
    </row>
    <row r="5528" spans="1:16" x14ac:dyDescent="0.35">
      <c r="A5528" t="s">
        <v>228</v>
      </c>
      <c r="B5528" t="s">
        <v>228</v>
      </c>
      <c r="C5528" s="2">
        <v>0.48409999999999997</v>
      </c>
      <c r="D5528" s="2">
        <v>0.29170000000000001</v>
      </c>
      <c r="E5528" s="2">
        <v>0.1764</v>
      </c>
      <c r="F5528" s="2">
        <v>2.41E-2</v>
      </c>
      <c r="G5528" s="2">
        <v>1.6299999999999999E-2</v>
      </c>
      <c r="H5528" s="2">
        <v>1.43E-2</v>
      </c>
      <c r="I5528" s="2">
        <v>1.06E-2</v>
      </c>
      <c r="J5528" s="2">
        <v>1.04E-2</v>
      </c>
      <c r="K5528" s="2">
        <v>7.4999999999999997E-3</v>
      </c>
      <c r="L5528" s="2">
        <v>6.4999999999999997E-3</v>
      </c>
      <c r="M5528" s="2">
        <v>2.2000000000000001E-3</v>
      </c>
      <c r="N5528" s="2">
        <v>1.6999999999999999E-3</v>
      </c>
      <c r="O5528" s="2">
        <v>1.6999999999999999E-3</v>
      </c>
      <c r="P5528">
        <v>2422</v>
      </c>
    </row>
    <row r="5530" spans="1:16" x14ac:dyDescent="0.35">
      <c r="A5530" s="1" t="s">
        <v>1559</v>
      </c>
    </row>
    <row r="5531" spans="1:16" x14ac:dyDescent="0.35">
      <c r="A5531" t="s">
        <v>219</v>
      </c>
      <c r="B5531" t="s">
        <v>301</v>
      </c>
      <c r="C5531" t="s">
        <v>540</v>
      </c>
      <c r="D5531" t="s">
        <v>1394</v>
      </c>
      <c r="E5531" t="s">
        <v>277</v>
      </c>
      <c r="F5531" t="s">
        <v>1397</v>
      </c>
      <c r="G5531" t="s">
        <v>1498</v>
      </c>
      <c r="H5531" t="s">
        <v>1396</v>
      </c>
      <c r="I5531" t="s">
        <v>1398</v>
      </c>
      <c r="J5531" t="s">
        <v>1402</v>
      </c>
      <c r="K5531" t="s">
        <v>1395</v>
      </c>
      <c r="L5531" t="s">
        <v>1400</v>
      </c>
      <c r="M5531" t="s">
        <v>282</v>
      </c>
      <c r="N5531" t="s">
        <v>1401</v>
      </c>
      <c r="O5531" t="s">
        <v>318</v>
      </c>
      <c r="P5531" t="s">
        <v>226</v>
      </c>
    </row>
    <row r="5532" spans="1:16" x14ac:dyDescent="0.35">
      <c r="A5532" t="s">
        <v>227</v>
      </c>
      <c r="B5532" t="s">
        <v>263</v>
      </c>
      <c r="C5532" s="2">
        <v>0.5242</v>
      </c>
      <c r="D5532" s="2">
        <v>0.312</v>
      </c>
      <c r="E5532" s="2">
        <v>9.7100000000000006E-2</v>
      </c>
      <c r="F5532" s="2">
        <v>5.0799999999999998E-2</v>
      </c>
      <c r="G5532" s="2">
        <v>1.67E-2</v>
      </c>
      <c r="H5532" s="2">
        <v>1.8200000000000001E-2</v>
      </c>
      <c r="I5532" s="2">
        <v>1.7100000000000001E-2</v>
      </c>
      <c r="J5532" s="2">
        <v>1.0200000000000001E-2</v>
      </c>
      <c r="K5532" s="2">
        <v>8.3999999999999995E-3</v>
      </c>
      <c r="L5532" s="2">
        <v>1.1900000000000001E-2</v>
      </c>
      <c r="N5532" s="2">
        <v>8.2000000000000007E-3</v>
      </c>
      <c r="P5532">
        <v>578</v>
      </c>
    </row>
    <row r="5533" spans="1:16" x14ac:dyDescent="0.35">
      <c r="A5533" t="s">
        <v>227</v>
      </c>
      <c r="B5533" t="s">
        <v>262</v>
      </c>
      <c r="C5533" s="2">
        <v>0.38919999999999999</v>
      </c>
      <c r="D5533" s="2">
        <v>0.32769999999999999</v>
      </c>
      <c r="E5533" s="2">
        <v>0.25059999999999999</v>
      </c>
      <c r="F5533" s="2">
        <v>1.9199999999999998E-2</v>
      </c>
      <c r="G5533" s="2">
        <v>2.81E-2</v>
      </c>
      <c r="H5533" s="2">
        <v>9.4000000000000004E-3</v>
      </c>
      <c r="I5533" s="2">
        <v>2.8999999999999998E-3</v>
      </c>
      <c r="J5533" s="2">
        <v>9.1000000000000004E-3</v>
      </c>
      <c r="K5533" s="2">
        <v>9.5999999999999992E-3</v>
      </c>
      <c r="L5533" s="2">
        <v>4.7999999999999996E-3</v>
      </c>
      <c r="M5533" s="2">
        <v>2.7000000000000001E-3</v>
      </c>
      <c r="O5533" s="2">
        <v>2.5999999999999999E-3</v>
      </c>
      <c r="P5533">
        <v>1141</v>
      </c>
    </row>
    <row r="5534" spans="1:16" x14ac:dyDescent="0.35">
      <c r="A5534" t="s">
        <v>227</v>
      </c>
      <c r="B5534" t="s">
        <v>261</v>
      </c>
      <c r="C5534" s="2">
        <v>0.54869999999999997</v>
      </c>
      <c r="D5534" s="2">
        <v>0.24829999999999999</v>
      </c>
      <c r="E5534" s="2">
        <v>0.151</v>
      </c>
      <c r="F5534" s="2">
        <v>1.54E-2</v>
      </c>
      <c r="G5534" s="2">
        <v>5.7999999999999996E-3</v>
      </c>
      <c r="H5534" s="2">
        <v>1.6799999999999999E-2</v>
      </c>
      <c r="I5534" s="2">
        <v>1.41E-2</v>
      </c>
      <c r="J5534" s="2">
        <v>1.15E-2</v>
      </c>
      <c r="K5534" s="2">
        <v>5.1999999999999998E-3</v>
      </c>
      <c r="L5534" s="2">
        <v>5.4000000000000003E-3</v>
      </c>
      <c r="M5534" s="2">
        <v>2.8E-3</v>
      </c>
      <c r="O5534" s="2">
        <v>1.6999999999999999E-3</v>
      </c>
      <c r="P5534">
        <v>1034</v>
      </c>
    </row>
    <row r="5535" spans="1:16" x14ac:dyDescent="0.35">
      <c r="A5535" s="3" t="s">
        <v>227</v>
      </c>
      <c r="B5535" s="3" t="s">
        <v>232</v>
      </c>
      <c r="C5535" s="5"/>
      <c r="D5535" s="4">
        <v>1</v>
      </c>
      <c r="E5535" s="5"/>
      <c r="F5535" s="5"/>
      <c r="G5535" s="5"/>
      <c r="H5535" s="5"/>
      <c r="I5535" s="5"/>
      <c r="J5535" s="5"/>
      <c r="K5535" s="5"/>
      <c r="L5535" s="5"/>
      <c r="M5535" s="5"/>
      <c r="N5535" s="5"/>
      <c r="O5535" s="5"/>
      <c r="P5535" s="5" t="s">
        <v>434</v>
      </c>
    </row>
    <row r="5536" spans="1:16" x14ac:dyDescent="0.35">
      <c r="A5536" t="s">
        <v>228</v>
      </c>
      <c r="B5536" t="s">
        <v>228</v>
      </c>
      <c r="C5536" s="2">
        <v>0.48409999999999997</v>
      </c>
      <c r="D5536" s="2">
        <v>0.29170000000000001</v>
      </c>
      <c r="E5536" s="2">
        <v>0.1764</v>
      </c>
      <c r="F5536" s="2">
        <v>2.41E-2</v>
      </c>
      <c r="G5536" s="2">
        <v>1.6299999999999999E-2</v>
      </c>
      <c r="H5536" s="2">
        <v>1.43E-2</v>
      </c>
      <c r="I5536" s="2">
        <v>1.06E-2</v>
      </c>
      <c r="J5536" s="2">
        <v>1.04E-2</v>
      </c>
      <c r="K5536" s="2">
        <v>7.4999999999999997E-3</v>
      </c>
      <c r="L5536" s="2">
        <v>6.4999999999999997E-3</v>
      </c>
      <c r="M5536" s="2">
        <v>2.2000000000000001E-3</v>
      </c>
      <c r="N5536" s="2">
        <v>1.6999999999999999E-3</v>
      </c>
      <c r="O5536" s="2">
        <v>1.6999999999999999E-3</v>
      </c>
      <c r="P5536">
        <v>2755</v>
      </c>
    </row>
    <row r="5538" spans="1:16" x14ac:dyDescent="0.35">
      <c r="A5538" s="1" t="s">
        <v>1560</v>
      </c>
    </row>
    <row r="5539" spans="1:16" x14ac:dyDescent="0.35">
      <c r="A5539" t="s">
        <v>219</v>
      </c>
      <c r="B5539" t="s">
        <v>301</v>
      </c>
      <c r="C5539" t="s">
        <v>540</v>
      </c>
      <c r="D5539" t="s">
        <v>1394</v>
      </c>
      <c r="E5539" t="s">
        <v>277</v>
      </c>
      <c r="F5539" t="s">
        <v>1397</v>
      </c>
      <c r="G5539" t="s">
        <v>1498</v>
      </c>
      <c r="H5539" t="s">
        <v>1396</v>
      </c>
      <c r="I5539" t="s">
        <v>1398</v>
      </c>
      <c r="J5539" t="s">
        <v>1402</v>
      </c>
      <c r="K5539" t="s">
        <v>1395</v>
      </c>
      <c r="L5539" t="s">
        <v>1400</v>
      </c>
      <c r="M5539" t="s">
        <v>282</v>
      </c>
      <c r="N5539" t="s">
        <v>1401</v>
      </c>
      <c r="O5539" t="s">
        <v>318</v>
      </c>
      <c r="P5539" t="s">
        <v>226</v>
      </c>
    </row>
    <row r="5540" spans="1:16" x14ac:dyDescent="0.35">
      <c r="A5540" t="s">
        <v>227</v>
      </c>
      <c r="B5540" t="s">
        <v>248</v>
      </c>
      <c r="C5540" s="2">
        <v>0.50409999999999999</v>
      </c>
      <c r="D5540" s="2">
        <v>0.22589999999999999</v>
      </c>
      <c r="E5540" s="2">
        <v>0.23799999999999999</v>
      </c>
      <c r="F5540" s="2">
        <v>1.67E-2</v>
      </c>
      <c r="G5540" s="2">
        <v>6.7000000000000002E-3</v>
      </c>
      <c r="H5540" s="2">
        <v>3.3999999999999998E-3</v>
      </c>
      <c r="I5540" s="2">
        <v>3.2000000000000002E-3</v>
      </c>
      <c r="J5540" s="2">
        <v>1.6000000000000001E-3</v>
      </c>
      <c r="K5540" s="2">
        <v>8.9999999999999998E-4</v>
      </c>
      <c r="L5540" s="2">
        <v>2.5999999999999999E-3</v>
      </c>
      <c r="M5540" s="2">
        <v>3.5000000000000001E-3</v>
      </c>
      <c r="O5540" s="2">
        <v>6.1000000000000004E-3</v>
      </c>
      <c r="P5540">
        <v>786</v>
      </c>
    </row>
    <row r="5541" spans="1:16" x14ac:dyDescent="0.35">
      <c r="A5541" t="s">
        <v>227</v>
      </c>
      <c r="B5541" t="s">
        <v>249</v>
      </c>
      <c r="C5541" s="2">
        <v>0.47520000000000001</v>
      </c>
      <c r="D5541" s="2">
        <v>0.309</v>
      </c>
      <c r="E5541" s="2">
        <v>0.1714</v>
      </c>
      <c r="F5541" s="2">
        <v>3.7000000000000002E-3</v>
      </c>
      <c r="G5541" s="2">
        <v>8.3000000000000001E-3</v>
      </c>
      <c r="H5541" s="2">
        <v>1.5800000000000002E-2</v>
      </c>
      <c r="I5541" s="2">
        <v>2.3199999999999998E-2</v>
      </c>
      <c r="J5541" s="2">
        <v>6.4999999999999997E-3</v>
      </c>
      <c r="K5541" s="2">
        <v>7.4999999999999997E-3</v>
      </c>
      <c r="L5541" s="2">
        <v>5.9999999999999995E-4</v>
      </c>
      <c r="M5541" s="2">
        <v>5.1999999999999998E-3</v>
      </c>
      <c r="P5541">
        <v>522</v>
      </c>
    </row>
    <row r="5542" spans="1:16" x14ac:dyDescent="0.35">
      <c r="A5542" t="s">
        <v>227</v>
      </c>
      <c r="B5542" t="s">
        <v>247</v>
      </c>
      <c r="C5542" s="2">
        <v>0.47710000000000002</v>
      </c>
      <c r="D5542" s="2">
        <v>0.31950000000000001</v>
      </c>
      <c r="E5542" s="2">
        <v>0.1464</v>
      </c>
      <c r="F5542" s="2">
        <v>3.5299999999999998E-2</v>
      </c>
      <c r="G5542" s="2">
        <v>2.41E-2</v>
      </c>
      <c r="H5542" s="2">
        <v>1.9400000000000001E-2</v>
      </c>
      <c r="I5542" s="2">
        <v>9.7999999999999997E-3</v>
      </c>
      <c r="J5542" s="2">
        <v>1.6299999999999999E-2</v>
      </c>
      <c r="K5542" s="2">
        <v>1.09E-2</v>
      </c>
      <c r="L5542" s="2">
        <v>1.0699999999999999E-2</v>
      </c>
      <c r="M5542" s="2">
        <v>4.0000000000000002E-4</v>
      </c>
      <c r="N5542" s="2">
        <v>3.2000000000000002E-3</v>
      </c>
      <c r="P5542">
        <v>1447</v>
      </c>
    </row>
    <row r="5543" spans="1:16" x14ac:dyDescent="0.35">
      <c r="A5543" t="s">
        <v>228</v>
      </c>
      <c r="B5543" t="s">
        <v>228</v>
      </c>
      <c r="C5543" s="2">
        <v>0.48409999999999997</v>
      </c>
      <c r="D5543" s="2">
        <v>0.29170000000000001</v>
      </c>
      <c r="E5543" s="2">
        <v>0.1764</v>
      </c>
      <c r="F5543" s="2">
        <v>2.41E-2</v>
      </c>
      <c r="G5543" s="2">
        <v>1.6299999999999999E-2</v>
      </c>
      <c r="H5543" s="2">
        <v>1.43E-2</v>
      </c>
      <c r="I5543" s="2">
        <v>1.06E-2</v>
      </c>
      <c r="J5543" s="2">
        <v>1.04E-2</v>
      </c>
      <c r="K5543" s="2">
        <v>7.4999999999999997E-3</v>
      </c>
      <c r="L5543" s="2">
        <v>6.4999999999999997E-3</v>
      </c>
      <c r="M5543" s="2">
        <v>2.2000000000000001E-3</v>
      </c>
      <c r="N5543" s="2">
        <v>1.6999999999999999E-3</v>
      </c>
      <c r="O5543" s="2">
        <v>1.6999999999999999E-3</v>
      </c>
      <c r="P5543">
        <v>2755</v>
      </c>
    </row>
    <row r="5545" spans="1:16" x14ac:dyDescent="0.35">
      <c r="A5545" s="1" t="s">
        <v>1561</v>
      </c>
    </row>
    <row r="5546" spans="1:16" x14ac:dyDescent="0.35">
      <c r="A5546" t="s">
        <v>219</v>
      </c>
      <c r="B5546" t="s">
        <v>301</v>
      </c>
      <c r="C5546" t="s">
        <v>540</v>
      </c>
      <c r="D5546" t="s">
        <v>1394</v>
      </c>
      <c r="E5546" t="s">
        <v>277</v>
      </c>
      <c r="F5546" t="s">
        <v>1397</v>
      </c>
      <c r="G5546" t="s">
        <v>1498</v>
      </c>
      <c r="H5546" t="s">
        <v>1396</v>
      </c>
      <c r="I5546" t="s">
        <v>1398</v>
      </c>
      <c r="J5546" t="s">
        <v>1402</v>
      </c>
      <c r="K5546" t="s">
        <v>1395</v>
      </c>
      <c r="L5546" t="s">
        <v>1400</v>
      </c>
      <c r="M5546" t="s">
        <v>282</v>
      </c>
      <c r="N5546" t="s">
        <v>1401</v>
      </c>
      <c r="O5546" t="s">
        <v>318</v>
      </c>
      <c r="P5546" t="s">
        <v>226</v>
      </c>
    </row>
    <row r="5547" spans="1:16" x14ac:dyDescent="0.35">
      <c r="A5547" t="s">
        <v>227</v>
      </c>
      <c r="B5547" t="s">
        <v>245</v>
      </c>
      <c r="C5547" s="2">
        <v>0.47920000000000001</v>
      </c>
      <c r="D5547" s="2">
        <v>0.3044</v>
      </c>
      <c r="E5547" s="2">
        <v>0.1663</v>
      </c>
      <c r="F5547" s="2">
        <v>2.1999999999999999E-2</v>
      </c>
      <c r="G5547" s="2">
        <v>1.47E-2</v>
      </c>
      <c r="H5547" s="2">
        <v>1.5699999999999999E-2</v>
      </c>
      <c r="I5547" s="2">
        <v>1.2800000000000001E-2</v>
      </c>
      <c r="J5547" s="2">
        <v>7.1000000000000004E-3</v>
      </c>
      <c r="K5547" s="2">
        <v>1.61E-2</v>
      </c>
      <c r="L5547" s="2">
        <v>1.1000000000000001E-3</v>
      </c>
      <c r="M5547" s="2">
        <v>3.3999999999999998E-3</v>
      </c>
      <c r="P5547">
        <v>768</v>
      </c>
    </row>
    <row r="5548" spans="1:16" x14ac:dyDescent="0.35">
      <c r="A5548" t="s">
        <v>227</v>
      </c>
      <c r="B5548" t="s">
        <v>244</v>
      </c>
      <c r="C5548" s="2">
        <v>0.48609999999999998</v>
      </c>
      <c r="D5548" s="2">
        <v>0.28670000000000001</v>
      </c>
      <c r="E5548" s="2">
        <v>0.1804</v>
      </c>
      <c r="F5548" s="2">
        <v>2.5000000000000001E-2</v>
      </c>
      <c r="G5548" s="2">
        <v>1.6899999999999998E-2</v>
      </c>
      <c r="H5548" s="2">
        <v>1.38E-2</v>
      </c>
      <c r="I5548" s="2">
        <v>9.7000000000000003E-3</v>
      </c>
      <c r="J5548" s="2">
        <v>1.17E-2</v>
      </c>
      <c r="K5548" s="2">
        <v>4.1000000000000003E-3</v>
      </c>
      <c r="L5548" s="2">
        <v>8.6999999999999994E-3</v>
      </c>
      <c r="M5548" s="2">
        <v>1.6999999999999999E-3</v>
      </c>
      <c r="N5548" s="2">
        <v>2.3999999999999998E-3</v>
      </c>
      <c r="O5548" s="2">
        <v>2.3999999999999998E-3</v>
      </c>
      <c r="P5548">
        <v>1987</v>
      </c>
    </row>
    <row r="5549" spans="1:16" x14ac:dyDescent="0.35">
      <c r="A5549" t="s">
        <v>228</v>
      </c>
      <c r="B5549" t="s">
        <v>228</v>
      </c>
      <c r="C5549" s="2">
        <v>0.48409999999999997</v>
      </c>
      <c r="D5549" s="2">
        <v>0.29170000000000001</v>
      </c>
      <c r="E5549" s="2">
        <v>0.1764</v>
      </c>
      <c r="F5549" s="2">
        <v>2.41E-2</v>
      </c>
      <c r="G5549" s="2">
        <v>1.6299999999999999E-2</v>
      </c>
      <c r="H5549" s="2">
        <v>1.43E-2</v>
      </c>
      <c r="I5549" s="2">
        <v>1.06E-2</v>
      </c>
      <c r="J5549" s="2">
        <v>1.04E-2</v>
      </c>
      <c r="K5549" s="2">
        <v>7.4999999999999997E-3</v>
      </c>
      <c r="L5549" s="2">
        <v>6.4999999999999997E-3</v>
      </c>
      <c r="M5549" s="2">
        <v>2.2000000000000001E-3</v>
      </c>
      <c r="N5549" s="2">
        <v>1.6999999999999999E-3</v>
      </c>
      <c r="O5549" s="2">
        <v>1.6999999999999999E-3</v>
      </c>
      <c r="P5549">
        <v>2755</v>
      </c>
    </row>
    <row r="5551" spans="1:16" x14ac:dyDescent="0.35">
      <c r="A5551" s="1" t="s">
        <v>1562</v>
      </c>
    </row>
    <row r="5552" spans="1:16" x14ac:dyDescent="0.35">
      <c r="A5552" t="s">
        <v>219</v>
      </c>
      <c r="B5552" t="s">
        <v>301</v>
      </c>
      <c r="C5552" t="s">
        <v>540</v>
      </c>
      <c r="D5552" t="s">
        <v>1394</v>
      </c>
      <c r="E5552" t="s">
        <v>277</v>
      </c>
      <c r="F5552" t="s">
        <v>1397</v>
      </c>
      <c r="G5552" t="s">
        <v>1498</v>
      </c>
      <c r="H5552" t="s">
        <v>1396</v>
      </c>
      <c r="I5552" t="s">
        <v>1398</v>
      </c>
      <c r="J5552" t="s">
        <v>1402</v>
      </c>
      <c r="K5552" t="s">
        <v>1395</v>
      </c>
      <c r="L5552" t="s">
        <v>1400</v>
      </c>
      <c r="M5552" t="s">
        <v>282</v>
      </c>
      <c r="N5552" t="s">
        <v>1401</v>
      </c>
      <c r="O5552" t="s">
        <v>318</v>
      </c>
      <c r="P5552" t="s">
        <v>226</v>
      </c>
    </row>
    <row r="5553" spans="1:16" x14ac:dyDescent="0.35">
      <c r="A5553" t="s">
        <v>227</v>
      </c>
      <c r="B5553" t="s">
        <v>259</v>
      </c>
      <c r="C5553" s="2">
        <v>0.47260000000000002</v>
      </c>
      <c r="D5553" s="2">
        <v>0.37580000000000002</v>
      </c>
      <c r="E5553" s="2">
        <v>8.6699999999999999E-2</v>
      </c>
      <c r="F5553" s="2">
        <v>5.3499999999999999E-2</v>
      </c>
      <c r="G5553" s="2">
        <v>1.6000000000000001E-3</v>
      </c>
      <c r="H5553" s="2">
        <v>3.2000000000000002E-3</v>
      </c>
      <c r="I5553" s="2">
        <v>1.6000000000000001E-3</v>
      </c>
      <c r="K5553" s="2">
        <v>8.5000000000000006E-3</v>
      </c>
      <c r="M5553" s="2">
        <v>2.8999999999999998E-3</v>
      </c>
      <c r="P5553">
        <v>66</v>
      </c>
    </row>
    <row r="5554" spans="1:16" x14ac:dyDescent="0.35">
      <c r="A5554" t="s">
        <v>227</v>
      </c>
      <c r="B5554" t="s">
        <v>257</v>
      </c>
      <c r="C5554" s="2">
        <v>0.54020000000000001</v>
      </c>
      <c r="D5554" s="2">
        <v>0.18129999999999999</v>
      </c>
      <c r="E5554" s="2">
        <v>0.24959999999999999</v>
      </c>
      <c r="F5554" s="2">
        <v>5.0000000000000001E-4</v>
      </c>
      <c r="G5554" s="2">
        <v>1.9E-3</v>
      </c>
      <c r="H5554" s="2">
        <v>2.9999999999999997E-4</v>
      </c>
      <c r="I5554" s="2">
        <v>5.7000000000000002E-3</v>
      </c>
      <c r="J5554" s="2">
        <v>5.9999999999999995E-4</v>
      </c>
      <c r="K5554" s="2">
        <v>1.4500000000000001E-2</v>
      </c>
      <c r="L5554" s="2">
        <v>1.1999999999999999E-3</v>
      </c>
      <c r="N5554" s="2">
        <v>1.0200000000000001E-2</v>
      </c>
      <c r="P5554">
        <v>396</v>
      </c>
    </row>
    <row r="5555" spans="1:16" x14ac:dyDescent="0.35">
      <c r="A5555" t="s">
        <v>227</v>
      </c>
      <c r="B5555" t="s">
        <v>256</v>
      </c>
      <c r="C5555" s="2">
        <v>0.48920000000000002</v>
      </c>
      <c r="D5555" s="2">
        <v>0.30330000000000001</v>
      </c>
      <c r="E5555" s="2">
        <v>0.16039999999999999</v>
      </c>
      <c r="F5555" s="2">
        <v>2.7099999999999999E-2</v>
      </c>
      <c r="G5555" s="2">
        <v>1.4500000000000001E-2</v>
      </c>
      <c r="H5555" s="2">
        <v>1.32E-2</v>
      </c>
      <c r="I5555" s="2">
        <v>9.9000000000000008E-3</v>
      </c>
      <c r="J5555" s="2">
        <v>1.06E-2</v>
      </c>
      <c r="K5555" s="2">
        <v>6.7999999999999996E-3</v>
      </c>
      <c r="L5555" s="2">
        <v>8.0999999999999996E-3</v>
      </c>
      <c r="M5555" s="2">
        <v>1.5E-3</v>
      </c>
      <c r="O5555" s="2">
        <v>1.4E-3</v>
      </c>
      <c r="P5555">
        <v>1775</v>
      </c>
    </row>
    <row r="5556" spans="1:16" x14ac:dyDescent="0.35">
      <c r="A5556" s="3" t="s">
        <v>227</v>
      </c>
      <c r="B5556" s="3" t="s">
        <v>232</v>
      </c>
      <c r="C5556" s="4">
        <v>0.48130000000000001</v>
      </c>
      <c r="D5556" s="4">
        <v>0.37730000000000002</v>
      </c>
      <c r="E5556" s="4">
        <v>0.14149999999999999</v>
      </c>
      <c r="F5556" s="5"/>
      <c r="G5556" s="5"/>
      <c r="H5556" s="5"/>
      <c r="I5556" s="5"/>
      <c r="J5556" s="5"/>
      <c r="K5556" s="5"/>
      <c r="L5556" s="5"/>
      <c r="M5556" s="5"/>
      <c r="N5556" s="5"/>
      <c r="O5556" s="5"/>
      <c r="P5556" s="5" t="s">
        <v>307</v>
      </c>
    </row>
    <row r="5557" spans="1:16" x14ac:dyDescent="0.35">
      <c r="A5557" t="s">
        <v>227</v>
      </c>
      <c r="B5557" t="s">
        <v>258</v>
      </c>
      <c r="C5557" s="2">
        <v>0.3972</v>
      </c>
      <c r="D5557" s="2">
        <v>0.3553</v>
      </c>
      <c r="E5557" s="2">
        <v>0.17610000000000001</v>
      </c>
      <c r="F5557" s="2">
        <v>3.4700000000000002E-2</v>
      </c>
      <c r="G5557" s="2">
        <v>4.2700000000000002E-2</v>
      </c>
      <c r="H5557" s="2">
        <v>3.7199999999999997E-2</v>
      </c>
      <c r="I5557" s="2">
        <v>2.0799999999999999E-2</v>
      </c>
      <c r="J5557" s="2">
        <v>2.1600000000000001E-2</v>
      </c>
      <c r="K5557" s="2">
        <v>2.3999999999999998E-3</v>
      </c>
      <c r="L5557" s="2">
        <v>6.0000000000000001E-3</v>
      </c>
      <c r="M5557" s="2">
        <v>7.7999999999999996E-3</v>
      </c>
      <c r="O5557" s="2">
        <v>5.0000000000000001E-3</v>
      </c>
      <c r="P5557">
        <v>507</v>
      </c>
    </row>
    <row r="5558" spans="1:16" x14ac:dyDescent="0.35">
      <c r="A5558" t="s">
        <v>228</v>
      </c>
      <c r="B5558" t="s">
        <v>228</v>
      </c>
      <c r="C5558" s="2">
        <v>0.48409999999999997</v>
      </c>
      <c r="D5558" s="2">
        <v>0.29170000000000001</v>
      </c>
      <c r="E5558" s="2">
        <v>0.1764</v>
      </c>
      <c r="F5558" s="2">
        <v>2.41E-2</v>
      </c>
      <c r="G5558" s="2">
        <v>1.6299999999999999E-2</v>
      </c>
      <c r="H5558" s="2">
        <v>1.43E-2</v>
      </c>
      <c r="I5558" s="2">
        <v>1.06E-2</v>
      </c>
      <c r="J5558" s="2">
        <v>1.04E-2</v>
      </c>
      <c r="K5558" s="2">
        <v>7.4999999999999997E-3</v>
      </c>
      <c r="L5558" s="2">
        <v>6.4999999999999997E-3</v>
      </c>
      <c r="M5558" s="2">
        <v>2.2000000000000001E-3</v>
      </c>
      <c r="N5558" s="2">
        <v>1.6999999999999999E-3</v>
      </c>
      <c r="O5558" s="2">
        <v>1.6999999999999999E-3</v>
      </c>
      <c r="P5558">
        <v>2755</v>
      </c>
    </row>
    <row r="5560" spans="1:16" x14ac:dyDescent="0.35">
      <c r="A5560" s="1" t="s">
        <v>1563</v>
      </c>
    </row>
    <row r="5561" spans="1:16" x14ac:dyDescent="0.35">
      <c r="A5561" t="s">
        <v>219</v>
      </c>
      <c r="B5561" t="s">
        <v>301</v>
      </c>
      <c r="C5561" t="s">
        <v>540</v>
      </c>
      <c r="D5561" t="s">
        <v>1394</v>
      </c>
      <c r="E5561" t="s">
        <v>277</v>
      </c>
      <c r="F5561" t="s">
        <v>1397</v>
      </c>
      <c r="G5561" t="s">
        <v>1498</v>
      </c>
      <c r="H5561" t="s">
        <v>1396</v>
      </c>
      <c r="I5561" t="s">
        <v>1398</v>
      </c>
      <c r="J5561" t="s">
        <v>1402</v>
      </c>
      <c r="K5561" t="s">
        <v>1395</v>
      </c>
      <c r="L5561" t="s">
        <v>1400</v>
      </c>
      <c r="M5561" t="s">
        <v>282</v>
      </c>
      <c r="N5561" t="s">
        <v>1401</v>
      </c>
      <c r="O5561" t="s">
        <v>318</v>
      </c>
      <c r="P5561" t="s">
        <v>226</v>
      </c>
    </row>
    <row r="5562" spans="1:16" x14ac:dyDescent="0.35">
      <c r="A5562" t="s">
        <v>227</v>
      </c>
      <c r="B5562" t="s">
        <v>343</v>
      </c>
      <c r="C5562" s="2">
        <v>0.54020000000000001</v>
      </c>
      <c r="D5562" s="2">
        <v>0.18129999999999999</v>
      </c>
      <c r="E5562" s="2">
        <v>0.24959999999999999</v>
      </c>
      <c r="F5562" s="2">
        <v>5.0000000000000001E-4</v>
      </c>
      <c r="G5562" s="2">
        <v>1.9E-3</v>
      </c>
      <c r="H5562" s="2">
        <v>2.9999999999999997E-4</v>
      </c>
      <c r="I5562" s="2">
        <v>5.7000000000000002E-3</v>
      </c>
      <c r="J5562" s="2">
        <v>5.9999999999999995E-4</v>
      </c>
      <c r="K5562" s="2">
        <v>1.4500000000000001E-2</v>
      </c>
      <c r="L5562" s="2">
        <v>1.1999999999999999E-3</v>
      </c>
      <c r="N5562" s="2">
        <v>1.0200000000000001E-2</v>
      </c>
      <c r="P5562">
        <v>396</v>
      </c>
    </row>
    <row r="5563" spans="1:16" x14ac:dyDescent="0.35">
      <c r="A5563" t="s">
        <v>227</v>
      </c>
      <c r="B5563" t="s">
        <v>344</v>
      </c>
      <c r="C5563" s="2">
        <v>0.4728</v>
      </c>
      <c r="D5563" s="2">
        <v>0.314</v>
      </c>
      <c r="E5563" s="2">
        <v>0.16159999999999999</v>
      </c>
      <c r="F5563" s="2">
        <v>2.8899999999999999E-2</v>
      </c>
      <c r="G5563" s="2">
        <v>1.9199999999999998E-2</v>
      </c>
      <c r="H5563" s="2">
        <v>1.72E-2</v>
      </c>
      <c r="I5563" s="2">
        <v>1.1599999999999999E-2</v>
      </c>
      <c r="J5563" s="2">
        <v>1.23E-2</v>
      </c>
      <c r="K5563" s="2">
        <v>6.1000000000000004E-3</v>
      </c>
      <c r="L5563" s="2">
        <v>7.6E-3</v>
      </c>
      <c r="M5563" s="2">
        <v>2.5999999999999999E-3</v>
      </c>
      <c r="O5563" s="2">
        <v>2E-3</v>
      </c>
      <c r="P5563">
        <v>2359</v>
      </c>
    </row>
    <row r="5564" spans="1:16" x14ac:dyDescent="0.35">
      <c r="A5564" t="s">
        <v>228</v>
      </c>
      <c r="B5564" t="s">
        <v>228</v>
      </c>
      <c r="C5564" s="2">
        <v>0.48409999999999997</v>
      </c>
      <c r="D5564" s="2">
        <v>0.29170000000000001</v>
      </c>
      <c r="E5564" s="2">
        <v>0.1764</v>
      </c>
      <c r="F5564" s="2">
        <v>2.41E-2</v>
      </c>
      <c r="G5564" s="2">
        <v>1.6299999999999999E-2</v>
      </c>
      <c r="H5564" s="2">
        <v>1.43E-2</v>
      </c>
      <c r="I5564" s="2">
        <v>1.06E-2</v>
      </c>
      <c r="J5564" s="2">
        <v>1.04E-2</v>
      </c>
      <c r="K5564" s="2">
        <v>7.4999999999999997E-3</v>
      </c>
      <c r="L5564" s="2">
        <v>6.4999999999999997E-3</v>
      </c>
      <c r="M5564" s="2">
        <v>2.2000000000000001E-3</v>
      </c>
      <c r="N5564" s="2">
        <v>1.6999999999999999E-3</v>
      </c>
      <c r="O5564" s="2">
        <v>1.6999999999999999E-3</v>
      </c>
      <c r="P5564">
        <v>2755</v>
      </c>
    </row>
    <row r="5566" spans="1:16" x14ac:dyDescent="0.35">
      <c r="A5566" s="1" t="s">
        <v>1564</v>
      </c>
    </row>
    <row r="5567" spans="1:16" x14ac:dyDescent="0.35">
      <c r="A5567" t="s">
        <v>219</v>
      </c>
      <c r="B5567" t="s">
        <v>301</v>
      </c>
      <c r="C5567" t="s">
        <v>540</v>
      </c>
      <c r="D5567" t="s">
        <v>1394</v>
      </c>
      <c r="E5567" t="s">
        <v>277</v>
      </c>
      <c r="F5567" t="s">
        <v>1397</v>
      </c>
      <c r="G5567" t="s">
        <v>1498</v>
      </c>
      <c r="H5567" t="s">
        <v>1396</v>
      </c>
      <c r="I5567" t="s">
        <v>1398</v>
      </c>
      <c r="J5567" t="s">
        <v>1402</v>
      </c>
      <c r="K5567" t="s">
        <v>1395</v>
      </c>
      <c r="L5567" t="s">
        <v>1400</v>
      </c>
      <c r="M5567" t="s">
        <v>282</v>
      </c>
      <c r="N5567" t="s">
        <v>1401</v>
      </c>
      <c r="O5567" t="s">
        <v>318</v>
      </c>
      <c r="P5567" t="s">
        <v>226</v>
      </c>
    </row>
    <row r="5568" spans="1:16" x14ac:dyDescent="0.35">
      <c r="A5568" t="s">
        <v>227</v>
      </c>
      <c r="B5568" t="s">
        <v>346</v>
      </c>
      <c r="C5568" s="2">
        <v>0.48920000000000002</v>
      </c>
      <c r="D5568" s="2">
        <v>0.28520000000000001</v>
      </c>
      <c r="E5568" s="2">
        <v>0.1754</v>
      </c>
      <c r="F5568" s="2">
        <v>2.6100000000000002E-2</v>
      </c>
      <c r="G5568" s="2">
        <v>1.5299999999999999E-2</v>
      </c>
      <c r="H5568" s="2">
        <v>1.4500000000000001E-2</v>
      </c>
      <c r="I5568" s="2">
        <v>1.1599999999999999E-2</v>
      </c>
      <c r="J5568" s="2">
        <v>9.4000000000000004E-3</v>
      </c>
      <c r="K5568" s="2">
        <v>7.1999999999999998E-3</v>
      </c>
      <c r="L5568" s="2">
        <v>6.7000000000000002E-3</v>
      </c>
      <c r="M5568" s="2">
        <v>2E-3</v>
      </c>
      <c r="N5568" s="2">
        <v>2E-3</v>
      </c>
      <c r="O5568" s="2">
        <v>1.9E-3</v>
      </c>
      <c r="P5568">
        <v>1440</v>
      </c>
    </row>
    <row r="5569" spans="1:16" x14ac:dyDescent="0.35">
      <c r="A5569" t="s">
        <v>227</v>
      </c>
      <c r="B5569" t="s">
        <v>347</v>
      </c>
      <c r="C5569" s="2">
        <v>0.50819999999999999</v>
      </c>
      <c r="D5569" s="2">
        <v>0.26050000000000001</v>
      </c>
      <c r="E5569" s="2">
        <v>0.18959999999999999</v>
      </c>
      <c r="F5569" s="2">
        <v>1.41E-2</v>
      </c>
      <c r="G5569" s="2">
        <v>2.3800000000000002E-2</v>
      </c>
      <c r="H5569" s="2">
        <v>1.0800000000000001E-2</v>
      </c>
      <c r="I5569" s="2">
        <v>2.0999999999999999E-3</v>
      </c>
      <c r="J5569" s="2">
        <v>1.18E-2</v>
      </c>
      <c r="K5569" s="2">
        <v>2.07E-2</v>
      </c>
      <c r="L5569" s="2">
        <v>6.6E-3</v>
      </c>
      <c r="M5569" s="2">
        <v>1.15E-2</v>
      </c>
      <c r="P5569">
        <v>565</v>
      </c>
    </row>
    <row r="5570" spans="1:16" x14ac:dyDescent="0.35">
      <c r="A5570" t="s">
        <v>227</v>
      </c>
      <c r="B5570" t="s">
        <v>348</v>
      </c>
      <c r="C5570" s="2">
        <v>0.42870000000000003</v>
      </c>
      <c r="D5570" s="2">
        <v>0.36330000000000001</v>
      </c>
      <c r="E5570" s="2">
        <v>0.18</v>
      </c>
      <c r="F5570" s="2">
        <v>9.4999999999999998E-3</v>
      </c>
      <c r="G5570" s="2">
        <v>2.2100000000000002E-2</v>
      </c>
      <c r="H5570" s="2">
        <v>1.41E-2</v>
      </c>
      <c r="I5570" s="2">
        <v>4.1999999999999997E-3</v>
      </c>
      <c r="J5570" s="2">
        <v>1.8599999999999998E-2</v>
      </c>
      <c r="K5570" s="2">
        <v>4.7000000000000002E-3</v>
      </c>
      <c r="L5570" s="2">
        <v>4.4000000000000003E-3</v>
      </c>
      <c r="P5570">
        <v>750</v>
      </c>
    </row>
    <row r="5571" spans="1:16" x14ac:dyDescent="0.35">
      <c r="A5571" t="s">
        <v>228</v>
      </c>
      <c r="B5571" t="s">
        <v>228</v>
      </c>
      <c r="C5571" s="2">
        <v>0.48409999999999997</v>
      </c>
      <c r="D5571" s="2">
        <v>0.29170000000000001</v>
      </c>
      <c r="E5571" s="2">
        <v>0.1764</v>
      </c>
      <c r="F5571" s="2">
        <v>2.41E-2</v>
      </c>
      <c r="G5571" s="2">
        <v>1.6299999999999999E-2</v>
      </c>
      <c r="H5571" s="2">
        <v>1.43E-2</v>
      </c>
      <c r="I5571" s="2">
        <v>1.06E-2</v>
      </c>
      <c r="J5571" s="2">
        <v>1.04E-2</v>
      </c>
      <c r="K5571" s="2">
        <v>7.4999999999999997E-3</v>
      </c>
      <c r="L5571" s="2">
        <v>6.4999999999999997E-3</v>
      </c>
      <c r="M5571" s="2">
        <v>2.2000000000000001E-3</v>
      </c>
      <c r="N5571" s="2">
        <v>1.6999999999999999E-3</v>
      </c>
      <c r="O5571" s="2">
        <v>1.6999999999999999E-3</v>
      </c>
      <c r="P5571">
        <v>2755</v>
      </c>
    </row>
    <row r="5573" spans="1:16" x14ac:dyDescent="0.35">
      <c r="A5573" s="1" t="s">
        <v>1565</v>
      </c>
    </row>
    <row r="5574" spans="1:16" x14ac:dyDescent="0.35">
      <c r="A5574" t="s">
        <v>219</v>
      </c>
      <c r="B5574" t="s">
        <v>301</v>
      </c>
      <c r="C5574" t="s">
        <v>540</v>
      </c>
      <c r="D5574" t="s">
        <v>1394</v>
      </c>
      <c r="E5574" t="s">
        <v>277</v>
      </c>
      <c r="F5574" t="s">
        <v>1397</v>
      </c>
      <c r="G5574" t="s">
        <v>1498</v>
      </c>
      <c r="H5574" t="s">
        <v>1396</v>
      </c>
      <c r="I5574" t="s">
        <v>1398</v>
      </c>
      <c r="J5574" t="s">
        <v>1402</v>
      </c>
      <c r="K5574" t="s">
        <v>1395</v>
      </c>
      <c r="L5574" t="s">
        <v>1400</v>
      </c>
      <c r="M5574" t="s">
        <v>282</v>
      </c>
      <c r="N5574" t="s">
        <v>1401</v>
      </c>
      <c r="O5574" t="s">
        <v>318</v>
      </c>
      <c r="P5574" t="s">
        <v>226</v>
      </c>
    </row>
    <row r="5575" spans="1:16" x14ac:dyDescent="0.35">
      <c r="A5575" t="s">
        <v>227</v>
      </c>
      <c r="B5575" t="s">
        <v>251</v>
      </c>
      <c r="C5575" s="2">
        <v>0.48609999999999998</v>
      </c>
      <c r="D5575" s="2">
        <v>0.28670000000000001</v>
      </c>
      <c r="E5575" s="2">
        <v>0.1804</v>
      </c>
      <c r="F5575" s="2">
        <v>2.5000000000000001E-2</v>
      </c>
      <c r="G5575" s="2">
        <v>1.6899999999999998E-2</v>
      </c>
      <c r="H5575" s="2">
        <v>1.38E-2</v>
      </c>
      <c r="I5575" s="2">
        <v>9.7000000000000003E-3</v>
      </c>
      <c r="J5575" s="2">
        <v>1.17E-2</v>
      </c>
      <c r="K5575" s="2">
        <v>4.1000000000000003E-3</v>
      </c>
      <c r="L5575" s="2">
        <v>8.6999999999999994E-3</v>
      </c>
      <c r="M5575" s="2">
        <v>1.6999999999999999E-3</v>
      </c>
      <c r="N5575" s="2">
        <v>2.3999999999999998E-3</v>
      </c>
      <c r="O5575" s="2">
        <v>2.3999999999999998E-3</v>
      </c>
      <c r="P5575">
        <v>1987</v>
      </c>
    </row>
    <row r="5576" spans="1:16" x14ac:dyDescent="0.35">
      <c r="A5576" t="s">
        <v>227</v>
      </c>
      <c r="B5576" t="s">
        <v>252</v>
      </c>
      <c r="C5576" s="2">
        <v>0.51019999999999999</v>
      </c>
      <c r="D5576" s="2">
        <v>0.29780000000000001</v>
      </c>
      <c r="E5576" s="2">
        <v>0.1421</v>
      </c>
      <c r="F5576" s="2">
        <v>2.1000000000000001E-2</v>
      </c>
      <c r="G5576" s="2">
        <v>1.38E-2</v>
      </c>
      <c r="H5576" s="2">
        <v>1.67E-2</v>
      </c>
      <c r="I5576" s="2">
        <v>1.5900000000000001E-2</v>
      </c>
      <c r="J5576" s="2">
        <v>5.5999999999999999E-3</v>
      </c>
      <c r="K5576" s="2">
        <v>1.5800000000000002E-2</v>
      </c>
      <c r="M5576" s="2">
        <v>4.1999999999999997E-3</v>
      </c>
      <c r="P5576">
        <v>607</v>
      </c>
    </row>
    <row r="5577" spans="1:16" x14ac:dyDescent="0.35">
      <c r="A5577" t="s">
        <v>227</v>
      </c>
      <c r="B5577" t="s">
        <v>253</v>
      </c>
      <c r="C5577" s="2">
        <v>0.35859999999999997</v>
      </c>
      <c r="D5577" s="2">
        <v>0.31480000000000002</v>
      </c>
      <c r="E5577" s="2">
        <v>0.27400000000000002</v>
      </c>
      <c r="F5577" s="2">
        <v>2.7E-2</v>
      </c>
      <c r="G5577" s="2">
        <v>1.9E-2</v>
      </c>
      <c r="H5577" s="2">
        <v>1.1900000000000001E-2</v>
      </c>
      <c r="J5577" s="2">
        <v>1.3599999999999999E-2</v>
      </c>
      <c r="K5577" s="2">
        <v>1.7600000000000001E-2</v>
      </c>
      <c r="L5577" s="2">
        <v>5.7000000000000002E-3</v>
      </c>
      <c r="P5577">
        <v>152</v>
      </c>
    </row>
    <row r="5578" spans="1:16" x14ac:dyDescent="0.35">
      <c r="A5578" s="3" t="s">
        <v>227</v>
      </c>
      <c r="B5578" s="3" t="s">
        <v>254</v>
      </c>
      <c r="C5578" s="4">
        <v>0.1192</v>
      </c>
      <c r="D5578" s="4">
        <v>0.81530000000000002</v>
      </c>
      <c r="E5578" s="4">
        <v>6.5500000000000003E-2</v>
      </c>
      <c r="F5578" s="5"/>
      <c r="G5578" s="5"/>
      <c r="H5578" s="5"/>
      <c r="I5578" s="5"/>
      <c r="J5578" s="5"/>
      <c r="K5578" s="5"/>
      <c r="L5578" s="5"/>
      <c r="M5578" s="5"/>
      <c r="N5578" s="5"/>
      <c r="O5578" s="5"/>
      <c r="P5578" s="5" t="s">
        <v>515</v>
      </c>
    </row>
    <row r="5579" spans="1:16" x14ac:dyDescent="0.35">
      <c r="A5579" t="s">
        <v>228</v>
      </c>
      <c r="B5579" t="s">
        <v>228</v>
      </c>
      <c r="C5579" s="2">
        <v>0.48409999999999997</v>
      </c>
      <c r="D5579" s="2">
        <v>0.29170000000000001</v>
      </c>
      <c r="E5579" s="2">
        <v>0.1764</v>
      </c>
      <c r="F5579" s="2">
        <v>2.41E-2</v>
      </c>
      <c r="G5579" s="2">
        <v>1.6299999999999999E-2</v>
      </c>
      <c r="H5579" s="2">
        <v>1.43E-2</v>
      </c>
      <c r="I5579" s="2">
        <v>1.06E-2</v>
      </c>
      <c r="J5579" s="2">
        <v>1.04E-2</v>
      </c>
      <c r="K5579" s="2">
        <v>7.4999999999999997E-3</v>
      </c>
      <c r="L5579" s="2">
        <v>6.4999999999999997E-3</v>
      </c>
      <c r="M5579" s="2">
        <v>2.2000000000000001E-3</v>
      </c>
      <c r="N5579" s="2">
        <v>1.6999999999999999E-3</v>
      </c>
      <c r="O5579" s="2">
        <v>1.6999999999999999E-3</v>
      </c>
      <c r="P5579">
        <v>2755</v>
      </c>
    </row>
    <row r="5581" spans="1:16" x14ac:dyDescent="0.35">
      <c r="A5581" s="1" t="s">
        <v>1566</v>
      </c>
    </row>
    <row r="5582" spans="1:16" x14ac:dyDescent="0.35">
      <c r="A5582" t="s">
        <v>219</v>
      </c>
      <c r="B5582" t="s">
        <v>301</v>
      </c>
      <c r="C5582" t="s">
        <v>540</v>
      </c>
      <c r="D5582" t="s">
        <v>1394</v>
      </c>
      <c r="E5582" t="s">
        <v>277</v>
      </c>
      <c r="F5582" t="s">
        <v>1397</v>
      </c>
      <c r="G5582" t="s">
        <v>1498</v>
      </c>
      <c r="H5582" t="s">
        <v>1396</v>
      </c>
      <c r="I5582" t="s">
        <v>1398</v>
      </c>
      <c r="J5582" t="s">
        <v>1402</v>
      </c>
      <c r="K5582" t="s">
        <v>1395</v>
      </c>
      <c r="L5582" t="s">
        <v>1400</v>
      </c>
      <c r="M5582" t="s">
        <v>282</v>
      </c>
      <c r="N5582" t="s">
        <v>1401</v>
      </c>
      <c r="O5582" t="s">
        <v>318</v>
      </c>
      <c r="P5582" t="s">
        <v>226</v>
      </c>
    </row>
    <row r="5583" spans="1:16" x14ac:dyDescent="0.35">
      <c r="A5583" t="s">
        <v>227</v>
      </c>
      <c r="B5583" t="s">
        <v>1335</v>
      </c>
      <c r="C5583" s="2">
        <v>0.5806</v>
      </c>
      <c r="D5583" s="2">
        <v>0.26700000000000002</v>
      </c>
      <c r="E5583" s="2">
        <v>0.1033</v>
      </c>
      <c r="F5583" s="2">
        <v>2.8899999999999999E-2</v>
      </c>
      <c r="G5583" s="2">
        <v>1.2699999999999999E-2</v>
      </c>
      <c r="H5583" s="2">
        <v>1.4800000000000001E-2</v>
      </c>
      <c r="I5583" s="2">
        <v>1.47E-2</v>
      </c>
      <c r="J5583" s="2">
        <v>6.0000000000000001E-3</v>
      </c>
      <c r="K5583" s="2">
        <v>3.2000000000000002E-3</v>
      </c>
      <c r="L5583" s="2">
        <v>6.1999999999999998E-3</v>
      </c>
      <c r="M5583" s="2">
        <v>1E-4</v>
      </c>
      <c r="N5583" s="2">
        <v>5.1000000000000004E-3</v>
      </c>
      <c r="P5583">
        <v>824</v>
      </c>
    </row>
    <row r="5584" spans="1:16" x14ac:dyDescent="0.35">
      <c r="A5584" s="3" t="s">
        <v>227</v>
      </c>
      <c r="B5584" s="3" t="s">
        <v>1336</v>
      </c>
      <c r="C5584" s="4">
        <v>0.59340000000000004</v>
      </c>
      <c r="D5584" s="4">
        <v>0.40660000000000002</v>
      </c>
      <c r="E5584" s="5"/>
      <c r="F5584" s="5"/>
      <c r="G5584" s="5"/>
      <c r="H5584" s="5"/>
      <c r="I5584" s="5"/>
      <c r="J5584" s="5"/>
      <c r="K5584" s="5"/>
      <c r="L5584" s="5"/>
      <c r="M5584" s="5"/>
      <c r="N5584" s="5"/>
      <c r="O5584" s="5"/>
      <c r="P5584" s="5" t="s">
        <v>434</v>
      </c>
    </row>
    <row r="5585" spans="1:17" x14ac:dyDescent="0.35">
      <c r="A5585" t="s">
        <v>227</v>
      </c>
      <c r="B5585" t="s">
        <v>1337</v>
      </c>
      <c r="C5585" s="2">
        <v>0.43590000000000001</v>
      </c>
      <c r="D5585" s="2">
        <v>0.30380000000000001</v>
      </c>
      <c r="E5585" s="2">
        <v>0.21310000000000001</v>
      </c>
      <c r="F5585" s="2">
        <v>2.18E-2</v>
      </c>
      <c r="G5585" s="2">
        <v>1.8100000000000002E-2</v>
      </c>
      <c r="H5585" s="2">
        <v>1.41E-2</v>
      </c>
      <c r="I5585" s="2">
        <v>8.6E-3</v>
      </c>
      <c r="J5585" s="2">
        <v>1.2500000000000001E-2</v>
      </c>
      <c r="K5585" s="2">
        <v>9.5999999999999992E-3</v>
      </c>
      <c r="L5585" s="2">
        <v>6.7000000000000002E-3</v>
      </c>
      <c r="M5585" s="2">
        <v>3.2000000000000002E-3</v>
      </c>
      <c r="O5585" s="2">
        <v>2.5000000000000001E-3</v>
      </c>
      <c r="P5585">
        <v>1929</v>
      </c>
    </row>
    <row r="5586" spans="1:17" x14ac:dyDescent="0.35">
      <c r="A5586" t="s">
        <v>228</v>
      </c>
      <c r="B5586" t="s">
        <v>228</v>
      </c>
      <c r="C5586" s="2">
        <v>0.48409999999999997</v>
      </c>
      <c r="D5586" s="2">
        <v>0.29170000000000001</v>
      </c>
      <c r="E5586" s="2">
        <v>0.1764</v>
      </c>
      <c r="F5586" s="2">
        <v>2.41E-2</v>
      </c>
      <c r="G5586" s="2">
        <v>1.6299999999999999E-2</v>
      </c>
      <c r="H5586" s="2">
        <v>1.43E-2</v>
      </c>
      <c r="I5586" s="2">
        <v>1.06E-2</v>
      </c>
      <c r="J5586" s="2">
        <v>1.04E-2</v>
      </c>
      <c r="K5586" s="2">
        <v>7.4999999999999997E-3</v>
      </c>
      <c r="L5586" s="2">
        <v>6.4999999999999997E-3</v>
      </c>
      <c r="M5586" s="2">
        <v>2.2000000000000001E-3</v>
      </c>
      <c r="N5586" s="2">
        <v>1.6999999999999999E-3</v>
      </c>
      <c r="O5586" s="2">
        <v>1.6999999999999999E-3</v>
      </c>
      <c r="P5586">
        <v>2755</v>
      </c>
    </row>
    <row r="5588" spans="1:17" x14ac:dyDescent="0.35">
      <c r="A5588" s="1" t="s">
        <v>1567</v>
      </c>
    </row>
    <row r="5589" spans="1:17" x14ac:dyDescent="0.35">
      <c r="A5589" t="s">
        <v>219</v>
      </c>
      <c r="B5589" t="s">
        <v>301</v>
      </c>
      <c r="C5589" t="s">
        <v>540</v>
      </c>
      <c r="D5589" t="s">
        <v>1394</v>
      </c>
      <c r="E5589" t="s">
        <v>277</v>
      </c>
      <c r="F5589" t="s">
        <v>1397</v>
      </c>
      <c r="G5589" t="s">
        <v>1498</v>
      </c>
      <c r="H5589" t="s">
        <v>1396</v>
      </c>
      <c r="I5589" t="s">
        <v>1398</v>
      </c>
      <c r="J5589" t="s">
        <v>1402</v>
      </c>
      <c r="K5589" t="s">
        <v>1395</v>
      </c>
      <c r="L5589" t="s">
        <v>1400</v>
      </c>
      <c r="M5589" t="s">
        <v>282</v>
      </c>
      <c r="N5589" t="s">
        <v>1401</v>
      </c>
      <c r="O5589" t="s">
        <v>318</v>
      </c>
      <c r="P5589" t="s">
        <v>226</v>
      </c>
    </row>
    <row r="5590" spans="1:17" x14ac:dyDescent="0.35">
      <c r="A5590" t="s">
        <v>227</v>
      </c>
      <c r="B5590" t="s">
        <v>1339</v>
      </c>
      <c r="C5590" s="2">
        <v>0.64219999999999999</v>
      </c>
      <c r="D5590" s="2">
        <v>0.29110000000000003</v>
      </c>
      <c r="E5590" s="2">
        <v>4.87E-2</v>
      </c>
      <c r="F5590" s="2">
        <v>8.0600000000000005E-2</v>
      </c>
      <c r="G5590" s="2">
        <v>0.16600000000000001</v>
      </c>
      <c r="H5590" s="2">
        <v>3.7000000000000002E-3</v>
      </c>
      <c r="I5590" s="2">
        <v>3.4099999999999998E-2</v>
      </c>
      <c r="J5590" s="2">
        <v>8.7099999999999997E-2</v>
      </c>
      <c r="K5590" s="2">
        <v>3.7000000000000002E-3</v>
      </c>
      <c r="L5590" s="2">
        <v>1.04E-2</v>
      </c>
      <c r="P5590">
        <v>50</v>
      </c>
    </row>
    <row r="5591" spans="1:17" x14ac:dyDescent="0.35">
      <c r="A5591" t="s">
        <v>227</v>
      </c>
      <c r="B5591" t="s">
        <v>1340</v>
      </c>
      <c r="C5591" s="2">
        <v>0.46650000000000003</v>
      </c>
      <c r="D5591" s="2">
        <v>0.35539999999999999</v>
      </c>
      <c r="E5591" s="2">
        <v>0.12559999999999999</v>
      </c>
      <c r="F5591" s="2">
        <v>4.7899999999999998E-2</v>
      </c>
      <c r="G5591" s="2">
        <v>1.6299999999999999E-2</v>
      </c>
      <c r="H5591" s="2">
        <v>2.4199999999999999E-2</v>
      </c>
      <c r="I5591" s="2">
        <v>1.6400000000000001E-2</v>
      </c>
      <c r="J5591" s="2">
        <v>1.61E-2</v>
      </c>
      <c r="K5591" s="2">
        <v>1.23E-2</v>
      </c>
      <c r="L5591" s="2">
        <v>8.6999999999999994E-3</v>
      </c>
      <c r="P5591">
        <v>717</v>
      </c>
    </row>
    <row r="5592" spans="1:17" x14ac:dyDescent="0.35">
      <c r="A5592" t="s">
        <v>227</v>
      </c>
      <c r="B5592" t="s">
        <v>1341</v>
      </c>
      <c r="C5592" s="2">
        <v>0.47799999999999998</v>
      </c>
      <c r="D5592" s="2">
        <v>0.29039999999999999</v>
      </c>
      <c r="E5592" s="2">
        <v>0.1764</v>
      </c>
      <c r="F5592" s="2">
        <v>1.72E-2</v>
      </c>
      <c r="G5592" s="2">
        <v>1.3599999999999999E-2</v>
      </c>
      <c r="H5592" s="2">
        <v>1.6400000000000001E-2</v>
      </c>
      <c r="I5592" s="2">
        <v>1.0200000000000001E-2</v>
      </c>
      <c r="J5592" s="2">
        <v>8.3000000000000001E-3</v>
      </c>
      <c r="K5592" s="2">
        <v>8.6E-3</v>
      </c>
      <c r="L5592" s="2">
        <v>7.1000000000000004E-3</v>
      </c>
      <c r="M5592" s="2">
        <v>5.0000000000000001E-4</v>
      </c>
      <c r="N5592" s="2">
        <v>3.3999999999999998E-3</v>
      </c>
      <c r="P5592">
        <v>1306</v>
      </c>
    </row>
    <row r="5593" spans="1:17" x14ac:dyDescent="0.35">
      <c r="A5593" t="s">
        <v>227</v>
      </c>
      <c r="B5593" t="s">
        <v>1342</v>
      </c>
      <c r="C5593" s="2">
        <v>0.50019999999999998</v>
      </c>
      <c r="D5593" s="2">
        <v>0.23</v>
      </c>
      <c r="E5593" s="2">
        <v>0.2399</v>
      </c>
      <c r="F5593" s="2">
        <v>9.1999999999999998E-3</v>
      </c>
      <c r="G5593" s="2">
        <v>7.7000000000000002E-3</v>
      </c>
      <c r="H5593" s="2">
        <v>1E-3</v>
      </c>
      <c r="I5593" s="2">
        <v>3.3E-3</v>
      </c>
      <c r="J5593" s="2">
        <v>1.5E-3</v>
      </c>
      <c r="K5593" s="2">
        <v>6.9999999999999999E-4</v>
      </c>
      <c r="L5593" s="2">
        <v>2.7000000000000001E-3</v>
      </c>
      <c r="M5593" s="2">
        <v>8.0999999999999996E-3</v>
      </c>
      <c r="O5593" s="2">
        <v>7.1000000000000004E-3</v>
      </c>
      <c r="P5593">
        <v>682</v>
      </c>
    </row>
    <row r="5594" spans="1:17" x14ac:dyDescent="0.35">
      <c r="A5594" t="s">
        <v>228</v>
      </c>
      <c r="B5594" t="s">
        <v>228</v>
      </c>
      <c r="C5594" s="2">
        <v>0.48409999999999997</v>
      </c>
      <c r="D5594" s="2">
        <v>0.29170000000000001</v>
      </c>
      <c r="E5594" s="2">
        <v>0.1764</v>
      </c>
      <c r="F5594" s="2">
        <v>2.41E-2</v>
      </c>
      <c r="G5594" s="2">
        <v>1.6299999999999999E-2</v>
      </c>
      <c r="H5594" s="2">
        <v>1.43E-2</v>
      </c>
      <c r="I5594" s="2">
        <v>1.06E-2</v>
      </c>
      <c r="J5594" s="2">
        <v>1.04E-2</v>
      </c>
      <c r="K5594" s="2">
        <v>7.4999999999999997E-3</v>
      </c>
      <c r="L5594" s="2">
        <v>6.4999999999999997E-3</v>
      </c>
      <c r="M5594" s="2">
        <v>2.2000000000000001E-3</v>
      </c>
      <c r="N5594" s="2">
        <v>1.6999999999999999E-3</v>
      </c>
      <c r="O5594" s="2">
        <v>1.6999999999999999E-3</v>
      </c>
      <c r="P5594">
        <v>2755</v>
      </c>
    </row>
    <row r="5596" spans="1:17" x14ac:dyDescent="0.35">
      <c r="A5596" s="1" t="s">
        <v>1568</v>
      </c>
    </row>
    <row r="5597" spans="1:17" x14ac:dyDescent="0.35">
      <c r="A5597" t="s">
        <v>219</v>
      </c>
      <c r="B5597" t="s">
        <v>301</v>
      </c>
      <c r="C5597" t="s">
        <v>325</v>
      </c>
      <c r="D5597" t="s">
        <v>540</v>
      </c>
      <c r="E5597" t="s">
        <v>1394</v>
      </c>
      <c r="F5597" t="s">
        <v>277</v>
      </c>
      <c r="G5597" t="s">
        <v>1397</v>
      </c>
      <c r="H5597" t="s">
        <v>1498</v>
      </c>
      <c r="I5597" t="s">
        <v>1396</v>
      </c>
      <c r="J5597" t="s">
        <v>1398</v>
      </c>
      <c r="K5597" t="s">
        <v>1402</v>
      </c>
      <c r="L5597" t="s">
        <v>1395</v>
      </c>
      <c r="M5597" t="s">
        <v>1400</v>
      </c>
      <c r="N5597" t="s">
        <v>282</v>
      </c>
      <c r="O5597" t="s">
        <v>1401</v>
      </c>
      <c r="P5597" t="s">
        <v>318</v>
      </c>
      <c r="Q5597" t="s">
        <v>226</v>
      </c>
    </row>
    <row r="5598" spans="1:17" x14ac:dyDescent="0.35">
      <c r="A5598" s="3" t="s">
        <v>227</v>
      </c>
      <c r="B5598" s="3" t="s">
        <v>1335</v>
      </c>
      <c r="C5598" s="3" t="s">
        <v>1339</v>
      </c>
      <c r="D5598" s="4">
        <v>0.56169999999999998</v>
      </c>
      <c r="E5598" s="4">
        <v>0.2616</v>
      </c>
      <c r="F5598" s="4">
        <v>0.13550000000000001</v>
      </c>
      <c r="G5598" s="5"/>
      <c r="H5598" s="4">
        <v>0.2616</v>
      </c>
      <c r="I5598" s="4">
        <v>1.0800000000000001E-2</v>
      </c>
      <c r="J5598" s="4">
        <v>3.04E-2</v>
      </c>
      <c r="K5598" s="4">
        <v>3.04E-2</v>
      </c>
      <c r="L5598" s="4">
        <v>1.0800000000000001E-2</v>
      </c>
      <c r="M5598" s="4">
        <v>3.04E-2</v>
      </c>
      <c r="N5598" s="5"/>
      <c r="O5598" s="5"/>
      <c r="P5598" s="5"/>
      <c r="Q5598" s="5" t="s">
        <v>429</v>
      </c>
    </row>
    <row r="5599" spans="1:17" x14ac:dyDescent="0.35">
      <c r="A5599" t="s">
        <v>227</v>
      </c>
      <c r="B5599" t="s">
        <v>1335</v>
      </c>
      <c r="C5599" t="s">
        <v>1340</v>
      </c>
      <c r="D5599" s="2">
        <v>0.51400000000000001</v>
      </c>
      <c r="E5599" s="2">
        <v>0.36809999999999998</v>
      </c>
      <c r="F5599" s="2">
        <v>7.0000000000000007E-2</v>
      </c>
      <c r="G5599" s="2">
        <v>4.9000000000000002E-2</v>
      </c>
      <c r="H5599" s="2">
        <v>3.5000000000000001E-3</v>
      </c>
      <c r="I5599" s="2">
        <v>2.3800000000000002E-2</v>
      </c>
      <c r="J5599" s="2">
        <v>2.5999999999999999E-2</v>
      </c>
      <c r="M5599" s="2">
        <v>1.1999999999999999E-3</v>
      </c>
      <c r="Q5599">
        <v>245</v>
      </c>
    </row>
    <row r="5600" spans="1:17" x14ac:dyDescent="0.35">
      <c r="A5600" t="s">
        <v>227</v>
      </c>
      <c r="B5600" t="s">
        <v>1335</v>
      </c>
      <c r="C5600" t="s">
        <v>1341</v>
      </c>
      <c r="D5600" s="2">
        <v>0.60670000000000002</v>
      </c>
      <c r="E5600" s="2">
        <v>0.23769999999999999</v>
      </c>
      <c r="F5600" s="2">
        <v>9.3700000000000006E-2</v>
      </c>
      <c r="G5600" s="2">
        <v>2.4899999999999999E-2</v>
      </c>
      <c r="H5600" s="2">
        <v>1.0699999999999999E-2</v>
      </c>
      <c r="I5600" s="2">
        <v>1.55E-2</v>
      </c>
      <c r="J5600" s="2">
        <v>1.3899999999999999E-2</v>
      </c>
      <c r="K5600" s="2">
        <v>9.5999999999999992E-3</v>
      </c>
      <c r="L5600" s="2">
        <v>5.4000000000000003E-3</v>
      </c>
      <c r="M5600" s="2">
        <v>0.01</v>
      </c>
      <c r="N5600" s="2">
        <v>2.9999999999999997E-4</v>
      </c>
      <c r="O5600" s="2">
        <v>0.01</v>
      </c>
      <c r="Q5600">
        <v>405</v>
      </c>
    </row>
    <row r="5601" spans="1:17" x14ac:dyDescent="0.35">
      <c r="A5601" t="s">
        <v>227</v>
      </c>
      <c r="B5601" t="s">
        <v>1335</v>
      </c>
      <c r="C5601" t="s">
        <v>1342</v>
      </c>
      <c r="D5601" s="2">
        <v>0.60350000000000004</v>
      </c>
      <c r="E5601" s="2">
        <v>0.2094</v>
      </c>
      <c r="F5601" s="2">
        <v>0.16880000000000001</v>
      </c>
      <c r="G5601" s="2">
        <v>1.5900000000000001E-2</v>
      </c>
      <c r="H5601" s="2">
        <v>1.1999999999999999E-3</v>
      </c>
      <c r="I5601" s="2">
        <v>1.6999999999999999E-3</v>
      </c>
      <c r="K5601" s="2">
        <v>2E-3</v>
      </c>
      <c r="L5601" s="2">
        <v>6.9999999999999999E-4</v>
      </c>
      <c r="Q5601">
        <v>155</v>
      </c>
    </row>
    <row r="5602" spans="1:17" x14ac:dyDescent="0.35">
      <c r="A5602" s="3" t="s">
        <v>227</v>
      </c>
      <c r="B5602" s="3" t="s">
        <v>1336</v>
      </c>
      <c r="C5602" s="3" t="s">
        <v>1341</v>
      </c>
      <c r="D5602" s="4">
        <v>0.59340000000000004</v>
      </c>
      <c r="E5602" s="4">
        <v>0.40660000000000002</v>
      </c>
      <c r="F5602" s="5"/>
      <c r="G5602" s="5"/>
      <c r="H5602" s="5"/>
      <c r="I5602" s="5"/>
      <c r="J5602" s="5"/>
      <c r="K5602" s="5"/>
      <c r="L5602" s="5"/>
      <c r="M5602" s="5"/>
      <c r="N5602" s="5"/>
      <c r="O5602" s="5"/>
      <c r="P5602" s="5"/>
      <c r="Q5602" s="5" t="s">
        <v>434</v>
      </c>
    </row>
    <row r="5603" spans="1:17" x14ac:dyDescent="0.35">
      <c r="A5603" t="s">
        <v>227</v>
      </c>
      <c r="B5603" t="s">
        <v>1337</v>
      </c>
      <c r="C5603" t="s">
        <v>1339</v>
      </c>
      <c r="D5603" s="2">
        <v>0.68389999999999995</v>
      </c>
      <c r="E5603" s="2">
        <v>0.30640000000000001</v>
      </c>
      <c r="F5603" s="2">
        <v>3.8E-3</v>
      </c>
      <c r="G5603" s="2">
        <v>0.12239999999999999</v>
      </c>
      <c r="H5603" s="2">
        <v>0.11650000000000001</v>
      </c>
      <c r="J5603" s="2">
        <v>3.5900000000000001E-2</v>
      </c>
      <c r="K5603" s="2">
        <v>0.11650000000000001</v>
      </c>
      <c r="Q5603">
        <v>31</v>
      </c>
    </row>
    <row r="5604" spans="1:17" x14ac:dyDescent="0.35">
      <c r="A5604" t="s">
        <v>227</v>
      </c>
      <c r="B5604" t="s">
        <v>1337</v>
      </c>
      <c r="C5604" t="s">
        <v>1340</v>
      </c>
      <c r="D5604" s="2">
        <v>0.43959999999999999</v>
      </c>
      <c r="E5604" s="2">
        <v>0.34810000000000002</v>
      </c>
      <c r="F5604" s="2">
        <v>0.15720000000000001</v>
      </c>
      <c r="G5604" s="2">
        <v>4.7300000000000002E-2</v>
      </c>
      <c r="H5604" s="2">
        <v>2.3599999999999999E-2</v>
      </c>
      <c r="I5604" s="2">
        <v>2.4299999999999999E-2</v>
      </c>
      <c r="J5604" s="2">
        <v>1.0999999999999999E-2</v>
      </c>
      <c r="K5604" s="2">
        <v>2.53E-2</v>
      </c>
      <c r="L5604" s="2">
        <v>1.9300000000000001E-2</v>
      </c>
      <c r="M5604" s="2">
        <v>1.2999999999999999E-2</v>
      </c>
      <c r="Q5604">
        <v>472</v>
      </c>
    </row>
    <row r="5605" spans="1:17" x14ac:dyDescent="0.35">
      <c r="A5605" t="s">
        <v>227</v>
      </c>
      <c r="B5605" t="s">
        <v>1337</v>
      </c>
      <c r="C5605" t="s">
        <v>1341</v>
      </c>
      <c r="D5605" s="2">
        <v>0.41020000000000001</v>
      </c>
      <c r="E5605" s="2">
        <v>0.31730000000000003</v>
      </c>
      <c r="F5605" s="2">
        <v>0.2205</v>
      </c>
      <c r="G5605" s="2">
        <v>1.32E-2</v>
      </c>
      <c r="H5605" s="2">
        <v>1.52E-2</v>
      </c>
      <c r="I5605" s="2">
        <v>1.7000000000000001E-2</v>
      </c>
      <c r="J5605" s="2">
        <v>8.3999999999999995E-3</v>
      </c>
      <c r="K5605" s="2">
        <v>7.7000000000000002E-3</v>
      </c>
      <c r="L5605" s="2">
        <v>1.0200000000000001E-2</v>
      </c>
      <c r="M5605" s="2">
        <v>5.5999999999999999E-3</v>
      </c>
      <c r="N5605" s="2">
        <v>5.9999999999999995E-4</v>
      </c>
      <c r="Q5605">
        <v>899</v>
      </c>
    </row>
    <row r="5606" spans="1:17" x14ac:dyDescent="0.35">
      <c r="A5606" t="s">
        <v>227</v>
      </c>
      <c r="B5606" t="s">
        <v>1337</v>
      </c>
      <c r="C5606" t="s">
        <v>1342</v>
      </c>
      <c r="D5606" s="2">
        <v>0.46050000000000002</v>
      </c>
      <c r="E5606" s="2">
        <v>0.2379</v>
      </c>
      <c r="F5606" s="2">
        <v>0.26729999999999998</v>
      </c>
      <c r="G5606" s="2">
        <v>6.7000000000000002E-3</v>
      </c>
      <c r="H5606" s="2">
        <v>1.03E-2</v>
      </c>
      <c r="I5606" s="2">
        <v>6.9999999999999999E-4</v>
      </c>
      <c r="J5606" s="2">
        <v>4.4999999999999997E-3</v>
      </c>
      <c r="K5606" s="2">
        <v>1.2999999999999999E-3</v>
      </c>
      <c r="L5606" s="2">
        <v>5.9999999999999995E-4</v>
      </c>
      <c r="M5606" s="2">
        <v>3.7000000000000002E-3</v>
      </c>
      <c r="N5606" s="2">
        <v>1.1299999999999999E-2</v>
      </c>
      <c r="P5606" s="2">
        <v>9.9000000000000008E-3</v>
      </c>
      <c r="Q5606">
        <v>527</v>
      </c>
    </row>
    <row r="5607" spans="1:17" x14ac:dyDescent="0.35">
      <c r="A5607" t="s">
        <v>228</v>
      </c>
      <c r="B5607" t="s">
        <v>228</v>
      </c>
      <c r="C5607" t="s">
        <v>228</v>
      </c>
      <c r="D5607" s="2">
        <v>0.48409999999999997</v>
      </c>
      <c r="E5607" s="2">
        <v>0.29170000000000001</v>
      </c>
      <c r="F5607" s="2">
        <v>0.1764</v>
      </c>
      <c r="G5607" s="2">
        <v>2.41E-2</v>
      </c>
      <c r="H5607" s="2">
        <v>1.6299999999999999E-2</v>
      </c>
      <c r="I5607" s="2">
        <v>1.43E-2</v>
      </c>
      <c r="J5607" s="2">
        <v>1.06E-2</v>
      </c>
      <c r="K5607" s="2">
        <v>1.04E-2</v>
      </c>
      <c r="L5607" s="2">
        <v>7.4999999999999997E-3</v>
      </c>
      <c r="M5607" s="2">
        <v>6.4999999999999997E-3</v>
      </c>
      <c r="N5607" s="2">
        <v>2.2000000000000001E-3</v>
      </c>
      <c r="O5607" s="2">
        <v>1.6999999999999999E-3</v>
      </c>
      <c r="P5607" s="2">
        <v>1.6999999999999999E-3</v>
      </c>
      <c r="Q5607">
        <v>2755</v>
      </c>
    </row>
    <row r="5609" spans="1:17" x14ac:dyDescent="0.35">
      <c r="A5609" s="1" t="s">
        <v>1569</v>
      </c>
    </row>
    <row r="5610" spans="1:17" x14ac:dyDescent="0.35">
      <c r="A5610" t="s">
        <v>219</v>
      </c>
      <c r="B5610" t="s">
        <v>540</v>
      </c>
      <c r="C5610" t="s">
        <v>277</v>
      </c>
      <c r="D5610" t="s">
        <v>1570</v>
      </c>
      <c r="E5610" t="s">
        <v>1395</v>
      </c>
      <c r="F5610" t="s">
        <v>1571</v>
      </c>
      <c r="G5610" t="s">
        <v>1572</v>
      </c>
      <c r="H5610" t="s">
        <v>1400</v>
      </c>
      <c r="I5610" t="s">
        <v>1573</v>
      </c>
      <c r="J5610" t="s">
        <v>318</v>
      </c>
      <c r="K5610" t="s">
        <v>1574</v>
      </c>
      <c r="L5610" t="s">
        <v>1498</v>
      </c>
      <c r="M5610" t="s">
        <v>1575</v>
      </c>
      <c r="N5610" t="s">
        <v>282</v>
      </c>
      <c r="O5610" t="s">
        <v>1402</v>
      </c>
      <c r="P5610" t="s">
        <v>226</v>
      </c>
    </row>
    <row r="5611" spans="1:17" x14ac:dyDescent="0.35">
      <c r="A5611" t="s">
        <v>227</v>
      </c>
      <c r="B5611" s="2">
        <v>0.69269999999999998</v>
      </c>
      <c r="C5611" s="2">
        <v>0.186</v>
      </c>
      <c r="D5611" s="2">
        <v>4.0300000000000002E-2</v>
      </c>
      <c r="E5611" s="2">
        <v>3.09E-2</v>
      </c>
      <c r="F5611" s="2">
        <v>2.3099999999999999E-2</v>
      </c>
      <c r="G5611" s="2">
        <v>2.0899999999999998E-2</v>
      </c>
      <c r="H5611" s="2">
        <v>1.41E-2</v>
      </c>
      <c r="I5611" s="2">
        <v>1.14E-2</v>
      </c>
      <c r="J5611" s="2">
        <v>9.9000000000000008E-3</v>
      </c>
      <c r="K5611" s="2">
        <v>8.6999999999999994E-3</v>
      </c>
      <c r="L5611" s="2">
        <v>7.3000000000000001E-3</v>
      </c>
      <c r="M5611" s="2">
        <v>4.0000000000000001E-3</v>
      </c>
      <c r="N5611" s="2">
        <v>2.8999999999999998E-3</v>
      </c>
      <c r="O5611" s="2">
        <v>2E-3</v>
      </c>
      <c r="P5611">
        <v>2578</v>
      </c>
    </row>
    <row r="5612" spans="1:17" x14ac:dyDescent="0.35">
      <c r="A5612" t="s">
        <v>228</v>
      </c>
      <c r="B5612" s="2">
        <v>0.69269999999999998</v>
      </c>
      <c r="C5612" s="2">
        <v>0.186</v>
      </c>
      <c r="D5612" s="2">
        <v>4.0300000000000002E-2</v>
      </c>
      <c r="E5612" s="2">
        <v>3.09E-2</v>
      </c>
      <c r="F5612" s="2">
        <v>2.3099999999999999E-2</v>
      </c>
      <c r="G5612" s="2">
        <v>2.0899999999999998E-2</v>
      </c>
      <c r="H5612" s="2">
        <v>1.41E-2</v>
      </c>
      <c r="I5612" s="2">
        <v>1.14E-2</v>
      </c>
      <c r="J5612" s="2">
        <v>9.9000000000000008E-3</v>
      </c>
      <c r="K5612" s="2">
        <v>8.6999999999999994E-3</v>
      </c>
      <c r="L5612" s="2">
        <v>7.3000000000000001E-3</v>
      </c>
      <c r="M5612" s="2">
        <v>4.0000000000000001E-3</v>
      </c>
      <c r="N5612" s="2">
        <v>2.8999999999999998E-3</v>
      </c>
      <c r="O5612" s="2">
        <v>2E-3</v>
      </c>
      <c r="P5612">
        <v>2578</v>
      </c>
    </row>
    <row r="5614" spans="1:17" x14ac:dyDescent="0.35">
      <c r="A5614" s="1" t="s">
        <v>1576</v>
      </c>
    </row>
    <row r="5615" spans="1:17" x14ac:dyDescent="0.35">
      <c r="A5615" t="s">
        <v>219</v>
      </c>
      <c r="B5615" t="s">
        <v>301</v>
      </c>
      <c r="C5615" t="s">
        <v>540</v>
      </c>
      <c r="D5615" t="s">
        <v>277</v>
      </c>
      <c r="E5615" t="s">
        <v>1570</v>
      </c>
      <c r="F5615" t="s">
        <v>1395</v>
      </c>
      <c r="G5615" t="s">
        <v>1571</v>
      </c>
      <c r="H5615" t="s">
        <v>1572</v>
      </c>
      <c r="I5615" t="s">
        <v>1400</v>
      </c>
      <c r="J5615" t="s">
        <v>1573</v>
      </c>
      <c r="K5615" t="s">
        <v>318</v>
      </c>
      <c r="L5615" t="s">
        <v>1574</v>
      </c>
      <c r="M5615" t="s">
        <v>1498</v>
      </c>
      <c r="N5615" t="s">
        <v>1575</v>
      </c>
      <c r="O5615" t="s">
        <v>282</v>
      </c>
      <c r="P5615" t="s">
        <v>1402</v>
      </c>
      <c r="Q5615" t="s">
        <v>226</v>
      </c>
    </row>
    <row r="5616" spans="1:17" x14ac:dyDescent="0.35">
      <c r="A5616" t="s">
        <v>227</v>
      </c>
      <c r="B5616" t="s">
        <v>238</v>
      </c>
      <c r="C5616" s="2">
        <v>0.68200000000000005</v>
      </c>
      <c r="D5616" s="2">
        <v>0.20619999999999999</v>
      </c>
      <c r="E5616" s="2">
        <v>3.0200000000000001E-2</v>
      </c>
      <c r="F5616" s="2">
        <v>2.29E-2</v>
      </c>
      <c r="G5616" s="2">
        <v>2.1499999999999998E-2</v>
      </c>
      <c r="H5616" s="2">
        <v>1.95E-2</v>
      </c>
      <c r="I5616" s="2">
        <v>2.18E-2</v>
      </c>
      <c r="J5616" s="2">
        <v>6.8999999999999999E-3</v>
      </c>
      <c r="K5616" s="2">
        <v>1.0500000000000001E-2</v>
      </c>
      <c r="L5616" s="2">
        <v>7.0000000000000001E-3</v>
      </c>
      <c r="M5616" s="2">
        <v>7.4000000000000003E-3</v>
      </c>
      <c r="N5616" s="2">
        <v>4.0000000000000001E-3</v>
      </c>
      <c r="O5616" s="2">
        <v>7.4999999999999997E-3</v>
      </c>
      <c r="P5616" s="2">
        <v>2.5999999999999999E-3</v>
      </c>
      <c r="Q5616">
        <v>917</v>
      </c>
    </row>
    <row r="5617" spans="1:17" x14ac:dyDescent="0.35">
      <c r="A5617" t="s">
        <v>227</v>
      </c>
      <c r="B5617" t="s">
        <v>237</v>
      </c>
      <c r="C5617" s="2">
        <v>0.69879999999999998</v>
      </c>
      <c r="D5617" s="2">
        <v>0.1744</v>
      </c>
      <c r="E5617" s="2">
        <v>4.5999999999999999E-2</v>
      </c>
      <c r="F5617" s="2">
        <v>3.5499999999999997E-2</v>
      </c>
      <c r="G5617" s="2">
        <v>2.4E-2</v>
      </c>
      <c r="H5617" s="2">
        <v>2.1700000000000001E-2</v>
      </c>
      <c r="I5617" s="2">
        <v>9.7000000000000003E-3</v>
      </c>
      <c r="J5617" s="2">
        <v>1.3899999999999999E-2</v>
      </c>
      <c r="K5617" s="2">
        <v>9.4999999999999998E-3</v>
      </c>
      <c r="L5617" s="2">
        <v>9.7000000000000003E-3</v>
      </c>
      <c r="M5617" s="2">
        <v>7.3000000000000001E-3</v>
      </c>
      <c r="N5617" s="2">
        <v>3.8999999999999998E-3</v>
      </c>
      <c r="O5617" s="2">
        <v>2.9999999999999997E-4</v>
      </c>
      <c r="P5617" s="2">
        <v>1.6000000000000001E-3</v>
      </c>
      <c r="Q5617">
        <v>1661</v>
      </c>
    </row>
    <row r="5618" spans="1:17" x14ac:dyDescent="0.35">
      <c r="A5618" t="s">
        <v>228</v>
      </c>
      <c r="B5618" t="s">
        <v>228</v>
      </c>
      <c r="C5618" s="2">
        <v>0.69269999999999998</v>
      </c>
      <c r="D5618" s="2">
        <v>0.186</v>
      </c>
      <c r="E5618" s="2">
        <v>4.0300000000000002E-2</v>
      </c>
      <c r="F5618" s="2">
        <v>3.09E-2</v>
      </c>
      <c r="G5618" s="2">
        <v>2.3099999999999999E-2</v>
      </c>
      <c r="H5618" s="2">
        <v>2.0899999999999998E-2</v>
      </c>
      <c r="I5618" s="2">
        <v>1.41E-2</v>
      </c>
      <c r="J5618" s="2">
        <v>1.14E-2</v>
      </c>
      <c r="K5618" s="2">
        <v>9.9000000000000008E-3</v>
      </c>
      <c r="L5618" s="2">
        <v>8.6999999999999994E-3</v>
      </c>
      <c r="M5618" s="2">
        <v>7.3000000000000001E-3</v>
      </c>
      <c r="N5618" s="2">
        <v>4.0000000000000001E-3</v>
      </c>
      <c r="O5618" s="2">
        <v>2.8999999999999998E-3</v>
      </c>
      <c r="P5618" s="2">
        <v>2E-3</v>
      </c>
      <c r="Q5618">
        <v>2578</v>
      </c>
    </row>
    <row r="5620" spans="1:17" x14ac:dyDescent="0.35">
      <c r="A5620" s="1" t="s">
        <v>1577</v>
      </c>
    </row>
    <row r="5621" spans="1:17" x14ac:dyDescent="0.35">
      <c r="A5621" t="s">
        <v>219</v>
      </c>
      <c r="B5621" t="s">
        <v>301</v>
      </c>
      <c r="C5621" t="s">
        <v>540</v>
      </c>
      <c r="D5621" t="s">
        <v>277</v>
      </c>
      <c r="E5621" t="s">
        <v>1570</v>
      </c>
      <c r="F5621" t="s">
        <v>1395</v>
      </c>
      <c r="G5621" t="s">
        <v>1571</v>
      </c>
      <c r="H5621" t="s">
        <v>1572</v>
      </c>
      <c r="I5621" t="s">
        <v>1400</v>
      </c>
      <c r="J5621" t="s">
        <v>1573</v>
      </c>
      <c r="K5621" t="s">
        <v>318</v>
      </c>
      <c r="L5621" t="s">
        <v>1574</v>
      </c>
      <c r="M5621" t="s">
        <v>1498</v>
      </c>
      <c r="N5621" t="s">
        <v>1575</v>
      </c>
      <c r="O5621" t="s">
        <v>282</v>
      </c>
      <c r="P5621" t="s">
        <v>1402</v>
      </c>
      <c r="Q5621" t="s">
        <v>226</v>
      </c>
    </row>
    <row r="5622" spans="1:17" x14ac:dyDescent="0.35">
      <c r="A5622" t="s">
        <v>227</v>
      </c>
      <c r="B5622" t="s">
        <v>235</v>
      </c>
      <c r="C5622" s="2">
        <v>0.74419999999999997</v>
      </c>
      <c r="D5622" s="2">
        <v>0.1764</v>
      </c>
      <c r="E5622" s="2">
        <v>2.3099999999999999E-2</v>
      </c>
      <c r="F5622" s="2">
        <v>0.02</v>
      </c>
      <c r="G5622" s="2">
        <v>6.4999999999999997E-3</v>
      </c>
      <c r="H5622" s="2">
        <v>6.4999999999999997E-3</v>
      </c>
      <c r="I5622" s="2">
        <v>9.5999999999999992E-3</v>
      </c>
      <c r="J5622" s="2">
        <v>6.0000000000000001E-3</v>
      </c>
      <c r="K5622" s="2">
        <v>6.0000000000000001E-3</v>
      </c>
      <c r="L5622" s="2">
        <v>6.4999999999999997E-3</v>
      </c>
      <c r="M5622" s="2">
        <v>4.1999999999999997E-3</v>
      </c>
      <c r="N5622" s="2">
        <v>6.9999999999999999E-4</v>
      </c>
      <c r="O5622" s="2">
        <v>2.8E-3</v>
      </c>
      <c r="Q5622">
        <v>939</v>
      </c>
    </row>
    <row r="5623" spans="1:17" x14ac:dyDescent="0.35">
      <c r="A5623" t="s">
        <v>227</v>
      </c>
      <c r="B5623" t="s">
        <v>234</v>
      </c>
      <c r="C5623" s="2">
        <v>0.66990000000000005</v>
      </c>
      <c r="D5623" s="2">
        <v>0.19020000000000001</v>
      </c>
      <c r="E5623" s="2">
        <v>4.7899999999999998E-2</v>
      </c>
      <c r="F5623" s="2">
        <v>3.56E-2</v>
      </c>
      <c r="G5623" s="2">
        <v>3.04E-2</v>
      </c>
      <c r="H5623" s="2">
        <v>2.7300000000000001E-2</v>
      </c>
      <c r="I5623" s="2">
        <v>1.61E-2</v>
      </c>
      <c r="J5623" s="2">
        <v>1.37E-2</v>
      </c>
      <c r="K5623" s="2">
        <v>1.1599999999999999E-2</v>
      </c>
      <c r="L5623" s="2">
        <v>9.7000000000000003E-3</v>
      </c>
      <c r="M5623" s="2">
        <v>8.6999999999999994E-3</v>
      </c>
      <c r="N5623" s="2">
        <v>5.4000000000000003E-3</v>
      </c>
      <c r="O5623" s="2">
        <v>3.0000000000000001E-3</v>
      </c>
      <c r="P5623" s="2">
        <v>2.8E-3</v>
      </c>
      <c r="Q5623">
        <v>1639</v>
      </c>
    </row>
    <row r="5624" spans="1:17" x14ac:dyDescent="0.35">
      <c r="A5624" t="s">
        <v>228</v>
      </c>
      <c r="B5624" t="s">
        <v>228</v>
      </c>
      <c r="C5624" s="2">
        <v>0.69269999999999998</v>
      </c>
      <c r="D5624" s="2">
        <v>0.186</v>
      </c>
      <c r="E5624" s="2">
        <v>4.0300000000000002E-2</v>
      </c>
      <c r="F5624" s="2">
        <v>3.09E-2</v>
      </c>
      <c r="G5624" s="2">
        <v>2.3099999999999999E-2</v>
      </c>
      <c r="H5624" s="2">
        <v>2.0899999999999998E-2</v>
      </c>
      <c r="I5624" s="2">
        <v>1.41E-2</v>
      </c>
      <c r="J5624" s="2">
        <v>1.14E-2</v>
      </c>
      <c r="K5624" s="2">
        <v>9.9000000000000008E-3</v>
      </c>
      <c r="L5624" s="2">
        <v>8.6999999999999994E-3</v>
      </c>
      <c r="M5624" s="2">
        <v>7.3000000000000001E-3</v>
      </c>
      <c r="N5624" s="2">
        <v>4.0000000000000001E-3</v>
      </c>
      <c r="O5624" s="2">
        <v>2.8999999999999998E-3</v>
      </c>
      <c r="P5624" s="2">
        <v>2E-3</v>
      </c>
      <c r="Q5624">
        <v>2578</v>
      </c>
    </row>
    <row r="5626" spans="1:17" x14ac:dyDescent="0.35">
      <c r="A5626" s="1" t="s">
        <v>1578</v>
      </c>
    </row>
    <row r="5627" spans="1:17" x14ac:dyDescent="0.35">
      <c r="A5627" t="s">
        <v>219</v>
      </c>
      <c r="B5627" t="s">
        <v>301</v>
      </c>
      <c r="C5627" t="s">
        <v>540</v>
      </c>
      <c r="D5627" t="s">
        <v>277</v>
      </c>
      <c r="E5627" t="s">
        <v>1570</v>
      </c>
      <c r="F5627" t="s">
        <v>1395</v>
      </c>
      <c r="G5627" t="s">
        <v>1571</v>
      </c>
      <c r="H5627" t="s">
        <v>1572</v>
      </c>
      <c r="I5627" t="s">
        <v>1400</v>
      </c>
      <c r="J5627" t="s">
        <v>1573</v>
      </c>
      <c r="K5627" t="s">
        <v>318</v>
      </c>
      <c r="L5627" t="s">
        <v>1574</v>
      </c>
      <c r="M5627" t="s">
        <v>1498</v>
      </c>
      <c r="N5627" t="s">
        <v>1575</v>
      </c>
      <c r="O5627" t="s">
        <v>282</v>
      </c>
      <c r="P5627" t="s">
        <v>1402</v>
      </c>
      <c r="Q5627" t="s">
        <v>226</v>
      </c>
    </row>
    <row r="5628" spans="1:17" x14ac:dyDescent="0.35">
      <c r="A5628" t="s">
        <v>227</v>
      </c>
      <c r="B5628" t="s">
        <v>240</v>
      </c>
      <c r="C5628" s="2">
        <v>0.68540000000000001</v>
      </c>
      <c r="D5628" s="2">
        <v>0.18049999999999999</v>
      </c>
      <c r="E5628" s="2">
        <v>4.1799999999999997E-2</v>
      </c>
      <c r="F5628" s="2">
        <v>3.0800000000000001E-2</v>
      </c>
      <c r="G5628" s="2">
        <v>2.2800000000000001E-2</v>
      </c>
      <c r="H5628" s="2">
        <v>2.76E-2</v>
      </c>
      <c r="I5628" s="2">
        <v>1.6400000000000001E-2</v>
      </c>
      <c r="J5628" s="2">
        <v>1.0999999999999999E-2</v>
      </c>
      <c r="K5628" s="2">
        <v>1.14E-2</v>
      </c>
      <c r="L5628" s="2">
        <v>0.01</v>
      </c>
      <c r="M5628" s="2">
        <v>5.1000000000000004E-3</v>
      </c>
      <c r="N5628" s="2">
        <v>4.7000000000000002E-3</v>
      </c>
      <c r="O5628" s="2">
        <v>3.2000000000000002E-3</v>
      </c>
      <c r="Q5628">
        <v>1605</v>
      </c>
    </row>
    <row r="5629" spans="1:17" x14ac:dyDescent="0.35">
      <c r="A5629" t="s">
        <v>227</v>
      </c>
      <c r="B5629" t="s">
        <v>241</v>
      </c>
      <c r="C5629" s="2">
        <v>0.68840000000000001</v>
      </c>
      <c r="D5629" s="2">
        <v>0.22389999999999999</v>
      </c>
      <c r="E5629" s="2">
        <v>3.85E-2</v>
      </c>
      <c r="F5629" s="2">
        <v>2.8799999999999999E-2</v>
      </c>
      <c r="G5629" s="2">
        <v>2.3699999999999999E-2</v>
      </c>
      <c r="H5629" s="2">
        <v>2.5999999999999999E-3</v>
      </c>
      <c r="I5629" s="2">
        <v>1.04E-2</v>
      </c>
      <c r="J5629" s="2">
        <v>1.4200000000000001E-2</v>
      </c>
      <c r="K5629" s="2">
        <v>8.5000000000000006E-3</v>
      </c>
      <c r="L5629" s="2">
        <v>7.6E-3</v>
      </c>
      <c r="M5629" s="2">
        <v>7.1000000000000004E-3</v>
      </c>
      <c r="N5629" s="2">
        <v>3.3E-3</v>
      </c>
      <c r="O5629" s="2">
        <v>2.8999999999999998E-3</v>
      </c>
      <c r="P5629" s="2">
        <v>3.5000000000000001E-3</v>
      </c>
      <c r="Q5629">
        <v>821</v>
      </c>
    </row>
    <row r="5630" spans="1:17" x14ac:dyDescent="0.35">
      <c r="A5630" t="s">
        <v>227</v>
      </c>
      <c r="B5630" t="s">
        <v>242</v>
      </c>
      <c r="C5630" s="2">
        <v>0.78269999999999995</v>
      </c>
      <c r="D5630" s="2">
        <v>6.7599999999999993E-2</v>
      </c>
      <c r="E5630" s="2">
        <v>3.3300000000000003E-2</v>
      </c>
      <c r="F5630" s="2">
        <v>4.0599999999999997E-2</v>
      </c>
      <c r="G5630" s="2">
        <v>2.2599999999999999E-2</v>
      </c>
      <c r="H5630" s="2">
        <v>3.95E-2</v>
      </c>
      <c r="I5630" s="2">
        <v>8.6E-3</v>
      </c>
      <c r="J5630" s="2">
        <v>2E-3</v>
      </c>
      <c r="K5630" s="2">
        <v>1.1999999999999999E-3</v>
      </c>
      <c r="L5630" s="2">
        <v>1.8E-3</v>
      </c>
      <c r="M5630" s="2">
        <v>2.98E-2</v>
      </c>
      <c r="P5630" s="2">
        <v>1.4200000000000001E-2</v>
      </c>
      <c r="Q5630">
        <v>152</v>
      </c>
    </row>
    <row r="5631" spans="1:17" x14ac:dyDescent="0.35">
      <c r="A5631" t="s">
        <v>228</v>
      </c>
      <c r="B5631" t="s">
        <v>228</v>
      </c>
      <c r="C5631" s="2">
        <v>0.69269999999999998</v>
      </c>
      <c r="D5631" s="2">
        <v>0.186</v>
      </c>
      <c r="E5631" s="2">
        <v>4.0300000000000002E-2</v>
      </c>
      <c r="F5631" s="2">
        <v>3.09E-2</v>
      </c>
      <c r="G5631" s="2">
        <v>2.3099999999999999E-2</v>
      </c>
      <c r="H5631" s="2">
        <v>2.0899999999999998E-2</v>
      </c>
      <c r="I5631" s="2">
        <v>1.41E-2</v>
      </c>
      <c r="J5631" s="2">
        <v>1.14E-2</v>
      </c>
      <c r="K5631" s="2">
        <v>9.9000000000000008E-3</v>
      </c>
      <c r="L5631" s="2">
        <v>8.6999999999999994E-3</v>
      </c>
      <c r="M5631" s="2">
        <v>7.3000000000000001E-3</v>
      </c>
      <c r="N5631" s="2">
        <v>4.0000000000000001E-3</v>
      </c>
      <c r="O5631" s="2">
        <v>2.8999999999999998E-3</v>
      </c>
      <c r="P5631" s="2">
        <v>2E-3</v>
      </c>
      <c r="Q5631">
        <v>2578</v>
      </c>
    </row>
    <row r="5633" spans="1:17" x14ac:dyDescent="0.35">
      <c r="A5633" s="1" t="s">
        <v>1579</v>
      </c>
    </row>
    <row r="5634" spans="1:17" x14ac:dyDescent="0.35">
      <c r="A5634" t="s">
        <v>219</v>
      </c>
      <c r="B5634" t="s">
        <v>301</v>
      </c>
      <c r="C5634" t="s">
        <v>540</v>
      </c>
      <c r="D5634" t="s">
        <v>277</v>
      </c>
      <c r="E5634" t="s">
        <v>1570</v>
      </c>
      <c r="F5634" t="s">
        <v>1395</v>
      </c>
      <c r="G5634" t="s">
        <v>1571</v>
      </c>
      <c r="H5634" t="s">
        <v>1572</v>
      </c>
      <c r="I5634" t="s">
        <v>1400</v>
      </c>
      <c r="J5634" t="s">
        <v>1573</v>
      </c>
      <c r="K5634" t="s">
        <v>318</v>
      </c>
      <c r="L5634" t="s">
        <v>1574</v>
      </c>
      <c r="M5634" t="s">
        <v>1498</v>
      </c>
      <c r="N5634" t="s">
        <v>1575</v>
      </c>
      <c r="O5634" t="s">
        <v>282</v>
      </c>
      <c r="P5634" t="s">
        <v>1402</v>
      </c>
      <c r="Q5634" t="s">
        <v>226</v>
      </c>
    </row>
    <row r="5635" spans="1:17" x14ac:dyDescent="0.35">
      <c r="A5635" t="s">
        <v>227</v>
      </c>
      <c r="B5635" t="s">
        <v>334</v>
      </c>
      <c r="C5635" s="2">
        <v>0.74229999999999996</v>
      </c>
      <c r="D5635" s="2">
        <v>0.16500000000000001</v>
      </c>
      <c r="E5635" s="2">
        <v>2.1499999999999998E-2</v>
      </c>
      <c r="F5635" s="2">
        <v>2.93E-2</v>
      </c>
      <c r="G5635" s="2">
        <v>1.38E-2</v>
      </c>
      <c r="H5635" s="2">
        <v>2.3900000000000001E-2</v>
      </c>
      <c r="I5635" s="2">
        <v>6.4000000000000003E-3</v>
      </c>
      <c r="J5635" s="2">
        <v>1.11E-2</v>
      </c>
      <c r="K5635" s="2">
        <v>5.7000000000000002E-3</v>
      </c>
      <c r="L5635" s="2">
        <v>1.03E-2</v>
      </c>
      <c r="M5635" s="2">
        <v>6.7999999999999996E-3</v>
      </c>
      <c r="N5635" s="2">
        <v>2.5999999999999999E-3</v>
      </c>
      <c r="O5635" s="2">
        <v>4.1999999999999997E-3</v>
      </c>
      <c r="P5635" s="2">
        <v>1.1000000000000001E-3</v>
      </c>
      <c r="Q5635">
        <v>575</v>
      </c>
    </row>
    <row r="5636" spans="1:17" x14ac:dyDescent="0.35">
      <c r="A5636" t="s">
        <v>227</v>
      </c>
      <c r="B5636" t="s">
        <v>335</v>
      </c>
      <c r="C5636" s="2">
        <v>0.64510000000000001</v>
      </c>
      <c r="D5636" s="2">
        <v>0.185</v>
      </c>
      <c r="E5636" s="2">
        <v>7.4999999999999997E-2</v>
      </c>
      <c r="F5636" s="2">
        <v>2.76E-2</v>
      </c>
      <c r="G5636" s="2">
        <v>3.8399999999999997E-2</v>
      </c>
      <c r="H5636" s="2">
        <v>2.87E-2</v>
      </c>
      <c r="I5636" s="2">
        <v>3.0300000000000001E-2</v>
      </c>
      <c r="J5636" s="2">
        <v>1.04E-2</v>
      </c>
      <c r="K5636" s="2">
        <v>1.4999999999999999E-2</v>
      </c>
      <c r="L5636" s="2">
        <v>7.4999999999999997E-3</v>
      </c>
      <c r="M5636" s="2">
        <v>1.0699999999999999E-2</v>
      </c>
      <c r="N5636" s="2">
        <v>7.7999999999999996E-3</v>
      </c>
      <c r="O5636" s="2">
        <v>6.4999999999999997E-3</v>
      </c>
      <c r="P5636" s="2">
        <v>3.3E-3</v>
      </c>
      <c r="Q5636">
        <v>558</v>
      </c>
    </row>
    <row r="5637" spans="1:17" x14ac:dyDescent="0.35">
      <c r="A5637" t="s">
        <v>227</v>
      </c>
      <c r="B5637" t="s">
        <v>336</v>
      </c>
      <c r="C5637" s="2">
        <v>0.73229999999999995</v>
      </c>
      <c r="D5637" s="2">
        <v>0.18759999999999999</v>
      </c>
      <c r="E5637" s="2">
        <v>2.9499999999999998E-2</v>
      </c>
      <c r="F5637" s="2">
        <v>2.6700000000000002E-2</v>
      </c>
      <c r="G5637" s="2">
        <v>7.6E-3</v>
      </c>
      <c r="H5637" s="2">
        <v>8.3000000000000001E-3</v>
      </c>
      <c r="I5637" s="2">
        <v>6.6E-3</v>
      </c>
      <c r="J5637" s="2">
        <v>5.7999999999999996E-3</v>
      </c>
      <c r="L5637" s="2">
        <v>1.14E-2</v>
      </c>
      <c r="M5637" s="2">
        <v>5.3E-3</v>
      </c>
      <c r="N5637" s="2">
        <v>2.0999999999999999E-3</v>
      </c>
      <c r="Q5637">
        <v>578</v>
      </c>
    </row>
    <row r="5638" spans="1:17" x14ac:dyDescent="0.35">
      <c r="A5638" t="s">
        <v>227</v>
      </c>
      <c r="B5638" t="s">
        <v>337</v>
      </c>
      <c r="C5638" s="2">
        <v>0.68379999999999996</v>
      </c>
      <c r="D5638" s="2">
        <v>0.19550000000000001</v>
      </c>
      <c r="E5638" s="2">
        <v>2.6200000000000001E-2</v>
      </c>
      <c r="F5638" s="2">
        <v>3.1300000000000001E-2</v>
      </c>
      <c r="G5638" s="2">
        <v>2.4400000000000002E-2</v>
      </c>
      <c r="H5638" s="2">
        <v>2.0299999999999999E-2</v>
      </c>
      <c r="I5638" s="2">
        <v>8.3999999999999995E-3</v>
      </c>
      <c r="J5638" s="2">
        <v>1.11E-2</v>
      </c>
      <c r="K5638" s="2">
        <v>1.4999999999999999E-2</v>
      </c>
      <c r="L5638" s="2">
        <v>9.4999999999999998E-3</v>
      </c>
      <c r="M5638" s="2">
        <v>4.4999999999999997E-3</v>
      </c>
      <c r="Q5638">
        <v>548</v>
      </c>
    </row>
    <row r="5639" spans="1:17" x14ac:dyDescent="0.35">
      <c r="A5639" t="s">
        <v>228</v>
      </c>
      <c r="B5639" t="s">
        <v>228</v>
      </c>
      <c r="C5639" s="2">
        <v>0.69269999999999998</v>
      </c>
      <c r="D5639" s="2">
        <v>0.186</v>
      </c>
      <c r="E5639" s="2">
        <v>4.0300000000000002E-2</v>
      </c>
      <c r="F5639" s="2">
        <v>3.09E-2</v>
      </c>
      <c r="G5639" s="2">
        <v>2.3099999999999999E-2</v>
      </c>
      <c r="H5639" s="2">
        <v>2.0899999999999998E-2</v>
      </c>
      <c r="I5639" s="2">
        <v>1.41E-2</v>
      </c>
      <c r="J5639" s="2">
        <v>1.14E-2</v>
      </c>
      <c r="K5639" s="2">
        <v>9.9000000000000008E-3</v>
      </c>
      <c r="L5639" s="2">
        <v>8.6999999999999994E-3</v>
      </c>
      <c r="M5639" s="2">
        <v>7.3000000000000001E-3</v>
      </c>
      <c r="N5639" s="2">
        <v>4.0000000000000001E-3</v>
      </c>
      <c r="O5639" s="2">
        <v>2.8999999999999998E-3</v>
      </c>
      <c r="P5639" s="2">
        <v>2E-3</v>
      </c>
      <c r="Q5639">
        <v>2259</v>
      </c>
    </row>
    <row r="5641" spans="1:17" x14ac:dyDescent="0.35">
      <c r="A5641" s="1" t="s">
        <v>1580</v>
      </c>
    </row>
    <row r="5642" spans="1:17" x14ac:dyDescent="0.35">
      <c r="A5642" t="s">
        <v>219</v>
      </c>
      <c r="B5642" t="s">
        <v>301</v>
      </c>
      <c r="C5642" t="s">
        <v>540</v>
      </c>
      <c r="D5642" t="s">
        <v>277</v>
      </c>
      <c r="E5642" t="s">
        <v>1570</v>
      </c>
      <c r="F5642" t="s">
        <v>1395</v>
      </c>
      <c r="G5642" t="s">
        <v>1571</v>
      </c>
      <c r="H5642" t="s">
        <v>1572</v>
      </c>
      <c r="I5642" t="s">
        <v>1400</v>
      </c>
      <c r="J5642" t="s">
        <v>1573</v>
      </c>
      <c r="K5642" t="s">
        <v>318</v>
      </c>
      <c r="L5642" t="s">
        <v>1574</v>
      </c>
      <c r="M5642" t="s">
        <v>1498</v>
      </c>
      <c r="N5642" t="s">
        <v>1575</v>
      </c>
      <c r="O5642" t="s">
        <v>282</v>
      </c>
      <c r="P5642" t="s">
        <v>1402</v>
      </c>
      <c r="Q5642" t="s">
        <v>226</v>
      </c>
    </row>
    <row r="5643" spans="1:17" x14ac:dyDescent="0.35">
      <c r="A5643" t="s">
        <v>227</v>
      </c>
      <c r="B5643" t="s">
        <v>263</v>
      </c>
      <c r="C5643" s="2">
        <v>0.68020000000000003</v>
      </c>
      <c r="D5643" s="2">
        <v>0.1724</v>
      </c>
      <c r="E5643" s="2">
        <v>6.2899999999999998E-2</v>
      </c>
      <c r="F5643" s="2">
        <v>3.6900000000000002E-2</v>
      </c>
      <c r="G5643" s="2">
        <v>3.09E-2</v>
      </c>
      <c r="H5643" s="2">
        <v>3.3000000000000002E-2</v>
      </c>
      <c r="I5643" s="2">
        <v>4.5999999999999999E-3</v>
      </c>
      <c r="J5643" s="2">
        <v>2.1399999999999999E-2</v>
      </c>
      <c r="K5643" s="2">
        <v>1.0999999999999999E-2</v>
      </c>
      <c r="L5643" s="2">
        <v>1.4200000000000001E-2</v>
      </c>
      <c r="M5643" s="2">
        <v>1.6000000000000001E-3</v>
      </c>
      <c r="N5643" s="2">
        <v>8.0999999999999996E-3</v>
      </c>
      <c r="P5643" s="2">
        <v>1.1999999999999999E-3</v>
      </c>
      <c r="Q5643">
        <v>541</v>
      </c>
    </row>
    <row r="5644" spans="1:17" x14ac:dyDescent="0.35">
      <c r="A5644" t="s">
        <v>227</v>
      </c>
      <c r="B5644" t="s">
        <v>262</v>
      </c>
      <c r="C5644" s="2">
        <v>0.67390000000000005</v>
      </c>
      <c r="D5644" s="2">
        <v>0.2268</v>
      </c>
      <c r="E5644" s="2">
        <v>3.1800000000000002E-2</v>
      </c>
      <c r="F5644" s="2">
        <v>2.7900000000000001E-2</v>
      </c>
      <c r="G5644" s="2">
        <v>2.3599999999999999E-2</v>
      </c>
      <c r="H5644" s="2">
        <v>1.2E-2</v>
      </c>
      <c r="I5644" s="2">
        <v>1.2699999999999999E-2</v>
      </c>
      <c r="J5644" s="2">
        <v>1.06E-2</v>
      </c>
      <c r="K5644" s="2">
        <v>1.2999999999999999E-2</v>
      </c>
      <c r="L5644" s="2">
        <v>5.7000000000000002E-3</v>
      </c>
      <c r="M5644" s="2">
        <v>8.0999999999999996E-3</v>
      </c>
      <c r="N5644" s="2">
        <v>4.1000000000000003E-3</v>
      </c>
      <c r="O5644" s="2">
        <v>2.5999999999999999E-3</v>
      </c>
      <c r="P5644" s="2">
        <v>4.7000000000000002E-3</v>
      </c>
      <c r="Q5644">
        <v>1067</v>
      </c>
    </row>
    <row r="5645" spans="1:17" x14ac:dyDescent="0.35">
      <c r="A5645" t="s">
        <v>227</v>
      </c>
      <c r="B5645" t="s">
        <v>261</v>
      </c>
      <c r="C5645" s="2">
        <v>0.71730000000000005</v>
      </c>
      <c r="D5645" s="2">
        <v>0.158</v>
      </c>
      <c r="E5645" s="2">
        <v>3.49E-2</v>
      </c>
      <c r="F5645" s="2">
        <v>3.0599999999999999E-2</v>
      </c>
      <c r="G5645" s="2">
        <v>1.89E-2</v>
      </c>
      <c r="H5645" s="2">
        <v>2.2800000000000001E-2</v>
      </c>
      <c r="I5645" s="2">
        <v>1.9900000000000001E-2</v>
      </c>
      <c r="J5645" s="2">
        <v>7.1999999999999998E-3</v>
      </c>
      <c r="K5645" s="2">
        <v>6.7000000000000002E-3</v>
      </c>
      <c r="L5645" s="2">
        <v>8.8000000000000005E-3</v>
      </c>
      <c r="M5645" s="2">
        <v>7.7999999999999996E-3</v>
      </c>
      <c r="N5645" s="2">
        <v>1.8E-3</v>
      </c>
      <c r="O5645" s="2">
        <v>4.7000000000000002E-3</v>
      </c>
      <c r="Q5645">
        <v>968</v>
      </c>
    </row>
    <row r="5646" spans="1:17" x14ac:dyDescent="0.35">
      <c r="A5646" s="3" t="s">
        <v>227</v>
      </c>
      <c r="B5646" s="3" t="s">
        <v>232</v>
      </c>
      <c r="C5646" s="5"/>
      <c r="D5646" s="5"/>
      <c r="E5646" s="4">
        <v>0.5</v>
      </c>
      <c r="F5646" s="5"/>
      <c r="G5646" s="5"/>
      <c r="H5646" s="5"/>
      <c r="I5646" s="5"/>
      <c r="J5646" s="5"/>
      <c r="K5646" s="5"/>
      <c r="L5646" s="5"/>
      <c r="M5646" s="4">
        <v>0.5</v>
      </c>
      <c r="N5646" s="5"/>
      <c r="O5646" s="5"/>
      <c r="P5646" s="5"/>
      <c r="Q5646" s="5" t="s">
        <v>434</v>
      </c>
    </row>
    <row r="5647" spans="1:17" x14ac:dyDescent="0.35">
      <c r="A5647" t="s">
        <v>228</v>
      </c>
      <c r="B5647" t="s">
        <v>228</v>
      </c>
      <c r="C5647" s="2">
        <v>0.69269999999999998</v>
      </c>
      <c r="D5647" s="2">
        <v>0.186</v>
      </c>
      <c r="E5647" s="2">
        <v>4.0300000000000002E-2</v>
      </c>
      <c r="F5647" s="2">
        <v>3.09E-2</v>
      </c>
      <c r="G5647" s="2">
        <v>2.3099999999999999E-2</v>
      </c>
      <c r="H5647" s="2">
        <v>2.0899999999999998E-2</v>
      </c>
      <c r="I5647" s="2">
        <v>1.41E-2</v>
      </c>
      <c r="J5647" s="2">
        <v>1.14E-2</v>
      </c>
      <c r="K5647" s="2">
        <v>9.9000000000000008E-3</v>
      </c>
      <c r="L5647" s="2">
        <v>8.6999999999999994E-3</v>
      </c>
      <c r="M5647" s="2">
        <v>7.3000000000000001E-3</v>
      </c>
      <c r="N5647" s="2">
        <v>4.0000000000000001E-3</v>
      </c>
      <c r="O5647" s="2">
        <v>2.8999999999999998E-3</v>
      </c>
      <c r="P5647" s="2">
        <v>2E-3</v>
      </c>
      <c r="Q5647">
        <v>2578</v>
      </c>
    </row>
    <row r="5649" spans="1:17" x14ac:dyDescent="0.35">
      <c r="A5649" s="1" t="s">
        <v>1581</v>
      </c>
    </row>
    <row r="5650" spans="1:17" x14ac:dyDescent="0.35">
      <c r="A5650" t="s">
        <v>219</v>
      </c>
      <c r="B5650" t="s">
        <v>301</v>
      </c>
      <c r="C5650" t="s">
        <v>540</v>
      </c>
      <c r="D5650" t="s">
        <v>277</v>
      </c>
      <c r="E5650" t="s">
        <v>1570</v>
      </c>
      <c r="F5650" t="s">
        <v>1395</v>
      </c>
      <c r="G5650" t="s">
        <v>1571</v>
      </c>
      <c r="H5650" t="s">
        <v>1572</v>
      </c>
      <c r="I5650" t="s">
        <v>1400</v>
      </c>
      <c r="J5650" t="s">
        <v>1573</v>
      </c>
      <c r="K5650" t="s">
        <v>318</v>
      </c>
      <c r="L5650" t="s">
        <v>1574</v>
      </c>
      <c r="M5650" t="s">
        <v>1498</v>
      </c>
      <c r="N5650" t="s">
        <v>1575</v>
      </c>
      <c r="O5650" t="s">
        <v>282</v>
      </c>
      <c r="P5650" t="s">
        <v>1402</v>
      </c>
      <c r="Q5650" t="s">
        <v>226</v>
      </c>
    </row>
    <row r="5651" spans="1:17" x14ac:dyDescent="0.35">
      <c r="A5651" t="s">
        <v>227</v>
      </c>
      <c r="B5651" t="s">
        <v>248</v>
      </c>
      <c r="C5651" s="2">
        <v>0.69330000000000003</v>
      </c>
      <c r="D5651" s="2">
        <v>0.24829999999999999</v>
      </c>
      <c r="E5651" s="2">
        <v>1.61E-2</v>
      </c>
      <c r="F5651" s="2">
        <v>4.7999999999999996E-3</v>
      </c>
      <c r="G5651" s="2">
        <v>8.8000000000000005E-3</v>
      </c>
      <c r="H5651" s="2">
        <v>5.9999999999999995E-4</v>
      </c>
      <c r="I5651" s="2">
        <v>3.2000000000000002E-3</v>
      </c>
      <c r="J5651" s="2">
        <v>7.7000000000000002E-3</v>
      </c>
      <c r="K5651" s="2">
        <v>6.8999999999999999E-3</v>
      </c>
      <c r="L5651" s="2">
        <v>3.3999999999999998E-3</v>
      </c>
      <c r="M5651" s="2">
        <v>2.8999999999999998E-3</v>
      </c>
      <c r="N5651" s="2">
        <v>1E-4</v>
      </c>
      <c r="O5651" s="2">
        <v>9.5999999999999992E-3</v>
      </c>
      <c r="Q5651">
        <v>742</v>
      </c>
    </row>
    <row r="5652" spans="1:17" x14ac:dyDescent="0.35">
      <c r="A5652" t="s">
        <v>227</v>
      </c>
      <c r="B5652" t="s">
        <v>249</v>
      </c>
      <c r="C5652" s="2">
        <v>0.69010000000000005</v>
      </c>
      <c r="D5652" s="2">
        <v>0.1938</v>
      </c>
      <c r="E5652" s="2">
        <v>3.7699999999999997E-2</v>
      </c>
      <c r="F5652" s="2">
        <v>1.6299999999999999E-2</v>
      </c>
      <c r="G5652" s="2">
        <v>3.1300000000000001E-2</v>
      </c>
      <c r="H5652" s="2">
        <v>3.1199999999999999E-2</v>
      </c>
      <c r="I5652" s="2">
        <v>1.14E-2</v>
      </c>
      <c r="J5652" s="2">
        <v>1.2699999999999999E-2</v>
      </c>
      <c r="K5652" s="2">
        <v>1.6999999999999999E-3</v>
      </c>
      <c r="L5652" s="2">
        <v>6.0000000000000001E-3</v>
      </c>
      <c r="M5652" s="2">
        <v>1.21E-2</v>
      </c>
      <c r="N5652" s="2">
        <v>6.4999999999999997E-3</v>
      </c>
      <c r="O5652" s="2">
        <v>2.9999999999999997E-4</v>
      </c>
      <c r="P5652" s="2">
        <v>4.7999999999999996E-3</v>
      </c>
      <c r="Q5652">
        <v>490</v>
      </c>
    </row>
    <row r="5653" spans="1:17" x14ac:dyDescent="0.35">
      <c r="A5653" t="s">
        <v>227</v>
      </c>
      <c r="B5653" t="s">
        <v>247</v>
      </c>
      <c r="C5653" s="2">
        <v>0.69330000000000003</v>
      </c>
      <c r="D5653" s="2">
        <v>0.14979999999999999</v>
      </c>
      <c r="E5653" s="2">
        <v>5.4100000000000002E-2</v>
      </c>
      <c r="F5653" s="2">
        <v>5.0200000000000002E-2</v>
      </c>
      <c r="G5653" s="2">
        <v>2.7699999999999999E-2</v>
      </c>
      <c r="H5653" s="2">
        <v>2.7900000000000001E-2</v>
      </c>
      <c r="I5653" s="2">
        <v>2.0899999999999998E-2</v>
      </c>
      <c r="J5653" s="2">
        <v>1.2800000000000001E-2</v>
      </c>
      <c r="K5653" s="2">
        <v>1.4500000000000001E-2</v>
      </c>
      <c r="L5653" s="2">
        <v>1.26E-2</v>
      </c>
      <c r="M5653" s="2">
        <v>7.9000000000000008E-3</v>
      </c>
      <c r="N5653" s="2">
        <v>5.1000000000000004E-3</v>
      </c>
      <c r="O5653" s="2">
        <v>4.0000000000000002E-4</v>
      </c>
      <c r="P5653" s="2">
        <v>2E-3</v>
      </c>
      <c r="Q5653">
        <v>1346</v>
      </c>
    </row>
    <row r="5654" spans="1:17" x14ac:dyDescent="0.35">
      <c r="A5654" t="s">
        <v>228</v>
      </c>
      <c r="B5654" t="s">
        <v>228</v>
      </c>
      <c r="C5654" s="2">
        <v>0.69269999999999998</v>
      </c>
      <c r="D5654" s="2">
        <v>0.186</v>
      </c>
      <c r="E5654" s="2">
        <v>4.0300000000000002E-2</v>
      </c>
      <c r="F5654" s="2">
        <v>3.09E-2</v>
      </c>
      <c r="G5654" s="2">
        <v>2.3099999999999999E-2</v>
      </c>
      <c r="H5654" s="2">
        <v>2.0899999999999998E-2</v>
      </c>
      <c r="I5654" s="2">
        <v>1.41E-2</v>
      </c>
      <c r="J5654" s="2">
        <v>1.14E-2</v>
      </c>
      <c r="K5654" s="2">
        <v>9.9000000000000008E-3</v>
      </c>
      <c r="L5654" s="2">
        <v>8.6999999999999994E-3</v>
      </c>
      <c r="M5654" s="2">
        <v>7.3000000000000001E-3</v>
      </c>
      <c r="N5654" s="2">
        <v>4.0000000000000001E-3</v>
      </c>
      <c r="O5654" s="2">
        <v>2.8999999999999998E-3</v>
      </c>
      <c r="P5654" s="2">
        <v>2E-3</v>
      </c>
      <c r="Q5654">
        <v>2578</v>
      </c>
    </row>
    <row r="5656" spans="1:17" x14ac:dyDescent="0.35">
      <c r="A5656" s="1" t="s">
        <v>1582</v>
      </c>
    </row>
    <row r="5657" spans="1:17" x14ac:dyDescent="0.35">
      <c r="A5657" t="s">
        <v>219</v>
      </c>
      <c r="B5657" t="s">
        <v>301</v>
      </c>
      <c r="C5657" t="s">
        <v>540</v>
      </c>
      <c r="D5657" t="s">
        <v>277</v>
      </c>
      <c r="E5657" t="s">
        <v>1570</v>
      </c>
      <c r="F5657" t="s">
        <v>1395</v>
      </c>
      <c r="G5657" t="s">
        <v>1571</v>
      </c>
      <c r="H5657" t="s">
        <v>1572</v>
      </c>
      <c r="I5657" t="s">
        <v>1400</v>
      </c>
      <c r="J5657" t="s">
        <v>1573</v>
      </c>
      <c r="K5657" t="s">
        <v>318</v>
      </c>
      <c r="L5657" t="s">
        <v>1574</v>
      </c>
      <c r="M5657" t="s">
        <v>1498</v>
      </c>
      <c r="N5657" t="s">
        <v>1575</v>
      </c>
      <c r="O5657" t="s">
        <v>282</v>
      </c>
      <c r="P5657" t="s">
        <v>1402</v>
      </c>
      <c r="Q5657" t="s">
        <v>226</v>
      </c>
    </row>
    <row r="5658" spans="1:17" x14ac:dyDescent="0.35">
      <c r="A5658" t="s">
        <v>227</v>
      </c>
      <c r="B5658" t="s">
        <v>245</v>
      </c>
      <c r="C5658" s="2">
        <v>0.73050000000000004</v>
      </c>
      <c r="D5658" s="2">
        <v>8.2600000000000007E-2</v>
      </c>
      <c r="E5658" s="2">
        <v>5.4300000000000001E-2</v>
      </c>
      <c r="F5658" s="2">
        <v>5.1799999999999999E-2</v>
      </c>
      <c r="G5658" s="2">
        <v>3.1600000000000003E-2</v>
      </c>
      <c r="H5658" s="2">
        <v>4.9200000000000001E-2</v>
      </c>
      <c r="I5658" s="2">
        <v>2.0500000000000001E-2</v>
      </c>
      <c r="J5658" s="2">
        <v>4.7999999999999996E-3</v>
      </c>
      <c r="K5658" s="2">
        <v>1.11E-2</v>
      </c>
      <c r="L5658" s="2">
        <v>1.24E-2</v>
      </c>
      <c r="M5658" s="2">
        <v>1.2999999999999999E-2</v>
      </c>
      <c r="N5658" s="2">
        <v>3.3999999999999998E-3</v>
      </c>
      <c r="O5658" s="2">
        <v>2.0000000000000001E-4</v>
      </c>
      <c r="P5658" s="2">
        <v>3.3999999999999998E-3</v>
      </c>
      <c r="Q5658">
        <v>715</v>
      </c>
    </row>
    <row r="5659" spans="1:17" x14ac:dyDescent="0.35">
      <c r="A5659" t="s">
        <v>227</v>
      </c>
      <c r="B5659" t="s">
        <v>244</v>
      </c>
      <c r="C5659" s="2">
        <v>0.67810000000000004</v>
      </c>
      <c r="D5659" s="2">
        <v>0.22589999999999999</v>
      </c>
      <c r="E5659" s="2">
        <v>3.4799999999999998E-2</v>
      </c>
      <c r="F5659" s="2">
        <v>2.2800000000000001E-2</v>
      </c>
      <c r="G5659" s="2">
        <v>1.9800000000000002E-2</v>
      </c>
      <c r="H5659" s="2">
        <v>0.01</v>
      </c>
      <c r="I5659" s="2">
        <v>1.1599999999999999E-2</v>
      </c>
      <c r="J5659" s="2">
        <v>1.3899999999999999E-2</v>
      </c>
      <c r="K5659" s="2">
        <v>9.4000000000000004E-3</v>
      </c>
      <c r="L5659" s="2">
        <v>7.3000000000000001E-3</v>
      </c>
      <c r="M5659" s="2">
        <v>5.1000000000000004E-3</v>
      </c>
      <c r="N5659" s="2">
        <v>4.1999999999999997E-3</v>
      </c>
      <c r="O5659" s="2">
        <v>4.0000000000000001E-3</v>
      </c>
      <c r="P5659" s="2">
        <v>1.4E-3</v>
      </c>
      <c r="Q5659">
        <v>1863</v>
      </c>
    </row>
    <row r="5660" spans="1:17" x14ac:dyDescent="0.35">
      <c r="A5660" t="s">
        <v>228</v>
      </c>
      <c r="B5660" t="s">
        <v>228</v>
      </c>
      <c r="C5660" s="2">
        <v>0.69269999999999998</v>
      </c>
      <c r="D5660" s="2">
        <v>0.186</v>
      </c>
      <c r="E5660" s="2">
        <v>4.0300000000000002E-2</v>
      </c>
      <c r="F5660" s="2">
        <v>3.09E-2</v>
      </c>
      <c r="G5660" s="2">
        <v>2.3099999999999999E-2</v>
      </c>
      <c r="H5660" s="2">
        <v>2.0899999999999998E-2</v>
      </c>
      <c r="I5660" s="2">
        <v>1.41E-2</v>
      </c>
      <c r="J5660" s="2">
        <v>1.14E-2</v>
      </c>
      <c r="K5660" s="2">
        <v>9.9000000000000008E-3</v>
      </c>
      <c r="L5660" s="2">
        <v>8.6999999999999994E-3</v>
      </c>
      <c r="M5660" s="2">
        <v>7.3000000000000001E-3</v>
      </c>
      <c r="N5660" s="2">
        <v>4.0000000000000001E-3</v>
      </c>
      <c r="O5660" s="2">
        <v>2.8999999999999998E-3</v>
      </c>
      <c r="P5660" s="2">
        <v>2E-3</v>
      </c>
      <c r="Q5660">
        <v>2578</v>
      </c>
    </row>
    <row r="5662" spans="1:17" x14ac:dyDescent="0.35">
      <c r="A5662" s="1" t="s">
        <v>1583</v>
      </c>
    </row>
    <row r="5663" spans="1:17" x14ac:dyDescent="0.35">
      <c r="A5663" t="s">
        <v>219</v>
      </c>
      <c r="B5663" t="s">
        <v>301</v>
      </c>
      <c r="C5663" t="s">
        <v>540</v>
      </c>
      <c r="D5663" t="s">
        <v>277</v>
      </c>
      <c r="E5663" t="s">
        <v>1570</v>
      </c>
      <c r="F5663" t="s">
        <v>1395</v>
      </c>
      <c r="G5663" t="s">
        <v>1571</v>
      </c>
      <c r="H5663" t="s">
        <v>1572</v>
      </c>
      <c r="I5663" t="s">
        <v>1400</v>
      </c>
      <c r="J5663" t="s">
        <v>1573</v>
      </c>
      <c r="K5663" t="s">
        <v>318</v>
      </c>
      <c r="L5663" t="s">
        <v>1574</v>
      </c>
      <c r="M5663" t="s">
        <v>1498</v>
      </c>
      <c r="N5663" t="s">
        <v>1575</v>
      </c>
      <c r="O5663" t="s">
        <v>282</v>
      </c>
      <c r="P5663" t="s">
        <v>1402</v>
      </c>
      <c r="Q5663" t="s">
        <v>226</v>
      </c>
    </row>
    <row r="5664" spans="1:17" x14ac:dyDescent="0.35">
      <c r="A5664" t="s">
        <v>227</v>
      </c>
      <c r="B5664" t="s">
        <v>259</v>
      </c>
      <c r="C5664" s="2">
        <v>0.78090000000000004</v>
      </c>
      <c r="D5664" s="2">
        <v>9.8100000000000007E-2</v>
      </c>
      <c r="E5664" s="2">
        <v>5.5599999999999997E-2</v>
      </c>
      <c r="F5664" s="2">
        <v>2.1499999999999998E-2</v>
      </c>
      <c r="G5664" s="2">
        <v>1.6999999999999999E-3</v>
      </c>
      <c r="H5664" s="2">
        <v>1.6999999999999999E-3</v>
      </c>
      <c r="I5664" s="2">
        <v>3.3599999999999998E-2</v>
      </c>
      <c r="J5664" s="2">
        <v>3.3999999999999998E-3</v>
      </c>
      <c r="L5664" s="2">
        <v>1.6999999999999999E-3</v>
      </c>
      <c r="M5664" s="2">
        <v>8.6E-3</v>
      </c>
      <c r="Q5664">
        <v>62</v>
      </c>
    </row>
    <row r="5665" spans="1:17" x14ac:dyDescent="0.35">
      <c r="A5665" t="s">
        <v>227</v>
      </c>
      <c r="B5665" t="s">
        <v>257</v>
      </c>
      <c r="C5665" s="2">
        <v>0.68620000000000003</v>
      </c>
      <c r="D5665" s="2">
        <v>0.25879999999999997</v>
      </c>
      <c r="E5665" s="2">
        <v>1.4E-2</v>
      </c>
      <c r="F5665" s="2">
        <v>1.7100000000000001E-2</v>
      </c>
      <c r="G5665" s="2">
        <v>5.0000000000000001E-4</v>
      </c>
      <c r="H5665" s="2">
        <v>1.66E-2</v>
      </c>
      <c r="I5665" s="2">
        <v>1.3299999999999999E-2</v>
      </c>
      <c r="J5665" s="2">
        <v>3.3E-3</v>
      </c>
      <c r="K5665" s="2">
        <v>1E-3</v>
      </c>
      <c r="L5665" s="2">
        <v>5.4999999999999997E-3</v>
      </c>
      <c r="M5665" s="2">
        <v>5.0000000000000001E-3</v>
      </c>
      <c r="Q5665">
        <v>382</v>
      </c>
    </row>
    <row r="5666" spans="1:17" x14ac:dyDescent="0.35">
      <c r="A5666" t="s">
        <v>227</v>
      </c>
      <c r="B5666" t="s">
        <v>256</v>
      </c>
      <c r="C5666" s="2">
        <v>0.7</v>
      </c>
      <c r="D5666" s="2">
        <v>0.17369999999999999</v>
      </c>
      <c r="E5666" s="2">
        <v>4.2099999999999999E-2</v>
      </c>
      <c r="F5666" s="2">
        <v>3.3500000000000002E-2</v>
      </c>
      <c r="G5666" s="2">
        <v>2.4899999999999999E-2</v>
      </c>
      <c r="H5666" s="2">
        <v>1.7999999999999999E-2</v>
      </c>
      <c r="I5666" s="2">
        <v>1.37E-2</v>
      </c>
      <c r="J5666" s="2">
        <v>1.24E-2</v>
      </c>
      <c r="K5666" s="2">
        <v>1.14E-2</v>
      </c>
      <c r="L5666" s="2">
        <v>8.6999999999999994E-3</v>
      </c>
      <c r="M5666" s="2">
        <v>5.8999999999999999E-3</v>
      </c>
      <c r="N5666" s="2">
        <v>2.5999999999999999E-3</v>
      </c>
      <c r="O5666" s="2">
        <v>4.1000000000000003E-3</v>
      </c>
      <c r="P5666" s="2">
        <v>1.1999999999999999E-3</v>
      </c>
      <c r="Q5666">
        <v>1671</v>
      </c>
    </row>
    <row r="5667" spans="1:17" x14ac:dyDescent="0.35">
      <c r="A5667" s="3" t="s">
        <v>227</v>
      </c>
      <c r="B5667" s="3" t="s">
        <v>232</v>
      </c>
      <c r="C5667" s="4">
        <v>0.46739999999999998</v>
      </c>
      <c r="D5667" s="4">
        <v>0.53259999999999996</v>
      </c>
      <c r="E5667" s="5"/>
      <c r="F5667" s="5"/>
      <c r="G5667" s="5"/>
      <c r="H5667" s="5"/>
      <c r="I5667" s="5"/>
      <c r="J5667" s="5"/>
      <c r="K5667" s="5"/>
      <c r="L5667" s="5"/>
      <c r="M5667" s="5"/>
      <c r="N5667" s="5"/>
      <c r="O5667" s="5"/>
      <c r="P5667" s="5"/>
      <c r="Q5667" s="5" t="s">
        <v>515</v>
      </c>
    </row>
    <row r="5668" spans="1:17" x14ac:dyDescent="0.35">
      <c r="A5668" t="s">
        <v>227</v>
      </c>
      <c r="B5668" t="s">
        <v>258</v>
      </c>
      <c r="C5668" s="2">
        <v>0.65680000000000005</v>
      </c>
      <c r="D5668" s="2">
        <v>0.15970000000000001</v>
      </c>
      <c r="E5668" s="2">
        <v>6.3500000000000001E-2</v>
      </c>
      <c r="F5668" s="2">
        <v>3.6799999999999999E-2</v>
      </c>
      <c r="G5668" s="2">
        <v>4.6399999999999997E-2</v>
      </c>
      <c r="H5668" s="2">
        <v>4.3900000000000002E-2</v>
      </c>
      <c r="I5668" s="2">
        <v>1.4500000000000001E-2</v>
      </c>
      <c r="J5668" s="2">
        <v>1.78E-2</v>
      </c>
      <c r="K5668" s="2">
        <v>1.4999999999999999E-2</v>
      </c>
      <c r="L5668" s="2">
        <v>1.4E-2</v>
      </c>
      <c r="M5668" s="2">
        <v>1.7500000000000002E-2</v>
      </c>
      <c r="N5668" s="2">
        <v>1.6400000000000001E-2</v>
      </c>
      <c r="O5668" s="2">
        <v>1.1000000000000001E-3</v>
      </c>
      <c r="P5668" s="2">
        <v>8.8000000000000005E-3</v>
      </c>
      <c r="Q5668">
        <v>454</v>
      </c>
    </row>
    <row r="5669" spans="1:17" x14ac:dyDescent="0.35">
      <c r="A5669" t="s">
        <v>228</v>
      </c>
      <c r="B5669" t="s">
        <v>228</v>
      </c>
      <c r="C5669" s="2">
        <v>0.69269999999999998</v>
      </c>
      <c r="D5669" s="2">
        <v>0.186</v>
      </c>
      <c r="E5669" s="2">
        <v>4.0300000000000002E-2</v>
      </c>
      <c r="F5669" s="2">
        <v>3.09E-2</v>
      </c>
      <c r="G5669" s="2">
        <v>2.3099999999999999E-2</v>
      </c>
      <c r="H5669" s="2">
        <v>2.0899999999999998E-2</v>
      </c>
      <c r="I5669" s="2">
        <v>1.41E-2</v>
      </c>
      <c r="J5669" s="2">
        <v>1.14E-2</v>
      </c>
      <c r="K5669" s="2">
        <v>9.9000000000000008E-3</v>
      </c>
      <c r="L5669" s="2">
        <v>8.6999999999999994E-3</v>
      </c>
      <c r="M5669" s="2">
        <v>7.3000000000000001E-3</v>
      </c>
      <c r="N5669" s="2">
        <v>4.0000000000000001E-3</v>
      </c>
      <c r="O5669" s="2">
        <v>2.8999999999999998E-3</v>
      </c>
      <c r="P5669" s="2">
        <v>2E-3</v>
      </c>
      <c r="Q5669">
        <v>2578</v>
      </c>
    </row>
    <row r="5671" spans="1:17" x14ac:dyDescent="0.35">
      <c r="A5671" s="1" t="s">
        <v>1584</v>
      </c>
    </row>
    <row r="5672" spans="1:17" x14ac:dyDescent="0.35">
      <c r="A5672" t="s">
        <v>219</v>
      </c>
      <c r="B5672" t="s">
        <v>301</v>
      </c>
      <c r="C5672" t="s">
        <v>540</v>
      </c>
      <c r="D5672" t="s">
        <v>277</v>
      </c>
      <c r="E5672" t="s">
        <v>1570</v>
      </c>
      <c r="F5672" t="s">
        <v>1395</v>
      </c>
      <c r="G5672" t="s">
        <v>1571</v>
      </c>
      <c r="H5672" t="s">
        <v>1572</v>
      </c>
      <c r="I5672" t="s">
        <v>1400</v>
      </c>
      <c r="J5672" t="s">
        <v>1573</v>
      </c>
      <c r="K5672" t="s">
        <v>318</v>
      </c>
      <c r="L5672" t="s">
        <v>1574</v>
      </c>
      <c r="M5672" t="s">
        <v>1498</v>
      </c>
      <c r="N5672" t="s">
        <v>1575</v>
      </c>
      <c r="O5672" t="s">
        <v>282</v>
      </c>
      <c r="P5672" t="s">
        <v>1402</v>
      </c>
      <c r="Q5672" t="s">
        <v>226</v>
      </c>
    </row>
    <row r="5673" spans="1:17" x14ac:dyDescent="0.35">
      <c r="A5673" t="s">
        <v>227</v>
      </c>
      <c r="B5673" t="s">
        <v>343</v>
      </c>
      <c r="C5673" s="2">
        <v>0.68620000000000003</v>
      </c>
      <c r="D5673" s="2">
        <v>0.25879999999999997</v>
      </c>
      <c r="E5673" s="2">
        <v>1.4E-2</v>
      </c>
      <c r="F5673" s="2">
        <v>1.7100000000000001E-2</v>
      </c>
      <c r="G5673" s="2">
        <v>5.0000000000000001E-4</v>
      </c>
      <c r="H5673" s="2">
        <v>1.66E-2</v>
      </c>
      <c r="I5673" s="2">
        <v>1.3299999999999999E-2</v>
      </c>
      <c r="J5673" s="2">
        <v>3.3E-3</v>
      </c>
      <c r="K5673" s="2">
        <v>1E-3</v>
      </c>
      <c r="L5673" s="2">
        <v>5.4999999999999997E-3</v>
      </c>
      <c r="M5673" s="2">
        <v>5.0000000000000001E-3</v>
      </c>
      <c r="Q5673">
        <v>382</v>
      </c>
    </row>
    <row r="5674" spans="1:17" x14ac:dyDescent="0.35">
      <c r="A5674" t="s">
        <v>227</v>
      </c>
      <c r="B5674" t="s">
        <v>344</v>
      </c>
      <c r="C5674" s="2">
        <v>0.69410000000000005</v>
      </c>
      <c r="D5674" s="2">
        <v>0.17069999999999999</v>
      </c>
      <c r="E5674" s="2">
        <v>4.58E-2</v>
      </c>
      <c r="F5674" s="2">
        <v>3.3700000000000001E-2</v>
      </c>
      <c r="G5674" s="2">
        <v>2.7799999999999998E-2</v>
      </c>
      <c r="H5674" s="2">
        <v>2.18E-2</v>
      </c>
      <c r="I5674" s="2">
        <v>1.4200000000000001E-2</v>
      </c>
      <c r="J5674" s="2">
        <v>1.3100000000000001E-2</v>
      </c>
      <c r="K5674" s="2">
        <v>1.17E-2</v>
      </c>
      <c r="L5674" s="2">
        <v>9.4000000000000004E-3</v>
      </c>
      <c r="M5674" s="2">
        <v>7.7999999999999996E-3</v>
      </c>
      <c r="N5674" s="2">
        <v>4.7999999999999996E-3</v>
      </c>
      <c r="O5674" s="2">
        <v>3.5000000000000001E-3</v>
      </c>
      <c r="P5674" s="2">
        <v>2.3999999999999998E-3</v>
      </c>
      <c r="Q5674">
        <v>2196</v>
      </c>
    </row>
    <row r="5675" spans="1:17" x14ac:dyDescent="0.35">
      <c r="A5675" t="s">
        <v>228</v>
      </c>
      <c r="B5675" t="s">
        <v>228</v>
      </c>
      <c r="C5675" s="2">
        <v>0.69269999999999998</v>
      </c>
      <c r="D5675" s="2">
        <v>0.186</v>
      </c>
      <c r="E5675" s="2">
        <v>4.0300000000000002E-2</v>
      </c>
      <c r="F5675" s="2">
        <v>3.09E-2</v>
      </c>
      <c r="G5675" s="2">
        <v>2.3099999999999999E-2</v>
      </c>
      <c r="H5675" s="2">
        <v>2.0899999999999998E-2</v>
      </c>
      <c r="I5675" s="2">
        <v>1.41E-2</v>
      </c>
      <c r="J5675" s="2">
        <v>1.14E-2</v>
      </c>
      <c r="K5675" s="2">
        <v>9.9000000000000008E-3</v>
      </c>
      <c r="L5675" s="2">
        <v>8.6999999999999994E-3</v>
      </c>
      <c r="M5675" s="2">
        <v>7.3000000000000001E-3</v>
      </c>
      <c r="N5675" s="2">
        <v>4.0000000000000001E-3</v>
      </c>
      <c r="O5675" s="2">
        <v>2.8999999999999998E-3</v>
      </c>
      <c r="P5675" s="2">
        <v>2E-3</v>
      </c>
      <c r="Q5675">
        <v>2578</v>
      </c>
    </row>
    <row r="5677" spans="1:17" x14ac:dyDescent="0.35">
      <c r="A5677" s="1" t="s">
        <v>1585</v>
      </c>
    </row>
    <row r="5678" spans="1:17" x14ac:dyDescent="0.35">
      <c r="A5678" t="s">
        <v>219</v>
      </c>
      <c r="B5678" t="s">
        <v>301</v>
      </c>
      <c r="C5678" t="s">
        <v>540</v>
      </c>
      <c r="D5678" t="s">
        <v>277</v>
      </c>
      <c r="E5678" t="s">
        <v>1570</v>
      </c>
      <c r="F5678" t="s">
        <v>1395</v>
      </c>
      <c r="G5678" t="s">
        <v>1571</v>
      </c>
      <c r="H5678" t="s">
        <v>1572</v>
      </c>
      <c r="I5678" t="s">
        <v>1400</v>
      </c>
      <c r="J5678" t="s">
        <v>1573</v>
      </c>
      <c r="K5678" t="s">
        <v>318</v>
      </c>
      <c r="L5678" t="s">
        <v>1574</v>
      </c>
      <c r="M5678" t="s">
        <v>1498</v>
      </c>
      <c r="N5678" t="s">
        <v>1575</v>
      </c>
      <c r="O5678" t="s">
        <v>282</v>
      </c>
      <c r="P5678" t="s">
        <v>1402</v>
      </c>
      <c r="Q5678" t="s">
        <v>226</v>
      </c>
    </row>
    <row r="5679" spans="1:17" x14ac:dyDescent="0.35">
      <c r="A5679" t="s">
        <v>227</v>
      </c>
      <c r="B5679" t="s">
        <v>346</v>
      </c>
      <c r="C5679" s="2">
        <v>0.69940000000000002</v>
      </c>
      <c r="D5679" s="2">
        <v>0.1797</v>
      </c>
      <c r="E5679" s="2">
        <v>4.1799999999999997E-2</v>
      </c>
      <c r="F5679" s="2">
        <v>3.0800000000000001E-2</v>
      </c>
      <c r="G5679" s="2">
        <v>2.5499999999999998E-2</v>
      </c>
      <c r="H5679" s="2">
        <v>2.3400000000000001E-2</v>
      </c>
      <c r="I5679" s="2">
        <v>1.5299999999999999E-2</v>
      </c>
      <c r="J5679" s="2">
        <v>6.8999999999999999E-3</v>
      </c>
      <c r="K5679" s="2">
        <v>1.0200000000000001E-2</v>
      </c>
      <c r="L5679" s="2">
        <v>5.1000000000000004E-3</v>
      </c>
      <c r="M5679" s="2">
        <v>7.0000000000000001E-3</v>
      </c>
      <c r="N5679" s="2">
        <v>4.3E-3</v>
      </c>
      <c r="O5679" s="2">
        <v>3.0000000000000001E-3</v>
      </c>
      <c r="P5679" s="2">
        <v>2E-3</v>
      </c>
      <c r="Q5679">
        <v>1349</v>
      </c>
    </row>
    <row r="5680" spans="1:17" x14ac:dyDescent="0.35">
      <c r="A5680" t="s">
        <v>227</v>
      </c>
      <c r="B5680" t="s">
        <v>347</v>
      </c>
      <c r="C5680" s="2">
        <v>0.6512</v>
      </c>
      <c r="D5680" s="2">
        <v>0.2137</v>
      </c>
      <c r="E5680" s="2">
        <v>2.9499999999999998E-2</v>
      </c>
      <c r="F5680" s="2">
        <v>4.53E-2</v>
      </c>
      <c r="G5680" s="2">
        <v>7.1000000000000004E-3</v>
      </c>
      <c r="H5680" s="2">
        <v>3.2000000000000002E-3</v>
      </c>
      <c r="I5680" s="2">
        <v>7.4999999999999997E-3</v>
      </c>
      <c r="J5680" s="2">
        <v>4.0300000000000002E-2</v>
      </c>
      <c r="K5680" s="2">
        <v>4.4999999999999997E-3</v>
      </c>
      <c r="L5680" s="2">
        <v>2.64E-2</v>
      </c>
      <c r="M5680" s="2">
        <v>1.01E-2</v>
      </c>
      <c r="N5680" s="2">
        <v>8.0000000000000004E-4</v>
      </c>
      <c r="O5680" s="2">
        <v>8.8000000000000005E-3</v>
      </c>
      <c r="Q5680">
        <v>527</v>
      </c>
    </row>
    <row r="5681" spans="1:17" x14ac:dyDescent="0.35">
      <c r="A5681" t="s">
        <v>227</v>
      </c>
      <c r="B5681" t="s">
        <v>348</v>
      </c>
      <c r="C5681" s="2">
        <v>0.64639999999999997</v>
      </c>
      <c r="D5681" s="2">
        <v>0.2339</v>
      </c>
      <c r="E5681" s="2">
        <v>2.9700000000000001E-2</v>
      </c>
      <c r="F5681" s="2">
        <v>2.58E-2</v>
      </c>
      <c r="G5681" s="2">
        <v>7.4000000000000003E-3</v>
      </c>
      <c r="H5681" s="2">
        <v>4.4999999999999997E-3</v>
      </c>
      <c r="I5681" s="2">
        <v>5.5999999999999999E-3</v>
      </c>
      <c r="J5681" s="2">
        <v>4.1500000000000002E-2</v>
      </c>
      <c r="K5681" s="2">
        <v>9.1000000000000004E-3</v>
      </c>
      <c r="L5681" s="2">
        <v>3.5299999999999998E-2</v>
      </c>
      <c r="M5681" s="2">
        <v>9.5999999999999992E-3</v>
      </c>
      <c r="N5681" s="2">
        <v>1.9E-3</v>
      </c>
      <c r="P5681" s="2">
        <v>2.5999999999999999E-3</v>
      </c>
      <c r="Q5681">
        <v>702</v>
      </c>
    </row>
    <row r="5682" spans="1:17" x14ac:dyDescent="0.35">
      <c r="A5682" t="s">
        <v>228</v>
      </c>
      <c r="B5682" t="s">
        <v>228</v>
      </c>
      <c r="C5682" s="2">
        <v>0.69269999999999998</v>
      </c>
      <c r="D5682" s="2">
        <v>0.186</v>
      </c>
      <c r="E5682" s="2">
        <v>4.0300000000000002E-2</v>
      </c>
      <c r="F5682" s="2">
        <v>3.09E-2</v>
      </c>
      <c r="G5682" s="2">
        <v>2.3099999999999999E-2</v>
      </c>
      <c r="H5682" s="2">
        <v>2.0899999999999998E-2</v>
      </c>
      <c r="I5682" s="2">
        <v>1.41E-2</v>
      </c>
      <c r="J5682" s="2">
        <v>1.14E-2</v>
      </c>
      <c r="K5682" s="2">
        <v>9.9000000000000008E-3</v>
      </c>
      <c r="L5682" s="2">
        <v>8.6999999999999994E-3</v>
      </c>
      <c r="M5682" s="2">
        <v>7.3000000000000001E-3</v>
      </c>
      <c r="N5682" s="2">
        <v>4.0000000000000001E-3</v>
      </c>
      <c r="O5682" s="2">
        <v>2.8999999999999998E-3</v>
      </c>
      <c r="P5682" s="2">
        <v>2E-3</v>
      </c>
      <c r="Q5682">
        <v>2578</v>
      </c>
    </row>
    <row r="5684" spans="1:17" x14ac:dyDescent="0.35">
      <c r="A5684" s="1" t="s">
        <v>1586</v>
      </c>
    </row>
    <row r="5685" spans="1:17" x14ac:dyDescent="0.35">
      <c r="A5685" t="s">
        <v>219</v>
      </c>
      <c r="B5685" t="s">
        <v>301</v>
      </c>
      <c r="C5685" t="s">
        <v>540</v>
      </c>
      <c r="D5685" t="s">
        <v>277</v>
      </c>
      <c r="E5685" t="s">
        <v>1570</v>
      </c>
      <c r="F5685" t="s">
        <v>1395</v>
      </c>
      <c r="G5685" t="s">
        <v>1571</v>
      </c>
      <c r="H5685" t="s">
        <v>1572</v>
      </c>
      <c r="I5685" t="s">
        <v>1400</v>
      </c>
      <c r="J5685" t="s">
        <v>1573</v>
      </c>
      <c r="K5685" t="s">
        <v>318</v>
      </c>
      <c r="L5685" t="s">
        <v>1574</v>
      </c>
      <c r="M5685" t="s">
        <v>1498</v>
      </c>
      <c r="N5685" t="s">
        <v>1575</v>
      </c>
      <c r="O5685" t="s">
        <v>282</v>
      </c>
      <c r="P5685" t="s">
        <v>1402</v>
      </c>
      <c r="Q5685" t="s">
        <v>226</v>
      </c>
    </row>
    <row r="5686" spans="1:17" x14ac:dyDescent="0.35">
      <c r="A5686" t="s">
        <v>227</v>
      </c>
      <c r="B5686" t="s">
        <v>251</v>
      </c>
      <c r="C5686" s="2">
        <v>0.67810000000000004</v>
      </c>
      <c r="D5686" s="2">
        <v>0.22589999999999999</v>
      </c>
      <c r="E5686" s="2">
        <v>3.4799999999999998E-2</v>
      </c>
      <c r="F5686" s="2">
        <v>2.2800000000000001E-2</v>
      </c>
      <c r="G5686" s="2">
        <v>1.9800000000000002E-2</v>
      </c>
      <c r="H5686" s="2">
        <v>0.01</v>
      </c>
      <c r="I5686" s="2">
        <v>1.1599999999999999E-2</v>
      </c>
      <c r="J5686" s="2">
        <v>1.3899999999999999E-2</v>
      </c>
      <c r="K5686" s="2">
        <v>9.4000000000000004E-3</v>
      </c>
      <c r="L5686" s="2">
        <v>7.3000000000000001E-3</v>
      </c>
      <c r="M5686" s="2">
        <v>5.1000000000000004E-3</v>
      </c>
      <c r="N5686" s="2">
        <v>4.1999999999999997E-3</v>
      </c>
      <c r="O5686" s="2">
        <v>4.0000000000000001E-3</v>
      </c>
      <c r="P5686" s="2">
        <v>1.4E-3</v>
      </c>
      <c r="Q5686">
        <v>1863</v>
      </c>
    </row>
    <row r="5687" spans="1:17" x14ac:dyDescent="0.35">
      <c r="A5687" t="s">
        <v>227</v>
      </c>
      <c r="B5687" t="s">
        <v>252</v>
      </c>
      <c r="C5687" s="2">
        <v>0.73150000000000004</v>
      </c>
      <c r="D5687" s="2">
        <v>7.5999999999999998E-2</v>
      </c>
      <c r="E5687" s="2">
        <v>4.9799999999999997E-2</v>
      </c>
      <c r="F5687" s="2">
        <v>5.96E-2</v>
      </c>
      <c r="G5687" s="2">
        <v>3.1399999999999997E-2</v>
      </c>
      <c r="H5687" s="2">
        <v>4.9000000000000002E-2</v>
      </c>
      <c r="I5687" s="2">
        <v>2.2200000000000001E-2</v>
      </c>
      <c r="J5687" s="2">
        <v>4.5999999999999999E-3</v>
      </c>
      <c r="K5687" s="2">
        <v>9.1000000000000004E-3</v>
      </c>
      <c r="L5687" s="2">
        <v>1.0500000000000001E-2</v>
      </c>
      <c r="M5687" s="2">
        <v>1.2500000000000001E-2</v>
      </c>
      <c r="N5687" s="2">
        <v>4.1000000000000003E-3</v>
      </c>
      <c r="O5687" s="2">
        <v>2.0000000000000001E-4</v>
      </c>
      <c r="P5687" s="2">
        <v>4.1000000000000003E-3</v>
      </c>
      <c r="Q5687">
        <v>569</v>
      </c>
    </row>
    <row r="5688" spans="1:17" x14ac:dyDescent="0.35">
      <c r="A5688" t="s">
        <v>227</v>
      </c>
      <c r="B5688" t="s">
        <v>253</v>
      </c>
      <c r="C5688" s="2">
        <v>0.7288</v>
      </c>
      <c r="D5688" s="2">
        <v>0.11559999999999999</v>
      </c>
      <c r="E5688" s="2">
        <v>7.46E-2</v>
      </c>
      <c r="F5688" s="2">
        <v>1.84E-2</v>
      </c>
      <c r="G5688" s="2">
        <v>3.3799999999999997E-2</v>
      </c>
      <c r="H5688" s="2">
        <v>4.0599999999999997E-2</v>
      </c>
      <c r="I5688" s="2">
        <v>1.37E-2</v>
      </c>
      <c r="J5688" s="2">
        <v>6.0000000000000001E-3</v>
      </c>
      <c r="K5688" s="2">
        <v>2.07E-2</v>
      </c>
      <c r="L5688" s="2">
        <v>2.1700000000000001E-2</v>
      </c>
      <c r="M5688" s="2">
        <v>1.5699999999999999E-2</v>
      </c>
      <c r="Q5688">
        <v>138</v>
      </c>
    </row>
    <row r="5689" spans="1:17" x14ac:dyDescent="0.35">
      <c r="A5689" s="3" t="s">
        <v>227</v>
      </c>
      <c r="B5689" s="3" t="s">
        <v>254</v>
      </c>
      <c r="C5689" s="4">
        <v>0.6552</v>
      </c>
      <c r="D5689" s="5"/>
      <c r="E5689" s="4">
        <v>5.8799999999999998E-2</v>
      </c>
      <c r="F5689" s="5"/>
      <c r="G5689" s="5"/>
      <c r="H5689" s="4">
        <v>0.28589999999999999</v>
      </c>
      <c r="I5689" s="5"/>
      <c r="J5689" s="5"/>
      <c r="K5689" s="5"/>
      <c r="L5689" s="5"/>
      <c r="M5689" s="5"/>
      <c r="N5689" s="5"/>
      <c r="O5689" s="5"/>
      <c r="P5689" s="5"/>
      <c r="Q5689" s="5" t="s">
        <v>326</v>
      </c>
    </row>
    <row r="5690" spans="1:17" x14ac:dyDescent="0.35">
      <c r="A5690" t="s">
        <v>228</v>
      </c>
      <c r="B5690" t="s">
        <v>228</v>
      </c>
      <c r="C5690" s="2">
        <v>0.69269999999999998</v>
      </c>
      <c r="D5690" s="2">
        <v>0.186</v>
      </c>
      <c r="E5690" s="2">
        <v>4.0300000000000002E-2</v>
      </c>
      <c r="F5690" s="2">
        <v>3.09E-2</v>
      </c>
      <c r="G5690" s="2">
        <v>2.3099999999999999E-2</v>
      </c>
      <c r="H5690" s="2">
        <v>2.0899999999999998E-2</v>
      </c>
      <c r="I5690" s="2">
        <v>1.41E-2</v>
      </c>
      <c r="J5690" s="2">
        <v>1.14E-2</v>
      </c>
      <c r="K5690" s="2">
        <v>9.9000000000000008E-3</v>
      </c>
      <c r="L5690" s="2">
        <v>8.6999999999999994E-3</v>
      </c>
      <c r="M5690" s="2">
        <v>7.3000000000000001E-3</v>
      </c>
      <c r="N5690" s="2">
        <v>4.0000000000000001E-3</v>
      </c>
      <c r="O5690" s="2">
        <v>2.8999999999999998E-3</v>
      </c>
      <c r="P5690" s="2">
        <v>2E-3</v>
      </c>
      <c r="Q5690">
        <v>2578</v>
      </c>
    </row>
    <row r="5692" spans="1:17" x14ac:dyDescent="0.35">
      <c r="A5692" s="1" t="s">
        <v>1587</v>
      </c>
    </row>
    <row r="5693" spans="1:17" x14ac:dyDescent="0.35">
      <c r="A5693" t="s">
        <v>219</v>
      </c>
      <c r="B5693" t="s">
        <v>301</v>
      </c>
      <c r="C5693" t="s">
        <v>540</v>
      </c>
      <c r="D5693" t="s">
        <v>277</v>
      </c>
      <c r="E5693" t="s">
        <v>1570</v>
      </c>
      <c r="F5693" t="s">
        <v>1395</v>
      </c>
      <c r="G5693" t="s">
        <v>1571</v>
      </c>
      <c r="H5693" t="s">
        <v>1572</v>
      </c>
      <c r="I5693" t="s">
        <v>1400</v>
      </c>
      <c r="J5693" t="s">
        <v>1573</v>
      </c>
      <c r="K5693" t="s">
        <v>318</v>
      </c>
      <c r="L5693" t="s">
        <v>1574</v>
      </c>
      <c r="M5693" t="s">
        <v>1498</v>
      </c>
      <c r="N5693" t="s">
        <v>1575</v>
      </c>
      <c r="O5693" t="s">
        <v>282</v>
      </c>
      <c r="P5693" t="s">
        <v>1402</v>
      </c>
      <c r="Q5693" t="s">
        <v>226</v>
      </c>
    </row>
    <row r="5694" spans="1:17" x14ac:dyDescent="0.35">
      <c r="A5694" t="s">
        <v>227</v>
      </c>
      <c r="B5694" t="s">
        <v>1335</v>
      </c>
      <c r="C5694" s="2">
        <v>0.72150000000000003</v>
      </c>
      <c r="D5694" s="2">
        <v>0.14069999999999999</v>
      </c>
      <c r="E5694" s="2">
        <v>3.8899999999999997E-2</v>
      </c>
      <c r="F5694" s="2">
        <v>3.5000000000000003E-2</v>
      </c>
      <c r="G5694" s="2">
        <v>2.2599999999999999E-2</v>
      </c>
      <c r="H5694" s="2">
        <v>2.5999999999999999E-2</v>
      </c>
      <c r="I5694" s="2">
        <v>7.9000000000000008E-3</v>
      </c>
      <c r="J5694" s="2">
        <v>1.47E-2</v>
      </c>
      <c r="K5694" s="2">
        <v>1.06E-2</v>
      </c>
      <c r="L5694" s="2">
        <v>1.6299999999999999E-2</v>
      </c>
      <c r="M5694" s="2">
        <v>2.8E-3</v>
      </c>
      <c r="N5694" s="2">
        <v>2.8E-3</v>
      </c>
      <c r="O5694" s="2">
        <v>5.5999999999999999E-3</v>
      </c>
      <c r="P5694" s="2">
        <v>6.9999999999999999E-4</v>
      </c>
      <c r="Q5694">
        <v>772</v>
      </c>
    </row>
    <row r="5695" spans="1:17" x14ac:dyDescent="0.35">
      <c r="A5695" s="3" t="s">
        <v>227</v>
      </c>
      <c r="B5695" s="3" t="s">
        <v>1336</v>
      </c>
      <c r="C5695" s="4">
        <v>0.59340000000000004</v>
      </c>
      <c r="D5695" s="5"/>
      <c r="E5695" s="5"/>
      <c r="F5695" s="5"/>
      <c r="G5695" s="5"/>
      <c r="H5695" s="5"/>
      <c r="I5695" s="5"/>
      <c r="J5695" s="5"/>
      <c r="K5695" s="5"/>
      <c r="L5695" s="5"/>
      <c r="M5695" s="4">
        <v>0.40660000000000002</v>
      </c>
      <c r="N5695" s="5"/>
      <c r="O5695" s="5"/>
      <c r="P5695" s="5"/>
      <c r="Q5695" s="5" t="s">
        <v>434</v>
      </c>
    </row>
    <row r="5696" spans="1:17" x14ac:dyDescent="0.35">
      <c r="A5696" t="s">
        <v>227</v>
      </c>
      <c r="B5696" t="s">
        <v>1337</v>
      </c>
      <c r="C5696" s="2">
        <v>0.6784</v>
      </c>
      <c r="D5696" s="2">
        <v>0.20930000000000001</v>
      </c>
      <c r="E5696" s="2">
        <v>4.1099999999999998E-2</v>
      </c>
      <c r="F5696" s="2">
        <v>2.8799999999999999E-2</v>
      </c>
      <c r="G5696" s="2">
        <v>2.3400000000000001E-2</v>
      </c>
      <c r="H5696" s="2">
        <v>1.84E-2</v>
      </c>
      <c r="I5696" s="2">
        <v>1.72E-2</v>
      </c>
      <c r="J5696" s="2">
        <v>9.7000000000000003E-3</v>
      </c>
      <c r="K5696" s="2">
        <v>9.4999999999999998E-3</v>
      </c>
      <c r="L5696" s="2">
        <v>5.0000000000000001E-3</v>
      </c>
      <c r="M5696" s="2">
        <v>8.5000000000000006E-3</v>
      </c>
      <c r="N5696" s="2">
        <v>4.4999999999999997E-3</v>
      </c>
      <c r="O5696" s="2">
        <v>1.6000000000000001E-3</v>
      </c>
      <c r="P5696" s="2">
        <v>2.5999999999999999E-3</v>
      </c>
      <c r="Q5696">
        <v>1804</v>
      </c>
    </row>
    <row r="5697" spans="1:18" x14ac:dyDescent="0.35">
      <c r="A5697" t="s">
        <v>228</v>
      </c>
      <c r="B5697" t="s">
        <v>228</v>
      </c>
      <c r="C5697" s="2">
        <v>0.69269999999999998</v>
      </c>
      <c r="D5697" s="2">
        <v>0.186</v>
      </c>
      <c r="E5697" s="2">
        <v>4.0300000000000002E-2</v>
      </c>
      <c r="F5697" s="2">
        <v>3.09E-2</v>
      </c>
      <c r="G5697" s="2">
        <v>2.3099999999999999E-2</v>
      </c>
      <c r="H5697" s="2">
        <v>2.0899999999999998E-2</v>
      </c>
      <c r="I5697" s="2">
        <v>1.41E-2</v>
      </c>
      <c r="J5697" s="2">
        <v>1.14E-2</v>
      </c>
      <c r="K5697" s="2">
        <v>9.9000000000000008E-3</v>
      </c>
      <c r="L5697" s="2">
        <v>8.6999999999999994E-3</v>
      </c>
      <c r="M5697" s="2">
        <v>7.3000000000000001E-3</v>
      </c>
      <c r="N5697" s="2">
        <v>4.0000000000000001E-3</v>
      </c>
      <c r="O5697" s="2">
        <v>2.8999999999999998E-3</v>
      </c>
      <c r="P5697" s="2">
        <v>2E-3</v>
      </c>
      <c r="Q5697">
        <v>2578</v>
      </c>
    </row>
    <row r="5699" spans="1:18" x14ac:dyDescent="0.35">
      <c r="A5699" s="1" t="s">
        <v>1588</v>
      </c>
    </row>
    <row r="5700" spans="1:18" x14ac:dyDescent="0.35">
      <c r="A5700" t="s">
        <v>219</v>
      </c>
      <c r="B5700" t="s">
        <v>301</v>
      </c>
      <c r="C5700" t="s">
        <v>540</v>
      </c>
      <c r="D5700" t="s">
        <v>277</v>
      </c>
      <c r="E5700" t="s">
        <v>1570</v>
      </c>
      <c r="F5700" t="s">
        <v>1395</v>
      </c>
      <c r="G5700" t="s">
        <v>1571</v>
      </c>
      <c r="H5700" t="s">
        <v>1572</v>
      </c>
      <c r="I5700" t="s">
        <v>1400</v>
      </c>
      <c r="J5700" t="s">
        <v>1573</v>
      </c>
      <c r="K5700" t="s">
        <v>318</v>
      </c>
      <c r="L5700" t="s">
        <v>1574</v>
      </c>
      <c r="M5700" t="s">
        <v>1498</v>
      </c>
      <c r="N5700" t="s">
        <v>1575</v>
      </c>
      <c r="O5700" t="s">
        <v>282</v>
      </c>
      <c r="P5700" t="s">
        <v>1402</v>
      </c>
      <c r="Q5700" t="s">
        <v>226</v>
      </c>
    </row>
    <row r="5701" spans="1:18" x14ac:dyDescent="0.35">
      <c r="A5701" t="s">
        <v>227</v>
      </c>
      <c r="B5701" t="s">
        <v>1339</v>
      </c>
      <c r="C5701" s="2">
        <v>0.71479999999999999</v>
      </c>
      <c r="D5701" s="2">
        <v>8.6800000000000002E-2</v>
      </c>
      <c r="E5701" s="2">
        <v>9.3200000000000005E-2</v>
      </c>
      <c r="F5701" s="2">
        <v>6.0000000000000001E-3</v>
      </c>
      <c r="H5701" s="2">
        <v>2.4199999999999999E-2</v>
      </c>
      <c r="I5701" s="2">
        <v>0.13170000000000001</v>
      </c>
      <c r="J5701" s="2">
        <v>1.29E-2</v>
      </c>
      <c r="L5701" s="2">
        <v>1.29E-2</v>
      </c>
      <c r="M5701" s="2">
        <v>4.0899999999999999E-2</v>
      </c>
      <c r="P5701" s="2">
        <v>1.06E-2</v>
      </c>
      <c r="Q5701">
        <v>49</v>
      </c>
    </row>
    <row r="5702" spans="1:18" x14ac:dyDescent="0.35">
      <c r="A5702" t="s">
        <v>227</v>
      </c>
      <c r="B5702" t="s">
        <v>1340</v>
      </c>
      <c r="C5702" s="2">
        <v>0.66990000000000005</v>
      </c>
      <c r="D5702" s="2">
        <v>0.1255</v>
      </c>
      <c r="E5702" s="2">
        <v>7.3999999999999996E-2</v>
      </c>
      <c r="F5702" s="2">
        <v>7.51E-2</v>
      </c>
      <c r="G5702" s="2">
        <v>3.3300000000000003E-2</v>
      </c>
      <c r="H5702" s="2">
        <v>5.04E-2</v>
      </c>
      <c r="I5702" s="2">
        <v>2.1600000000000001E-2</v>
      </c>
      <c r="J5702" s="2">
        <v>1.52E-2</v>
      </c>
      <c r="K5702" s="2">
        <v>1.21E-2</v>
      </c>
      <c r="L5702" s="2">
        <v>1.3299999999999999E-2</v>
      </c>
      <c r="M5702" s="2">
        <v>9.9000000000000008E-3</v>
      </c>
      <c r="N5702" s="2">
        <v>7.3000000000000001E-3</v>
      </c>
      <c r="O5702" s="2">
        <v>1E-4</v>
      </c>
      <c r="P5702" s="2">
        <v>3.3E-3</v>
      </c>
      <c r="Q5702">
        <v>668</v>
      </c>
    </row>
    <row r="5703" spans="1:18" x14ac:dyDescent="0.35">
      <c r="A5703" t="s">
        <v>227</v>
      </c>
      <c r="B5703" t="s">
        <v>1341</v>
      </c>
      <c r="C5703" s="2">
        <v>0.6996</v>
      </c>
      <c r="D5703" s="2">
        <v>0.18640000000000001</v>
      </c>
      <c r="E5703" s="2">
        <v>3.9E-2</v>
      </c>
      <c r="F5703" s="2">
        <v>2.3599999999999999E-2</v>
      </c>
      <c r="G5703" s="2">
        <v>2.8299999999999999E-2</v>
      </c>
      <c r="H5703" s="2">
        <v>1.7000000000000001E-2</v>
      </c>
      <c r="I5703" s="2">
        <v>1.03E-2</v>
      </c>
      <c r="J5703" s="2">
        <v>1.0200000000000001E-2</v>
      </c>
      <c r="K5703" s="2">
        <v>1.01E-2</v>
      </c>
      <c r="L5703" s="2">
        <v>9.1000000000000004E-3</v>
      </c>
      <c r="M5703" s="2">
        <v>7.7999999999999996E-3</v>
      </c>
      <c r="N5703" s="2">
        <v>4.4999999999999997E-3</v>
      </c>
      <c r="O5703" s="2">
        <v>4.0000000000000002E-4</v>
      </c>
      <c r="P5703" s="2">
        <v>1.9E-3</v>
      </c>
      <c r="Q5703">
        <v>1219</v>
      </c>
    </row>
    <row r="5704" spans="1:18" x14ac:dyDescent="0.35">
      <c r="A5704" t="s">
        <v>227</v>
      </c>
      <c r="B5704" t="s">
        <v>1342</v>
      </c>
      <c r="C5704" s="2">
        <v>0.69830000000000003</v>
      </c>
      <c r="D5704" s="2">
        <v>0.254</v>
      </c>
      <c r="E5704" s="2">
        <v>4.8999999999999998E-3</v>
      </c>
      <c r="F5704" s="2">
        <v>5.3E-3</v>
      </c>
      <c r="G5704" s="2">
        <v>4.4000000000000003E-3</v>
      </c>
      <c r="I5704" s="2">
        <v>3.2000000000000002E-3</v>
      </c>
      <c r="J5704" s="2">
        <v>0.01</v>
      </c>
      <c r="K5704" s="2">
        <v>8.0000000000000002E-3</v>
      </c>
      <c r="L5704" s="2">
        <v>3.0999999999999999E-3</v>
      </c>
      <c r="M5704" s="2">
        <v>5.0000000000000001E-4</v>
      </c>
      <c r="N5704" s="2">
        <v>1E-4</v>
      </c>
      <c r="O5704" s="2">
        <v>1.1299999999999999E-2</v>
      </c>
      <c r="Q5704">
        <v>642</v>
      </c>
    </row>
    <row r="5705" spans="1:18" x14ac:dyDescent="0.35">
      <c r="A5705" t="s">
        <v>228</v>
      </c>
      <c r="B5705" t="s">
        <v>228</v>
      </c>
      <c r="C5705" s="2">
        <v>0.69269999999999998</v>
      </c>
      <c r="D5705" s="2">
        <v>0.186</v>
      </c>
      <c r="E5705" s="2">
        <v>4.0300000000000002E-2</v>
      </c>
      <c r="F5705" s="2">
        <v>3.09E-2</v>
      </c>
      <c r="G5705" s="2">
        <v>2.3099999999999999E-2</v>
      </c>
      <c r="H5705" s="2">
        <v>2.0899999999999998E-2</v>
      </c>
      <c r="I5705" s="2">
        <v>1.41E-2</v>
      </c>
      <c r="J5705" s="2">
        <v>1.14E-2</v>
      </c>
      <c r="K5705" s="2">
        <v>9.9000000000000008E-3</v>
      </c>
      <c r="L5705" s="2">
        <v>8.6999999999999994E-3</v>
      </c>
      <c r="M5705" s="2">
        <v>7.3000000000000001E-3</v>
      </c>
      <c r="N5705" s="2">
        <v>4.0000000000000001E-3</v>
      </c>
      <c r="O5705" s="2">
        <v>2.8999999999999998E-3</v>
      </c>
      <c r="P5705" s="2">
        <v>2E-3</v>
      </c>
      <c r="Q5705">
        <v>2578</v>
      </c>
    </row>
    <row r="5707" spans="1:18" x14ac:dyDescent="0.35">
      <c r="A5707" s="1" t="s">
        <v>1589</v>
      </c>
    </row>
    <row r="5708" spans="1:18" x14ac:dyDescent="0.35">
      <c r="A5708" t="s">
        <v>219</v>
      </c>
      <c r="B5708" t="s">
        <v>301</v>
      </c>
      <c r="C5708" t="s">
        <v>325</v>
      </c>
      <c r="D5708" t="s">
        <v>540</v>
      </c>
      <c r="E5708" t="s">
        <v>277</v>
      </c>
      <c r="F5708" t="s">
        <v>1570</v>
      </c>
      <c r="G5708" t="s">
        <v>1395</v>
      </c>
      <c r="H5708" t="s">
        <v>1571</v>
      </c>
      <c r="I5708" t="s">
        <v>1572</v>
      </c>
      <c r="J5708" t="s">
        <v>1400</v>
      </c>
      <c r="K5708" t="s">
        <v>1573</v>
      </c>
      <c r="L5708" t="s">
        <v>318</v>
      </c>
      <c r="M5708" t="s">
        <v>1574</v>
      </c>
      <c r="N5708" t="s">
        <v>1498</v>
      </c>
      <c r="O5708" t="s">
        <v>1575</v>
      </c>
      <c r="P5708" t="s">
        <v>282</v>
      </c>
      <c r="Q5708" t="s">
        <v>1402</v>
      </c>
      <c r="R5708" t="s">
        <v>226</v>
      </c>
    </row>
    <row r="5709" spans="1:18" x14ac:dyDescent="0.35">
      <c r="A5709" s="3" t="s">
        <v>227</v>
      </c>
      <c r="B5709" s="3" t="s">
        <v>1335</v>
      </c>
      <c r="C5709" s="3" t="s">
        <v>1339</v>
      </c>
      <c r="D5709" s="4">
        <v>0.80930000000000002</v>
      </c>
      <c r="E5709" s="4">
        <v>0.1207</v>
      </c>
      <c r="F5709" s="4">
        <v>2.9100000000000001E-2</v>
      </c>
      <c r="G5709" s="4">
        <v>1.6500000000000001E-2</v>
      </c>
      <c r="H5709" s="5"/>
      <c r="I5709" s="5"/>
      <c r="J5709" s="4">
        <v>5.3499999999999999E-2</v>
      </c>
      <c r="K5709" s="4">
        <v>2.9100000000000001E-2</v>
      </c>
      <c r="L5709" s="5"/>
      <c r="M5709" s="4">
        <v>2.9100000000000001E-2</v>
      </c>
      <c r="N5709" s="4">
        <v>2.9100000000000001E-2</v>
      </c>
      <c r="O5709" s="5"/>
      <c r="P5709" s="5"/>
      <c r="Q5709" s="4">
        <v>2.9100000000000001E-2</v>
      </c>
      <c r="R5709" s="5" t="s">
        <v>429</v>
      </c>
    </row>
    <row r="5710" spans="1:18" x14ac:dyDescent="0.35">
      <c r="A5710" t="s">
        <v>227</v>
      </c>
      <c r="B5710" t="s">
        <v>1335</v>
      </c>
      <c r="C5710" t="s">
        <v>1340</v>
      </c>
      <c r="D5710" s="2">
        <v>0.68889999999999996</v>
      </c>
      <c r="E5710" s="2">
        <v>0.1174</v>
      </c>
      <c r="F5710" s="2">
        <v>6.93E-2</v>
      </c>
      <c r="G5710" s="2">
        <v>6.9500000000000006E-2</v>
      </c>
      <c r="H5710" s="2">
        <v>2.0299999999999999E-2</v>
      </c>
      <c r="I5710" s="2">
        <v>3.2199999999999999E-2</v>
      </c>
      <c r="J5710" s="2">
        <v>2.0999999999999999E-3</v>
      </c>
      <c r="K5710" s="2">
        <v>2.1000000000000001E-2</v>
      </c>
      <c r="L5710" s="2">
        <v>7.7999999999999996E-3</v>
      </c>
      <c r="M5710" s="2">
        <v>1.77E-2</v>
      </c>
      <c r="N5710" s="2">
        <v>7.7999999999999996E-3</v>
      </c>
      <c r="O5710" s="2">
        <v>2.3999999999999998E-3</v>
      </c>
      <c r="R5710">
        <v>228</v>
      </c>
    </row>
    <row r="5711" spans="1:18" x14ac:dyDescent="0.35">
      <c r="A5711" t="s">
        <v>227</v>
      </c>
      <c r="B5711" t="s">
        <v>1335</v>
      </c>
      <c r="C5711" t="s">
        <v>1341</v>
      </c>
      <c r="D5711" s="2">
        <v>0.72470000000000001</v>
      </c>
      <c r="E5711" s="2">
        <v>0.1381</v>
      </c>
      <c r="F5711" s="2">
        <v>3.7699999999999997E-2</v>
      </c>
      <c r="G5711" s="2">
        <v>3.1800000000000002E-2</v>
      </c>
      <c r="H5711" s="2">
        <v>3.3300000000000003E-2</v>
      </c>
      <c r="I5711" s="2">
        <v>3.39E-2</v>
      </c>
      <c r="J5711" s="2">
        <v>7.7000000000000002E-3</v>
      </c>
      <c r="K5711" s="2">
        <v>1.46E-2</v>
      </c>
      <c r="L5711" s="2">
        <v>6.0000000000000001E-3</v>
      </c>
      <c r="M5711" s="2">
        <v>1.8700000000000001E-2</v>
      </c>
      <c r="N5711" s="2">
        <v>2.0000000000000001E-4</v>
      </c>
      <c r="O5711" s="2">
        <v>4.1999999999999997E-3</v>
      </c>
      <c r="P5711" s="2">
        <v>2.9999999999999997E-4</v>
      </c>
      <c r="R5711">
        <v>382</v>
      </c>
    </row>
    <row r="5712" spans="1:18" x14ac:dyDescent="0.35">
      <c r="A5712" t="s">
        <v>227</v>
      </c>
      <c r="B5712" t="s">
        <v>1335</v>
      </c>
      <c r="C5712" t="s">
        <v>1342</v>
      </c>
      <c r="D5712" s="2">
        <v>0.74409999999999998</v>
      </c>
      <c r="E5712" s="2">
        <v>0.18049999999999999</v>
      </c>
      <c r="F5712" s="2">
        <v>3.3999999999999998E-3</v>
      </c>
      <c r="G5712" s="2">
        <v>1.1999999999999999E-3</v>
      </c>
      <c r="J5712" s="2">
        <v>1.0200000000000001E-2</v>
      </c>
      <c r="K5712" s="2">
        <v>4.5999999999999999E-3</v>
      </c>
      <c r="L5712" s="2">
        <v>2.8000000000000001E-2</v>
      </c>
      <c r="M5712" s="2">
        <v>6.1999999999999998E-3</v>
      </c>
      <c r="P5712" s="2">
        <v>2.8000000000000001E-2</v>
      </c>
      <c r="R5712">
        <v>143</v>
      </c>
    </row>
    <row r="5713" spans="1:18" x14ac:dyDescent="0.35">
      <c r="A5713" s="3" t="s">
        <v>227</v>
      </c>
      <c r="B5713" s="3" t="s">
        <v>1336</v>
      </c>
      <c r="C5713" s="3" t="s">
        <v>1341</v>
      </c>
      <c r="D5713" s="4">
        <v>0.59340000000000004</v>
      </c>
      <c r="E5713" s="5"/>
      <c r="F5713" s="5"/>
      <c r="G5713" s="5"/>
      <c r="H5713" s="5"/>
      <c r="I5713" s="5"/>
      <c r="J5713" s="5"/>
      <c r="K5713" s="5"/>
      <c r="L5713" s="5"/>
      <c r="M5713" s="5"/>
      <c r="N5713" s="4">
        <v>0.40660000000000002</v>
      </c>
      <c r="O5713" s="5"/>
      <c r="P5713" s="5"/>
      <c r="Q5713" s="5"/>
      <c r="R5713" s="5" t="s">
        <v>434</v>
      </c>
    </row>
    <row r="5714" spans="1:18" x14ac:dyDescent="0.35">
      <c r="A5714" t="s">
        <v>227</v>
      </c>
      <c r="B5714" t="s">
        <v>1337</v>
      </c>
      <c r="C5714" t="s">
        <v>1339</v>
      </c>
      <c r="D5714" s="2">
        <v>0.6603</v>
      </c>
      <c r="E5714" s="2">
        <v>6.7299999999999999E-2</v>
      </c>
      <c r="F5714" s="2">
        <v>0.13009999999999999</v>
      </c>
      <c r="I5714" s="2">
        <v>3.8199999999999998E-2</v>
      </c>
      <c r="J5714" s="2">
        <v>0.1767</v>
      </c>
      <c r="K5714" s="2">
        <v>3.5999999999999999E-3</v>
      </c>
      <c r="M5714" s="2">
        <v>3.5999999999999999E-3</v>
      </c>
      <c r="N5714" s="2">
        <v>4.7699999999999999E-2</v>
      </c>
      <c r="R5714">
        <v>30</v>
      </c>
    </row>
    <row r="5715" spans="1:18" x14ac:dyDescent="0.35">
      <c r="A5715" t="s">
        <v>227</v>
      </c>
      <c r="B5715" t="s">
        <v>1337</v>
      </c>
      <c r="C5715" t="s">
        <v>1340</v>
      </c>
      <c r="D5715" s="2">
        <v>0.65900000000000003</v>
      </c>
      <c r="E5715" s="2">
        <v>0.13009999999999999</v>
      </c>
      <c r="F5715" s="2">
        <v>7.6700000000000004E-2</v>
      </c>
      <c r="G5715" s="2">
        <v>7.8399999999999997E-2</v>
      </c>
      <c r="H5715" s="2">
        <v>4.07E-2</v>
      </c>
      <c r="I5715" s="2">
        <v>6.0900000000000003E-2</v>
      </c>
      <c r="J5715" s="2">
        <v>3.2800000000000003E-2</v>
      </c>
      <c r="K5715" s="2">
        <v>1.18E-2</v>
      </c>
      <c r="L5715" s="2">
        <v>1.46E-2</v>
      </c>
      <c r="M5715" s="2">
        <v>1.0699999999999999E-2</v>
      </c>
      <c r="N5715" s="2">
        <v>1.11E-2</v>
      </c>
      <c r="O5715" s="2">
        <v>0.01</v>
      </c>
      <c r="P5715" s="2">
        <v>2.0000000000000001E-4</v>
      </c>
      <c r="Q5715" s="2">
        <v>5.3E-3</v>
      </c>
      <c r="R5715">
        <v>440</v>
      </c>
    </row>
    <row r="5716" spans="1:18" x14ac:dyDescent="0.35">
      <c r="A5716" t="s">
        <v>227</v>
      </c>
      <c r="B5716" t="s">
        <v>1337</v>
      </c>
      <c r="C5716" t="s">
        <v>1341</v>
      </c>
      <c r="D5716" s="2">
        <v>0.68669999999999998</v>
      </c>
      <c r="E5716" s="2">
        <v>0.2132</v>
      </c>
      <c r="F5716" s="2">
        <v>3.9899999999999998E-2</v>
      </c>
      <c r="G5716" s="2">
        <v>1.9300000000000001E-2</v>
      </c>
      <c r="H5716" s="2">
        <v>2.58E-2</v>
      </c>
      <c r="I5716" s="2">
        <v>8.0999999999999996E-3</v>
      </c>
      <c r="J5716" s="2">
        <v>1.18E-2</v>
      </c>
      <c r="K5716" s="2">
        <v>7.7999999999999996E-3</v>
      </c>
      <c r="L5716" s="2">
        <v>1.24E-2</v>
      </c>
      <c r="M5716" s="2">
        <v>4.0000000000000001E-3</v>
      </c>
      <c r="N5716" s="2">
        <v>9.7999999999999997E-3</v>
      </c>
      <c r="O5716" s="2">
        <v>4.5999999999999999E-3</v>
      </c>
      <c r="P5716" s="2">
        <v>5.0000000000000001E-4</v>
      </c>
      <c r="Q5716" s="2">
        <v>2.8999999999999998E-3</v>
      </c>
      <c r="R5716">
        <v>835</v>
      </c>
    </row>
    <row r="5717" spans="1:18" x14ac:dyDescent="0.35">
      <c r="A5717" t="s">
        <v>227</v>
      </c>
      <c r="B5717" t="s">
        <v>1337</v>
      </c>
      <c r="C5717" t="s">
        <v>1342</v>
      </c>
      <c r="D5717" s="2">
        <v>0.68100000000000005</v>
      </c>
      <c r="E5717" s="2">
        <v>0.28170000000000001</v>
      </c>
      <c r="F5717" s="2">
        <v>5.4000000000000003E-3</v>
      </c>
      <c r="G5717" s="2">
        <v>6.8999999999999999E-3</v>
      </c>
      <c r="H5717" s="2">
        <v>6.0000000000000001E-3</v>
      </c>
      <c r="J5717" s="2">
        <v>5.9999999999999995E-4</v>
      </c>
      <c r="K5717" s="2">
        <v>1.21E-2</v>
      </c>
      <c r="L5717" s="2">
        <v>5.0000000000000001E-4</v>
      </c>
      <c r="M5717" s="2">
        <v>2E-3</v>
      </c>
      <c r="N5717" s="2">
        <v>6.9999999999999999E-4</v>
      </c>
      <c r="O5717" s="2">
        <v>2.0000000000000001E-4</v>
      </c>
      <c r="P5717" s="2">
        <v>5.0000000000000001E-3</v>
      </c>
      <c r="R5717">
        <v>499</v>
      </c>
    </row>
    <row r="5718" spans="1:18" x14ac:dyDescent="0.35">
      <c r="A5718" t="s">
        <v>228</v>
      </c>
      <c r="B5718" t="s">
        <v>228</v>
      </c>
      <c r="C5718" t="s">
        <v>228</v>
      </c>
      <c r="D5718" s="2">
        <v>0.69269999999999998</v>
      </c>
      <c r="E5718" s="2">
        <v>0.186</v>
      </c>
      <c r="F5718" s="2">
        <v>4.0300000000000002E-2</v>
      </c>
      <c r="G5718" s="2">
        <v>3.09E-2</v>
      </c>
      <c r="H5718" s="2">
        <v>2.3099999999999999E-2</v>
      </c>
      <c r="I5718" s="2">
        <v>2.0899999999999998E-2</v>
      </c>
      <c r="J5718" s="2">
        <v>1.41E-2</v>
      </c>
      <c r="K5718" s="2">
        <v>1.14E-2</v>
      </c>
      <c r="L5718" s="2">
        <v>9.9000000000000008E-3</v>
      </c>
      <c r="M5718" s="2">
        <v>8.6999999999999994E-3</v>
      </c>
      <c r="N5718" s="2">
        <v>7.3000000000000001E-3</v>
      </c>
      <c r="O5718" s="2">
        <v>4.0000000000000001E-3</v>
      </c>
      <c r="P5718" s="2">
        <v>2.8999999999999998E-3</v>
      </c>
      <c r="Q5718" s="2">
        <v>2E-3</v>
      </c>
      <c r="R5718">
        <v>2578</v>
      </c>
    </row>
    <row r="5720" spans="1:18" x14ac:dyDescent="0.35">
      <c r="A5720" s="1" t="s">
        <v>1590</v>
      </c>
    </row>
    <row r="5721" spans="1:18" x14ac:dyDescent="0.35">
      <c r="A5721" t="s">
        <v>219</v>
      </c>
      <c r="B5721" t="s">
        <v>540</v>
      </c>
      <c r="C5721" t="s">
        <v>1591</v>
      </c>
      <c r="D5721" t="s">
        <v>1592</v>
      </c>
      <c r="E5721" t="s">
        <v>1593</v>
      </c>
      <c r="F5721" t="s">
        <v>1594</v>
      </c>
      <c r="G5721" t="s">
        <v>1595</v>
      </c>
      <c r="H5721" t="s">
        <v>277</v>
      </c>
      <c r="I5721" t="s">
        <v>1596</v>
      </c>
      <c r="J5721" t="s">
        <v>1597</v>
      </c>
      <c r="K5721" t="s">
        <v>1598</v>
      </c>
      <c r="L5721" t="s">
        <v>1599</v>
      </c>
      <c r="M5721" t="s">
        <v>282</v>
      </c>
      <c r="N5721" t="s">
        <v>226</v>
      </c>
    </row>
    <row r="5722" spans="1:18" x14ac:dyDescent="0.35">
      <c r="A5722" t="s">
        <v>227</v>
      </c>
      <c r="B5722" s="2">
        <v>0.80920000000000003</v>
      </c>
      <c r="C5722" s="2">
        <v>6.9000000000000006E-2</v>
      </c>
      <c r="D5722" s="2">
        <v>4.3400000000000001E-2</v>
      </c>
      <c r="E5722" s="2">
        <v>3.8899999999999997E-2</v>
      </c>
      <c r="F5722" s="2">
        <v>1.89E-2</v>
      </c>
      <c r="G5722" s="2">
        <v>1.52E-2</v>
      </c>
      <c r="H5722" s="2">
        <v>1.3100000000000001E-2</v>
      </c>
      <c r="I5722" s="2">
        <v>1.11E-2</v>
      </c>
      <c r="J5722" s="2">
        <v>7.7999999999999996E-3</v>
      </c>
      <c r="K5722" s="2">
        <v>5.7999999999999996E-3</v>
      </c>
      <c r="L5722" s="2">
        <v>2E-3</v>
      </c>
      <c r="M5722" s="2">
        <v>1.6000000000000001E-3</v>
      </c>
      <c r="N5722">
        <v>2766</v>
      </c>
    </row>
    <row r="5723" spans="1:18" x14ac:dyDescent="0.35">
      <c r="A5723" t="s">
        <v>228</v>
      </c>
      <c r="B5723" s="2">
        <v>0.80920000000000003</v>
      </c>
      <c r="C5723" s="2">
        <v>6.9000000000000006E-2</v>
      </c>
      <c r="D5723" s="2">
        <v>4.3400000000000001E-2</v>
      </c>
      <c r="E5723" s="2">
        <v>3.8899999999999997E-2</v>
      </c>
      <c r="F5723" s="2">
        <v>1.89E-2</v>
      </c>
      <c r="G5723" s="2">
        <v>1.52E-2</v>
      </c>
      <c r="H5723" s="2">
        <v>1.3100000000000001E-2</v>
      </c>
      <c r="I5723" s="2">
        <v>1.11E-2</v>
      </c>
      <c r="J5723" s="2">
        <v>7.7999999999999996E-3</v>
      </c>
      <c r="K5723" s="2">
        <v>5.7999999999999996E-3</v>
      </c>
      <c r="L5723" s="2">
        <v>2E-3</v>
      </c>
      <c r="M5723" s="2">
        <v>1.6000000000000001E-3</v>
      </c>
      <c r="N5723">
        <v>2766</v>
      </c>
    </row>
    <row r="5725" spans="1:18" x14ac:dyDescent="0.35">
      <c r="A5725" s="1" t="s">
        <v>1600</v>
      </c>
    </row>
    <row r="5726" spans="1:18" x14ac:dyDescent="0.35">
      <c r="A5726" t="s">
        <v>219</v>
      </c>
      <c r="B5726" t="s">
        <v>301</v>
      </c>
      <c r="C5726" t="s">
        <v>540</v>
      </c>
      <c r="D5726" t="s">
        <v>1591</v>
      </c>
      <c r="E5726" t="s">
        <v>1592</v>
      </c>
      <c r="F5726" t="s">
        <v>1593</v>
      </c>
      <c r="G5726" t="s">
        <v>1594</v>
      </c>
      <c r="H5726" t="s">
        <v>1595</v>
      </c>
      <c r="I5726" t="s">
        <v>277</v>
      </c>
      <c r="J5726" t="s">
        <v>1596</v>
      </c>
      <c r="K5726" t="s">
        <v>1597</v>
      </c>
      <c r="L5726" t="s">
        <v>1598</v>
      </c>
      <c r="M5726" t="s">
        <v>1599</v>
      </c>
      <c r="N5726" t="s">
        <v>282</v>
      </c>
      <c r="O5726" t="s">
        <v>226</v>
      </c>
    </row>
    <row r="5727" spans="1:18" x14ac:dyDescent="0.35">
      <c r="A5727" t="s">
        <v>227</v>
      </c>
      <c r="B5727" t="s">
        <v>238</v>
      </c>
      <c r="C5727" s="2">
        <v>0.76429999999999998</v>
      </c>
      <c r="D5727" s="2">
        <v>7.6799999999999993E-2</v>
      </c>
      <c r="E5727" s="2">
        <v>6.2600000000000003E-2</v>
      </c>
      <c r="F5727" s="2">
        <v>4.9799999999999997E-2</v>
      </c>
      <c r="G5727" s="2">
        <v>3.2899999999999999E-2</v>
      </c>
      <c r="H5727" s="2">
        <v>1.21E-2</v>
      </c>
      <c r="I5727" s="2">
        <v>1.2999999999999999E-2</v>
      </c>
      <c r="J5727" s="2">
        <v>1.6299999999999999E-2</v>
      </c>
      <c r="K5727" s="2">
        <v>1.0200000000000001E-2</v>
      </c>
      <c r="L5727" s="2">
        <v>3.8E-3</v>
      </c>
      <c r="M5727" s="2">
        <v>3.0000000000000001E-3</v>
      </c>
      <c r="N5727" s="2">
        <v>2E-3</v>
      </c>
      <c r="O5727">
        <v>982</v>
      </c>
    </row>
    <row r="5728" spans="1:18" x14ac:dyDescent="0.35">
      <c r="A5728" t="s">
        <v>227</v>
      </c>
      <c r="B5728" t="s">
        <v>237</v>
      </c>
      <c r="C5728" s="2">
        <v>0.83489999999999998</v>
      </c>
      <c r="D5728" s="2">
        <v>6.4500000000000002E-2</v>
      </c>
      <c r="E5728" s="2">
        <v>3.2300000000000002E-2</v>
      </c>
      <c r="F5728" s="2">
        <v>3.27E-2</v>
      </c>
      <c r="G5728" s="2">
        <v>1.0800000000000001E-2</v>
      </c>
      <c r="H5728" s="2">
        <v>1.7000000000000001E-2</v>
      </c>
      <c r="I5728" s="2">
        <v>1.3100000000000001E-2</v>
      </c>
      <c r="J5728" s="2">
        <v>8.2000000000000007E-3</v>
      </c>
      <c r="K5728" s="2">
        <v>6.4000000000000003E-3</v>
      </c>
      <c r="L5728" s="2">
        <v>7.0000000000000001E-3</v>
      </c>
      <c r="M5728" s="2">
        <v>1.4E-3</v>
      </c>
      <c r="N5728" s="2">
        <v>1.2999999999999999E-3</v>
      </c>
      <c r="O5728">
        <v>1784</v>
      </c>
    </row>
    <row r="5729" spans="1:15" x14ac:dyDescent="0.35">
      <c r="A5729" t="s">
        <v>228</v>
      </c>
      <c r="B5729" t="s">
        <v>228</v>
      </c>
      <c r="C5729" s="2">
        <v>0.80920000000000003</v>
      </c>
      <c r="D5729" s="2">
        <v>6.9000000000000006E-2</v>
      </c>
      <c r="E5729" s="2">
        <v>4.3400000000000001E-2</v>
      </c>
      <c r="F5729" s="2">
        <v>3.8899999999999997E-2</v>
      </c>
      <c r="G5729" s="2">
        <v>1.89E-2</v>
      </c>
      <c r="H5729" s="2">
        <v>1.52E-2</v>
      </c>
      <c r="I5729" s="2">
        <v>1.3100000000000001E-2</v>
      </c>
      <c r="J5729" s="2">
        <v>1.11E-2</v>
      </c>
      <c r="K5729" s="2">
        <v>7.7999999999999996E-3</v>
      </c>
      <c r="L5729" s="2">
        <v>5.7999999999999996E-3</v>
      </c>
      <c r="M5729" s="2">
        <v>2E-3</v>
      </c>
      <c r="N5729" s="2">
        <v>1.6000000000000001E-3</v>
      </c>
      <c r="O5729">
        <v>2766</v>
      </c>
    </row>
    <row r="5731" spans="1:15" x14ac:dyDescent="0.35">
      <c r="A5731" s="1" t="s">
        <v>1601</v>
      </c>
    </row>
    <row r="5732" spans="1:15" x14ac:dyDescent="0.35">
      <c r="A5732" t="s">
        <v>219</v>
      </c>
      <c r="B5732" t="s">
        <v>301</v>
      </c>
      <c r="C5732" t="s">
        <v>540</v>
      </c>
      <c r="D5732" t="s">
        <v>1591</v>
      </c>
      <c r="E5732" t="s">
        <v>1592</v>
      </c>
      <c r="F5732" t="s">
        <v>1593</v>
      </c>
      <c r="G5732" t="s">
        <v>1594</v>
      </c>
      <c r="H5732" t="s">
        <v>1595</v>
      </c>
      <c r="I5732" t="s">
        <v>277</v>
      </c>
      <c r="J5732" t="s">
        <v>1596</v>
      </c>
      <c r="K5732" t="s">
        <v>1597</v>
      </c>
      <c r="L5732" t="s">
        <v>1598</v>
      </c>
      <c r="M5732" t="s">
        <v>1599</v>
      </c>
      <c r="N5732" t="s">
        <v>282</v>
      </c>
      <c r="O5732" t="s">
        <v>226</v>
      </c>
    </row>
    <row r="5733" spans="1:15" x14ac:dyDescent="0.35">
      <c r="A5733" t="s">
        <v>227</v>
      </c>
      <c r="B5733" t="s">
        <v>235</v>
      </c>
      <c r="C5733" s="2">
        <v>0.82099999999999995</v>
      </c>
      <c r="D5733" s="2">
        <v>5.7700000000000001E-2</v>
      </c>
      <c r="E5733" s="2">
        <v>0.03</v>
      </c>
      <c r="F5733" s="2">
        <v>2.2100000000000002E-2</v>
      </c>
      <c r="G5733" s="2">
        <v>3.3799999999999997E-2</v>
      </c>
      <c r="H5733" s="2">
        <v>8.5000000000000006E-3</v>
      </c>
      <c r="I5733" s="2">
        <v>2.1499999999999998E-2</v>
      </c>
      <c r="J5733" s="2">
        <v>1.4800000000000001E-2</v>
      </c>
      <c r="K5733" s="2">
        <v>1.2999999999999999E-3</v>
      </c>
      <c r="L5733" s="2">
        <v>6.1999999999999998E-3</v>
      </c>
      <c r="M5733" s="2">
        <v>1.6000000000000001E-3</v>
      </c>
      <c r="N5733" s="2">
        <v>2.7000000000000001E-3</v>
      </c>
      <c r="O5733">
        <v>981</v>
      </c>
    </row>
    <row r="5734" spans="1:15" x14ac:dyDescent="0.35">
      <c r="A5734" t="s">
        <v>227</v>
      </c>
      <c r="B5734" t="s">
        <v>234</v>
      </c>
      <c r="C5734" s="2">
        <v>0.80420000000000003</v>
      </c>
      <c r="D5734" s="2">
        <v>7.3800000000000004E-2</v>
      </c>
      <c r="E5734" s="2">
        <v>4.9000000000000002E-2</v>
      </c>
      <c r="F5734" s="2">
        <v>4.5999999999999999E-2</v>
      </c>
      <c r="G5734" s="2">
        <v>1.26E-2</v>
      </c>
      <c r="H5734" s="2">
        <v>1.8100000000000002E-2</v>
      </c>
      <c r="I5734" s="2">
        <v>9.4999999999999998E-3</v>
      </c>
      <c r="J5734" s="2">
        <v>9.5999999999999992E-3</v>
      </c>
      <c r="K5734" s="2">
        <v>1.0500000000000001E-2</v>
      </c>
      <c r="L5734" s="2">
        <v>5.5999999999999999E-3</v>
      </c>
      <c r="M5734" s="2">
        <v>2.0999999999999999E-3</v>
      </c>
      <c r="N5734" s="2">
        <v>1.1000000000000001E-3</v>
      </c>
      <c r="O5734">
        <v>1785</v>
      </c>
    </row>
    <row r="5735" spans="1:15" x14ac:dyDescent="0.35">
      <c r="A5735" t="s">
        <v>228</v>
      </c>
      <c r="B5735" t="s">
        <v>228</v>
      </c>
      <c r="C5735" s="2">
        <v>0.80920000000000003</v>
      </c>
      <c r="D5735" s="2">
        <v>6.9000000000000006E-2</v>
      </c>
      <c r="E5735" s="2">
        <v>4.3400000000000001E-2</v>
      </c>
      <c r="F5735" s="2">
        <v>3.8899999999999997E-2</v>
      </c>
      <c r="G5735" s="2">
        <v>1.89E-2</v>
      </c>
      <c r="H5735" s="2">
        <v>1.52E-2</v>
      </c>
      <c r="I5735" s="2">
        <v>1.3100000000000001E-2</v>
      </c>
      <c r="J5735" s="2">
        <v>1.11E-2</v>
      </c>
      <c r="K5735" s="2">
        <v>7.7999999999999996E-3</v>
      </c>
      <c r="L5735" s="2">
        <v>5.7999999999999996E-3</v>
      </c>
      <c r="M5735" s="2">
        <v>2E-3</v>
      </c>
      <c r="N5735" s="2">
        <v>1.6000000000000001E-3</v>
      </c>
      <c r="O5735">
        <v>2766</v>
      </c>
    </row>
    <row r="5737" spans="1:15" x14ac:dyDescent="0.35">
      <c r="A5737" s="1" t="s">
        <v>1602</v>
      </c>
    </row>
    <row r="5738" spans="1:15" x14ac:dyDescent="0.35">
      <c r="A5738" t="s">
        <v>219</v>
      </c>
      <c r="B5738" t="s">
        <v>301</v>
      </c>
      <c r="C5738" t="s">
        <v>540</v>
      </c>
      <c r="D5738" t="s">
        <v>1591</v>
      </c>
      <c r="E5738" t="s">
        <v>1592</v>
      </c>
      <c r="F5738" t="s">
        <v>1593</v>
      </c>
      <c r="G5738" t="s">
        <v>1594</v>
      </c>
      <c r="H5738" t="s">
        <v>1595</v>
      </c>
      <c r="I5738" t="s">
        <v>277</v>
      </c>
      <c r="J5738" t="s">
        <v>1596</v>
      </c>
      <c r="K5738" t="s">
        <v>1597</v>
      </c>
      <c r="L5738" t="s">
        <v>1598</v>
      </c>
      <c r="M5738" t="s">
        <v>1599</v>
      </c>
      <c r="N5738" t="s">
        <v>282</v>
      </c>
      <c r="O5738" t="s">
        <v>226</v>
      </c>
    </row>
    <row r="5739" spans="1:15" x14ac:dyDescent="0.35">
      <c r="A5739" t="s">
        <v>227</v>
      </c>
      <c r="B5739" t="s">
        <v>240</v>
      </c>
      <c r="C5739" s="2">
        <v>0.79559999999999997</v>
      </c>
      <c r="D5739" s="2">
        <v>7.3400000000000007E-2</v>
      </c>
      <c r="E5739" s="2">
        <v>4.5199999999999997E-2</v>
      </c>
      <c r="F5739" s="2">
        <v>4.4299999999999999E-2</v>
      </c>
      <c r="G5739" s="2">
        <v>1.7600000000000001E-2</v>
      </c>
      <c r="H5739" s="2">
        <v>1.09E-2</v>
      </c>
      <c r="I5739" s="2">
        <v>1.41E-2</v>
      </c>
      <c r="J5739" s="2">
        <v>1.1599999999999999E-2</v>
      </c>
      <c r="K5739" s="2">
        <v>9.9000000000000008E-3</v>
      </c>
      <c r="L5739" s="2">
        <v>3.8E-3</v>
      </c>
      <c r="M5739" s="2">
        <v>2.5999999999999999E-3</v>
      </c>
      <c r="N5739" s="2">
        <v>1.1999999999999999E-3</v>
      </c>
      <c r="O5739">
        <v>1719</v>
      </c>
    </row>
    <row r="5740" spans="1:15" x14ac:dyDescent="0.35">
      <c r="A5740" t="s">
        <v>227</v>
      </c>
      <c r="B5740" t="s">
        <v>241</v>
      </c>
      <c r="C5740" s="2">
        <v>0.82489999999999997</v>
      </c>
      <c r="D5740" s="2">
        <v>6.2700000000000006E-2</v>
      </c>
      <c r="E5740" s="2">
        <v>4.3799999999999999E-2</v>
      </c>
      <c r="F5740" s="2">
        <v>2.7900000000000001E-2</v>
      </c>
      <c r="G5740" s="2">
        <v>1.78E-2</v>
      </c>
      <c r="H5740" s="2">
        <v>2.46E-2</v>
      </c>
      <c r="I5740" s="2">
        <v>1.3299999999999999E-2</v>
      </c>
      <c r="J5740" s="2">
        <v>1.0699999999999999E-2</v>
      </c>
      <c r="K5740" s="2">
        <v>2.8999999999999998E-3</v>
      </c>
      <c r="L5740" s="2">
        <v>1.1299999999999999E-2</v>
      </c>
      <c r="M5740" s="2">
        <v>1.1000000000000001E-3</v>
      </c>
      <c r="N5740" s="2">
        <v>2.7000000000000001E-3</v>
      </c>
      <c r="O5740">
        <v>882</v>
      </c>
    </row>
    <row r="5741" spans="1:15" x14ac:dyDescent="0.35">
      <c r="A5741" t="s">
        <v>227</v>
      </c>
      <c r="B5741" t="s">
        <v>242</v>
      </c>
      <c r="C5741" s="2">
        <v>0.8679</v>
      </c>
      <c r="D5741" s="2">
        <v>5.5800000000000002E-2</v>
      </c>
      <c r="E5741" s="2">
        <v>2.3400000000000001E-2</v>
      </c>
      <c r="F5741" s="2">
        <v>3.7199999999999997E-2</v>
      </c>
      <c r="G5741" s="2">
        <v>3.56E-2</v>
      </c>
      <c r="H5741" s="2">
        <v>1.4800000000000001E-2</v>
      </c>
      <c r="I5741" s="2">
        <v>2.8E-3</v>
      </c>
      <c r="J5741" s="2">
        <v>8.9999999999999993E-3</v>
      </c>
      <c r="K5741" s="2">
        <v>1.01E-2</v>
      </c>
      <c r="M5741" s="2">
        <v>4.0000000000000002E-4</v>
      </c>
      <c r="O5741">
        <v>165</v>
      </c>
    </row>
    <row r="5742" spans="1:15" x14ac:dyDescent="0.35">
      <c r="A5742" t="s">
        <v>228</v>
      </c>
      <c r="B5742" t="s">
        <v>228</v>
      </c>
      <c r="C5742" s="2">
        <v>0.80920000000000003</v>
      </c>
      <c r="D5742" s="2">
        <v>6.9000000000000006E-2</v>
      </c>
      <c r="E5742" s="2">
        <v>4.3400000000000001E-2</v>
      </c>
      <c r="F5742" s="2">
        <v>3.8899999999999997E-2</v>
      </c>
      <c r="G5742" s="2">
        <v>1.89E-2</v>
      </c>
      <c r="H5742" s="2">
        <v>1.52E-2</v>
      </c>
      <c r="I5742" s="2">
        <v>1.3100000000000001E-2</v>
      </c>
      <c r="J5742" s="2">
        <v>1.11E-2</v>
      </c>
      <c r="K5742" s="2">
        <v>7.7999999999999996E-3</v>
      </c>
      <c r="L5742" s="2">
        <v>5.7999999999999996E-3</v>
      </c>
      <c r="M5742" s="2">
        <v>2E-3</v>
      </c>
      <c r="N5742" s="2">
        <v>1.6000000000000001E-3</v>
      </c>
      <c r="O5742">
        <v>2766</v>
      </c>
    </row>
    <row r="5744" spans="1:15" x14ac:dyDescent="0.35">
      <c r="A5744" s="1" t="s">
        <v>1603</v>
      </c>
    </row>
    <row r="5745" spans="1:15" x14ac:dyDescent="0.35">
      <c r="A5745" t="s">
        <v>219</v>
      </c>
      <c r="B5745" t="s">
        <v>301</v>
      </c>
      <c r="C5745" t="s">
        <v>540</v>
      </c>
      <c r="D5745" t="s">
        <v>1591</v>
      </c>
      <c r="E5745" t="s">
        <v>1592</v>
      </c>
      <c r="F5745" t="s">
        <v>1593</v>
      </c>
      <c r="G5745" t="s">
        <v>1594</v>
      </c>
      <c r="H5745" t="s">
        <v>1595</v>
      </c>
      <c r="I5745" t="s">
        <v>277</v>
      </c>
      <c r="J5745" t="s">
        <v>1596</v>
      </c>
      <c r="K5745" t="s">
        <v>1597</v>
      </c>
      <c r="L5745" t="s">
        <v>1598</v>
      </c>
      <c r="M5745" t="s">
        <v>1599</v>
      </c>
      <c r="N5745" t="s">
        <v>282</v>
      </c>
      <c r="O5745" t="s">
        <v>226</v>
      </c>
    </row>
    <row r="5746" spans="1:15" x14ac:dyDescent="0.35">
      <c r="A5746" t="s">
        <v>227</v>
      </c>
      <c r="B5746" t="s">
        <v>334</v>
      </c>
      <c r="C5746" s="2">
        <v>0.80569999999999997</v>
      </c>
      <c r="D5746" s="2">
        <v>7.1199999999999999E-2</v>
      </c>
      <c r="E5746" s="2">
        <v>5.0900000000000001E-2</v>
      </c>
      <c r="F5746" s="2">
        <v>2.8000000000000001E-2</v>
      </c>
      <c r="G5746" s="2">
        <v>2.5100000000000001E-2</v>
      </c>
      <c r="H5746" s="2">
        <v>1.06E-2</v>
      </c>
      <c r="I5746" s="2">
        <v>7.4999999999999997E-3</v>
      </c>
      <c r="J5746" s="2">
        <v>1.49E-2</v>
      </c>
      <c r="K5746" s="2">
        <v>8.8000000000000005E-3</v>
      </c>
      <c r="L5746" s="2">
        <v>3.0999999999999999E-3</v>
      </c>
      <c r="M5746" s="2">
        <v>2E-3</v>
      </c>
      <c r="N5746" s="2">
        <v>3.5000000000000001E-3</v>
      </c>
      <c r="O5746">
        <v>616</v>
      </c>
    </row>
    <row r="5747" spans="1:15" x14ac:dyDescent="0.35">
      <c r="A5747" t="s">
        <v>227</v>
      </c>
      <c r="B5747" t="s">
        <v>335</v>
      </c>
      <c r="C5747" s="2">
        <v>0.8538</v>
      </c>
      <c r="D5747" s="2">
        <v>5.5899999999999998E-2</v>
      </c>
      <c r="E5747" s="2">
        <v>2.1600000000000001E-2</v>
      </c>
      <c r="F5747" s="2">
        <v>3.0499999999999999E-2</v>
      </c>
      <c r="G5747" s="2">
        <v>1.3100000000000001E-2</v>
      </c>
      <c r="H5747" s="2">
        <v>1.4E-2</v>
      </c>
      <c r="I5747" s="2">
        <v>1.15E-2</v>
      </c>
      <c r="J5747" s="2">
        <v>5.0000000000000001E-3</v>
      </c>
      <c r="K5747" s="2">
        <v>9.1000000000000004E-3</v>
      </c>
      <c r="L5747" s="2">
        <v>1.15E-2</v>
      </c>
      <c r="M5747" s="2">
        <v>3.8999999999999998E-3</v>
      </c>
      <c r="O5747">
        <v>616</v>
      </c>
    </row>
    <row r="5748" spans="1:15" x14ac:dyDescent="0.35">
      <c r="A5748" t="s">
        <v>227</v>
      </c>
      <c r="B5748" t="s">
        <v>336</v>
      </c>
      <c r="C5748" s="2">
        <v>0.79469999999999996</v>
      </c>
      <c r="D5748" s="2">
        <v>7.6499999999999999E-2</v>
      </c>
      <c r="E5748" s="2">
        <v>5.3800000000000001E-2</v>
      </c>
      <c r="F5748" s="2">
        <v>5.04E-2</v>
      </c>
      <c r="G5748" s="2">
        <v>2.46E-2</v>
      </c>
      <c r="H5748" s="2">
        <v>2.2599999999999999E-2</v>
      </c>
      <c r="I5748" s="2">
        <v>7.3000000000000001E-3</v>
      </c>
      <c r="J5748" s="2">
        <v>2.0199999999999999E-2</v>
      </c>
      <c r="K5748" s="2">
        <v>6.0000000000000001E-3</v>
      </c>
      <c r="O5748">
        <v>612</v>
      </c>
    </row>
    <row r="5749" spans="1:15" x14ac:dyDescent="0.35">
      <c r="A5749" t="s">
        <v>227</v>
      </c>
      <c r="B5749" t="s">
        <v>337</v>
      </c>
      <c r="C5749" s="2">
        <v>0.76980000000000004</v>
      </c>
      <c r="D5749" s="2">
        <v>7.2099999999999997E-2</v>
      </c>
      <c r="E5749" s="2">
        <v>6.1899999999999997E-2</v>
      </c>
      <c r="F5749" s="2">
        <v>6.4600000000000005E-2</v>
      </c>
      <c r="G5749" s="2">
        <v>1.9400000000000001E-2</v>
      </c>
      <c r="H5749" s="2">
        <v>1.6799999999999999E-2</v>
      </c>
      <c r="I5749" s="2">
        <v>1.7600000000000001E-2</v>
      </c>
      <c r="J5749" s="2">
        <v>8.9999999999999993E-3</v>
      </c>
      <c r="K5749" s="2">
        <v>8.9999999999999993E-3</v>
      </c>
      <c r="L5749" s="2">
        <v>4.0000000000000002E-4</v>
      </c>
      <c r="M5749" s="2">
        <v>1.2999999999999999E-3</v>
      </c>
      <c r="O5749">
        <v>592</v>
      </c>
    </row>
    <row r="5750" spans="1:15" x14ac:dyDescent="0.35">
      <c r="A5750" t="s">
        <v>228</v>
      </c>
      <c r="B5750" t="s">
        <v>228</v>
      </c>
      <c r="C5750" s="2">
        <v>0.80920000000000003</v>
      </c>
      <c r="D5750" s="2">
        <v>6.9000000000000006E-2</v>
      </c>
      <c r="E5750" s="2">
        <v>4.3400000000000001E-2</v>
      </c>
      <c r="F5750" s="2">
        <v>3.8899999999999997E-2</v>
      </c>
      <c r="G5750" s="2">
        <v>1.89E-2</v>
      </c>
      <c r="H5750" s="2">
        <v>1.52E-2</v>
      </c>
      <c r="I5750" s="2">
        <v>1.3100000000000001E-2</v>
      </c>
      <c r="J5750" s="2">
        <v>1.11E-2</v>
      </c>
      <c r="K5750" s="2">
        <v>7.7999999999999996E-3</v>
      </c>
      <c r="L5750" s="2">
        <v>5.7999999999999996E-3</v>
      </c>
      <c r="M5750" s="2">
        <v>2E-3</v>
      </c>
      <c r="N5750" s="2">
        <v>1.6000000000000001E-3</v>
      </c>
      <c r="O5750">
        <v>2436</v>
      </c>
    </row>
    <row r="5752" spans="1:15" x14ac:dyDescent="0.35">
      <c r="A5752" s="1" t="s">
        <v>1604</v>
      </c>
    </row>
    <row r="5753" spans="1:15" x14ac:dyDescent="0.35">
      <c r="A5753" t="s">
        <v>219</v>
      </c>
      <c r="B5753" t="s">
        <v>301</v>
      </c>
      <c r="C5753" t="s">
        <v>540</v>
      </c>
      <c r="D5753" t="s">
        <v>1591</v>
      </c>
      <c r="E5753" t="s">
        <v>1592</v>
      </c>
      <c r="F5753" t="s">
        <v>1593</v>
      </c>
      <c r="G5753" t="s">
        <v>1594</v>
      </c>
      <c r="H5753" t="s">
        <v>1595</v>
      </c>
      <c r="I5753" t="s">
        <v>277</v>
      </c>
      <c r="J5753" t="s">
        <v>1596</v>
      </c>
      <c r="K5753" t="s">
        <v>1597</v>
      </c>
      <c r="L5753" t="s">
        <v>1598</v>
      </c>
      <c r="M5753" t="s">
        <v>1599</v>
      </c>
      <c r="N5753" t="s">
        <v>282</v>
      </c>
      <c r="O5753" t="s">
        <v>226</v>
      </c>
    </row>
    <row r="5754" spans="1:15" x14ac:dyDescent="0.35">
      <c r="A5754" t="s">
        <v>227</v>
      </c>
      <c r="B5754" t="s">
        <v>263</v>
      </c>
      <c r="C5754" s="2">
        <v>0.82399999999999995</v>
      </c>
      <c r="D5754" s="2">
        <v>6.0400000000000002E-2</v>
      </c>
      <c r="E5754" s="2">
        <v>2.7199999999999998E-2</v>
      </c>
      <c r="F5754" s="2">
        <v>3.7999999999999999E-2</v>
      </c>
      <c r="G5754" s="2">
        <v>1.15E-2</v>
      </c>
      <c r="H5754" s="2">
        <v>1.7000000000000001E-2</v>
      </c>
      <c r="I5754" s="2">
        <v>2.24E-2</v>
      </c>
      <c r="J5754" s="2">
        <v>8.0000000000000004E-4</v>
      </c>
      <c r="K5754" s="2">
        <v>1.1599999999999999E-2</v>
      </c>
      <c r="L5754" s="2">
        <v>1.23E-2</v>
      </c>
      <c r="M5754" s="2">
        <v>1.2999999999999999E-3</v>
      </c>
      <c r="O5754">
        <v>583</v>
      </c>
    </row>
    <row r="5755" spans="1:15" x14ac:dyDescent="0.35">
      <c r="A5755" t="s">
        <v>227</v>
      </c>
      <c r="B5755" t="s">
        <v>262</v>
      </c>
      <c r="C5755" s="2">
        <v>0.79730000000000001</v>
      </c>
      <c r="D5755" s="2">
        <v>6.8000000000000005E-2</v>
      </c>
      <c r="E5755" s="2">
        <v>6.4000000000000001E-2</v>
      </c>
      <c r="F5755" s="2">
        <v>4.8500000000000001E-2</v>
      </c>
      <c r="G5755" s="2">
        <v>2.1600000000000001E-2</v>
      </c>
      <c r="H5755" s="2">
        <v>1.8499999999999999E-2</v>
      </c>
      <c r="I5755" s="2">
        <v>1.1299999999999999E-2</v>
      </c>
      <c r="J5755" s="2">
        <v>1.04E-2</v>
      </c>
      <c r="K5755" s="2">
        <v>4.7000000000000002E-3</v>
      </c>
      <c r="L5755" s="2">
        <v>2.5000000000000001E-3</v>
      </c>
      <c r="M5755" s="2">
        <v>1.8E-3</v>
      </c>
      <c r="N5755" s="2">
        <v>2.2000000000000001E-3</v>
      </c>
      <c r="O5755">
        <v>1142</v>
      </c>
    </row>
    <row r="5756" spans="1:15" x14ac:dyDescent="0.35">
      <c r="A5756" t="s">
        <v>227</v>
      </c>
      <c r="B5756" t="s">
        <v>261</v>
      </c>
      <c r="C5756" s="2">
        <v>0.81310000000000004</v>
      </c>
      <c r="D5756" s="2">
        <v>7.2800000000000004E-2</v>
      </c>
      <c r="E5756" s="2">
        <v>3.3700000000000001E-2</v>
      </c>
      <c r="F5756" s="2">
        <v>3.1300000000000001E-2</v>
      </c>
      <c r="G5756" s="2">
        <v>2.0199999999999999E-2</v>
      </c>
      <c r="H5756" s="2">
        <v>1.1599999999999999E-2</v>
      </c>
      <c r="I5756" s="2">
        <v>1.01E-2</v>
      </c>
      <c r="J5756" s="2">
        <v>1.7000000000000001E-2</v>
      </c>
      <c r="K5756" s="2">
        <v>8.6E-3</v>
      </c>
      <c r="L5756" s="2">
        <v>5.4000000000000003E-3</v>
      </c>
      <c r="M5756" s="2">
        <v>2.5000000000000001E-3</v>
      </c>
      <c r="N5756" s="2">
        <v>1.8E-3</v>
      </c>
      <c r="O5756">
        <v>1039</v>
      </c>
    </row>
    <row r="5757" spans="1:15" x14ac:dyDescent="0.35">
      <c r="A5757" s="3" t="s">
        <v>227</v>
      </c>
      <c r="B5757" s="3" t="s">
        <v>232</v>
      </c>
      <c r="C5757" s="4">
        <v>0.5</v>
      </c>
      <c r="D5757" s="4">
        <v>0.5</v>
      </c>
      <c r="E5757" s="5"/>
      <c r="F5757" s="5"/>
      <c r="G5757" s="5"/>
      <c r="H5757" s="5"/>
      <c r="I5757" s="5"/>
      <c r="J5757" s="5"/>
      <c r="K5757" s="5"/>
      <c r="L5757" s="5"/>
      <c r="M5757" s="5"/>
      <c r="N5757" s="5"/>
      <c r="O5757" s="5" t="s">
        <v>434</v>
      </c>
    </row>
    <row r="5758" spans="1:15" x14ac:dyDescent="0.35">
      <c r="A5758" t="s">
        <v>228</v>
      </c>
      <c r="B5758" t="s">
        <v>228</v>
      </c>
      <c r="C5758" s="2">
        <v>0.80920000000000003</v>
      </c>
      <c r="D5758" s="2">
        <v>6.9000000000000006E-2</v>
      </c>
      <c r="E5758" s="2">
        <v>4.3400000000000001E-2</v>
      </c>
      <c r="F5758" s="2">
        <v>3.8899999999999997E-2</v>
      </c>
      <c r="G5758" s="2">
        <v>1.89E-2</v>
      </c>
      <c r="H5758" s="2">
        <v>1.52E-2</v>
      </c>
      <c r="I5758" s="2">
        <v>1.3100000000000001E-2</v>
      </c>
      <c r="J5758" s="2">
        <v>1.11E-2</v>
      </c>
      <c r="K5758" s="2">
        <v>7.7999999999999996E-3</v>
      </c>
      <c r="L5758" s="2">
        <v>5.7999999999999996E-3</v>
      </c>
      <c r="M5758" s="2">
        <v>2E-3</v>
      </c>
      <c r="N5758" s="2">
        <v>1.6000000000000001E-3</v>
      </c>
      <c r="O5758">
        <v>2766</v>
      </c>
    </row>
    <row r="5760" spans="1:15" x14ac:dyDescent="0.35">
      <c r="A5760" s="1" t="s">
        <v>1605</v>
      </c>
    </row>
    <row r="5761" spans="1:15" x14ac:dyDescent="0.35">
      <c r="A5761" t="s">
        <v>219</v>
      </c>
      <c r="B5761" t="s">
        <v>301</v>
      </c>
      <c r="C5761" t="s">
        <v>540</v>
      </c>
      <c r="D5761" t="s">
        <v>1591</v>
      </c>
      <c r="E5761" t="s">
        <v>1592</v>
      </c>
      <c r="F5761" t="s">
        <v>1593</v>
      </c>
      <c r="G5761" t="s">
        <v>1594</v>
      </c>
      <c r="H5761" t="s">
        <v>1595</v>
      </c>
      <c r="I5761" t="s">
        <v>277</v>
      </c>
      <c r="J5761" t="s">
        <v>1596</v>
      </c>
      <c r="K5761" t="s">
        <v>1597</v>
      </c>
      <c r="L5761" t="s">
        <v>1598</v>
      </c>
      <c r="M5761" t="s">
        <v>1599</v>
      </c>
      <c r="N5761" t="s">
        <v>282</v>
      </c>
      <c r="O5761" t="s">
        <v>226</v>
      </c>
    </row>
    <row r="5762" spans="1:15" x14ac:dyDescent="0.35">
      <c r="A5762" t="s">
        <v>227</v>
      </c>
      <c r="B5762" t="s">
        <v>248</v>
      </c>
      <c r="C5762" s="2">
        <v>0.75180000000000002</v>
      </c>
      <c r="D5762" s="2">
        <v>8.7400000000000005E-2</v>
      </c>
      <c r="E5762" s="2">
        <v>7.1099999999999997E-2</v>
      </c>
      <c r="F5762" s="2">
        <v>6.1199999999999997E-2</v>
      </c>
      <c r="G5762" s="2">
        <v>1.9699999999999999E-2</v>
      </c>
      <c r="H5762" s="2">
        <v>1.52E-2</v>
      </c>
      <c r="I5762" s="2">
        <v>1.37E-2</v>
      </c>
      <c r="J5762" s="2">
        <v>1.11E-2</v>
      </c>
      <c r="K5762" s="2">
        <v>2E-3</v>
      </c>
      <c r="L5762" s="2">
        <v>6.1000000000000004E-3</v>
      </c>
      <c r="M5762" s="2">
        <v>2.0000000000000001E-4</v>
      </c>
      <c r="N5762" s="2">
        <v>2.5999999999999999E-3</v>
      </c>
      <c r="O5762">
        <v>791</v>
      </c>
    </row>
    <row r="5763" spans="1:15" x14ac:dyDescent="0.35">
      <c r="A5763" t="s">
        <v>227</v>
      </c>
      <c r="B5763" t="s">
        <v>249</v>
      </c>
      <c r="C5763" s="2">
        <v>0.80149999999999999</v>
      </c>
      <c r="D5763" s="2">
        <v>5.6399999999999999E-2</v>
      </c>
      <c r="E5763" s="2">
        <v>4.9799999999999997E-2</v>
      </c>
      <c r="F5763" s="2">
        <v>3.7999999999999999E-2</v>
      </c>
      <c r="G5763" s="2">
        <v>3.5299999999999998E-2</v>
      </c>
      <c r="H5763" s="2">
        <v>1.1299999999999999E-2</v>
      </c>
      <c r="I5763" s="2">
        <v>1.9199999999999998E-2</v>
      </c>
      <c r="J5763" s="2">
        <v>1.6400000000000001E-2</v>
      </c>
      <c r="K5763" s="2">
        <v>8.3999999999999995E-3</v>
      </c>
      <c r="L5763" s="2">
        <v>3.3999999999999998E-3</v>
      </c>
      <c r="M5763" s="2">
        <v>4.7999999999999996E-3</v>
      </c>
      <c r="O5763">
        <v>527</v>
      </c>
    </row>
    <row r="5764" spans="1:15" x14ac:dyDescent="0.35">
      <c r="A5764" t="s">
        <v>227</v>
      </c>
      <c r="B5764" t="s">
        <v>247</v>
      </c>
      <c r="C5764" s="2">
        <v>0.84199999999999997</v>
      </c>
      <c r="D5764" s="2">
        <v>6.3799999999999996E-2</v>
      </c>
      <c r="E5764" s="2">
        <v>2.6499999999999999E-2</v>
      </c>
      <c r="F5764" s="2">
        <v>2.76E-2</v>
      </c>
      <c r="G5764" s="2">
        <v>1.26E-2</v>
      </c>
      <c r="H5764" s="2">
        <v>1.66E-2</v>
      </c>
      <c r="I5764" s="2">
        <v>1.06E-2</v>
      </c>
      <c r="J5764" s="2">
        <v>9.2999999999999992E-3</v>
      </c>
      <c r="K5764" s="2">
        <v>1.06E-2</v>
      </c>
      <c r="L5764" s="2">
        <v>6.4999999999999997E-3</v>
      </c>
      <c r="M5764" s="2">
        <v>1.9E-3</v>
      </c>
      <c r="N5764" s="2">
        <v>1.5E-3</v>
      </c>
      <c r="O5764">
        <v>1448</v>
      </c>
    </row>
    <row r="5765" spans="1:15" x14ac:dyDescent="0.35">
      <c r="A5765" t="s">
        <v>228</v>
      </c>
      <c r="B5765" t="s">
        <v>228</v>
      </c>
      <c r="C5765" s="2">
        <v>0.80920000000000003</v>
      </c>
      <c r="D5765" s="2">
        <v>6.9000000000000006E-2</v>
      </c>
      <c r="E5765" s="2">
        <v>4.3400000000000001E-2</v>
      </c>
      <c r="F5765" s="2">
        <v>3.8899999999999997E-2</v>
      </c>
      <c r="G5765" s="2">
        <v>1.89E-2</v>
      </c>
      <c r="H5765" s="2">
        <v>1.52E-2</v>
      </c>
      <c r="I5765" s="2">
        <v>1.3100000000000001E-2</v>
      </c>
      <c r="J5765" s="2">
        <v>1.11E-2</v>
      </c>
      <c r="K5765" s="2">
        <v>7.7999999999999996E-3</v>
      </c>
      <c r="L5765" s="2">
        <v>5.7999999999999996E-3</v>
      </c>
      <c r="M5765" s="2">
        <v>2E-3</v>
      </c>
      <c r="N5765" s="2">
        <v>1.6000000000000001E-3</v>
      </c>
      <c r="O5765">
        <v>2766</v>
      </c>
    </row>
    <row r="5767" spans="1:15" x14ac:dyDescent="0.35">
      <c r="A5767" s="1" t="s">
        <v>1606</v>
      </c>
    </row>
    <row r="5768" spans="1:15" x14ac:dyDescent="0.35">
      <c r="A5768" t="s">
        <v>219</v>
      </c>
      <c r="B5768" t="s">
        <v>301</v>
      </c>
      <c r="C5768" t="s">
        <v>540</v>
      </c>
      <c r="D5768" t="s">
        <v>1591</v>
      </c>
      <c r="E5768" t="s">
        <v>1592</v>
      </c>
      <c r="F5768" t="s">
        <v>1593</v>
      </c>
      <c r="G5768" t="s">
        <v>1594</v>
      </c>
      <c r="H5768" t="s">
        <v>1595</v>
      </c>
      <c r="I5768" t="s">
        <v>277</v>
      </c>
      <c r="J5768" t="s">
        <v>1596</v>
      </c>
      <c r="K5768" t="s">
        <v>1597</v>
      </c>
      <c r="L5768" t="s">
        <v>1598</v>
      </c>
      <c r="M5768" t="s">
        <v>1599</v>
      </c>
      <c r="N5768" t="s">
        <v>282</v>
      </c>
      <c r="O5768" t="s">
        <v>226</v>
      </c>
    </row>
    <row r="5769" spans="1:15" x14ac:dyDescent="0.35">
      <c r="A5769" t="s">
        <v>227</v>
      </c>
      <c r="B5769" t="s">
        <v>245</v>
      </c>
      <c r="C5769" s="2">
        <v>0.83209999999999995</v>
      </c>
      <c r="D5769" s="2">
        <v>6.1100000000000002E-2</v>
      </c>
      <c r="E5769" s="2">
        <v>4.3700000000000003E-2</v>
      </c>
      <c r="F5769" s="2">
        <v>2.2100000000000002E-2</v>
      </c>
      <c r="G5769" s="2">
        <v>1.34E-2</v>
      </c>
      <c r="H5769" s="2">
        <v>9.4999999999999998E-3</v>
      </c>
      <c r="I5769" s="2">
        <v>1.2200000000000001E-2</v>
      </c>
      <c r="J5769" s="2">
        <v>1.03E-2</v>
      </c>
      <c r="K5769" s="2">
        <v>1.54E-2</v>
      </c>
      <c r="L5769" s="2">
        <v>5.0000000000000001E-4</v>
      </c>
      <c r="M5769" s="2">
        <v>2E-3</v>
      </c>
      <c r="N5769" s="2">
        <v>2.3E-3</v>
      </c>
      <c r="O5769">
        <v>766</v>
      </c>
    </row>
    <row r="5770" spans="1:15" x14ac:dyDescent="0.35">
      <c r="A5770" t="s">
        <v>227</v>
      </c>
      <c r="B5770" t="s">
        <v>244</v>
      </c>
      <c r="C5770" s="2">
        <v>0.80020000000000002</v>
      </c>
      <c r="D5770" s="2">
        <v>7.2099999999999997E-2</v>
      </c>
      <c r="E5770" s="2">
        <v>4.3200000000000002E-2</v>
      </c>
      <c r="F5770" s="2">
        <v>4.5499999999999999E-2</v>
      </c>
      <c r="G5770" s="2">
        <v>2.1000000000000001E-2</v>
      </c>
      <c r="H5770" s="2">
        <v>1.7500000000000002E-2</v>
      </c>
      <c r="I5770" s="2">
        <v>1.35E-2</v>
      </c>
      <c r="J5770" s="2">
        <v>1.15E-2</v>
      </c>
      <c r="K5770" s="2">
        <v>4.7999999999999996E-3</v>
      </c>
      <c r="L5770" s="2">
        <v>7.9000000000000008E-3</v>
      </c>
      <c r="M5770" s="2">
        <v>2E-3</v>
      </c>
      <c r="N5770" s="2">
        <v>1.1999999999999999E-3</v>
      </c>
      <c r="O5770">
        <v>2000</v>
      </c>
    </row>
    <row r="5771" spans="1:15" x14ac:dyDescent="0.35">
      <c r="A5771" t="s">
        <v>228</v>
      </c>
      <c r="B5771" t="s">
        <v>228</v>
      </c>
      <c r="C5771" s="2">
        <v>0.80920000000000003</v>
      </c>
      <c r="D5771" s="2">
        <v>6.9000000000000006E-2</v>
      </c>
      <c r="E5771" s="2">
        <v>4.3400000000000001E-2</v>
      </c>
      <c r="F5771" s="2">
        <v>3.8899999999999997E-2</v>
      </c>
      <c r="G5771" s="2">
        <v>1.89E-2</v>
      </c>
      <c r="H5771" s="2">
        <v>1.52E-2</v>
      </c>
      <c r="I5771" s="2">
        <v>1.3100000000000001E-2</v>
      </c>
      <c r="J5771" s="2">
        <v>1.11E-2</v>
      </c>
      <c r="K5771" s="2">
        <v>7.7999999999999996E-3</v>
      </c>
      <c r="L5771" s="2">
        <v>5.7999999999999996E-3</v>
      </c>
      <c r="M5771" s="2">
        <v>2E-3</v>
      </c>
      <c r="N5771" s="2">
        <v>1.6000000000000001E-3</v>
      </c>
      <c r="O5771">
        <v>2766</v>
      </c>
    </row>
    <row r="5773" spans="1:15" x14ac:dyDescent="0.35">
      <c r="A5773" s="1" t="s">
        <v>1607</v>
      </c>
    </row>
    <row r="5774" spans="1:15" x14ac:dyDescent="0.35">
      <c r="A5774" t="s">
        <v>219</v>
      </c>
      <c r="B5774" t="s">
        <v>301</v>
      </c>
      <c r="C5774" t="s">
        <v>540</v>
      </c>
      <c r="D5774" t="s">
        <v>1591</v>
      </c>
      <c r="E5774" t="s">
        <v>1592</v>
      </c>
      <c r="F5774" t="s">
        <v>1593</v>
      </c>
      <c r="G5774" t="s">
        <v>1594</v>
      </c>
      <c r="H5774" t="s">
        <v>1595</v>
      </c>
      <c r="I5774" t="s">
        <v>277</v>
      </c>
      <c r="J5774" t="s">
        <v>1596</v>
      </c>
      <c r="K5774" t="s">
        <v>1597</v>
      </c>
      <c r="L5774" t="s">
        <v>1598</v>
      </c>
      <c r="M5774" t="s">
        <v>1599</v>
      </c>
      <c r="N5774" t="s">
        <v>282</v>
      </c>
      <c r="O5774" t="s">
        <v>226</v>
      </c>
    </row>
    <row r="5775" spans="1:15" x14ac:dyDescent="0.35">
      <c r="A5775" t="s">
        <v>227</v>
      </c>
      <c r="B5775" t="s">
        <v>259</v>
      </c>
      <c r="C5775" s="2">
        <v>0.68100000000000005</v>
      </c>
      <c r="D5775" s="2">
        <v>0.15540000000000001</v>
      </c>
      <c r="E5775" s="2">
        <v>0.1399</v>
      </c>
      <c r="F5775" s="2">
        <v>6.2300000000000001E-2</v>
      </c>
      <c r="G5775" s="2">
        <v>8.0999999999999996E-3</v>
      </c>
      <c r="H5775" s="2">
        <v>1.7500000000000002E-2</v>
      </c>
      <c r="I5775" s="2">
        <v>6.4000000000000003E-3</v>
      </c>
      <c r="J5775" s="2">
        <v>1.6000000000000001E-3</v>
      </c>
      <c r="K5775" s="2">
        <v>1.6000000000000001E-3</v>
      </c>
      <c r="O5775">
        <v>67</v>
      </c>
    </row>
    <row r="5776" spans="1:15" x14ac:dyDescent="0.35">
      <c r="A5776" t="s">
        <v>227</v>
      </c>
      <c r="B5776" t="s">
        <v>257</v>
      </c>
      <c r="C5776" s="2">
        <v>0.3342</v>
      </c>
      <c r="D5776" s="2">
        <v>0.21010000000000001</v>
      </c>
      <c r="E5776" s="2">
        <v>0.23769999999999999</v>
      </c>
      <c r="F5776" s="2">
        <v>0.19670000000000001</v>
      </c>
      <c r="G5776" s="2">
        <v>2.1600000000000001E-2</v>
      </c>
      <c r="H5776" s="2">
        <v>4.58E-2</v>
      </c>
      <c r="I5776" s="2">
        <v>2.4E-2</v>
      </c>
      <c r="J5776" s="2">
        <v>5.2900000000000003E-2</v>
      </c>
      <c r="K5776" s="2">
        <v>1.6799999999999999E-2</v>
      </c>
      <c r="L5776" s="2">
        <v>2.4799999999999999E-2</v>
      </c>
      <c r="M5776" s="2">
        <v>7.1000000000000004E-3</v>
      </c>
      <c r="N5776" s="2">
        <v>3.8999999999999998E-3</v>
      </c>
      <c r="O5776">
        <v>400</v>
      </c>
    </row>
    <row r="5777" spans="1:15" x14ac:dyDescent="0.35">
      <c r="A5777" t="s">
        <v>227</v>
      </c>
      <c r="B5777" t="s">
        <v>256</v>
      </c>
      <c r="C5777" s="2">
        <v>0.92659999999999998</v>
      </c>
      <c r="D5777" s="2">
        <v>2.3300000000000001E-2</v>
      </c>
      <c r="E5777" s="2">
        <v>5.0000000000000001E-4</v>
      </c>
      <c r="F5777" s="2">
        <v>4.8999999999999998E-3</v>
      </c>
      <c r="G5777" s="2">
        <v>1.8599999999999998E-2</v>
      </c>
      <c r="H5777" s="2">
        <v>4.7000000000000002E-3</v>
      </c>
      <c r="I5777" s="2">
        <v>1.1900000000000001E-2</v>
      </c>
      <c r="J5777" s="2">
        <v>3.0000000000000001E-3</v>
      </c>
      <c r="K5777" s="2">
        <v>5.5999999999999999E-3</v>
      </c>
      <c r="L5777" s="2">
        <v>8.9999999999999998E-4</v>
      </c>
      <c r="M5777" s="2">
        <v>1.1000000000000001E-3</v>
      </c>
      <c r="N5777" s="2">
        <v>1.1999999999999999E-3</v>
      </c>
      <c r="O5777">
        <v>1774</v>
      </c>
    </row>
    <row r="5778" spans="1:15" x14ac:dyDescent="0.35">
      <c r="A5778" s="3" t="s">
        <v>227</v>
      </c>
      <c r="B5778" s="3" t="s">
        <v>232</v>
      </c>
      <c r="C5778" s="4">
        <v>0.66839999999999999</v>
      </c>
      <c r="D5778" s="4">
        <v>0.33160000000000001</v>
      </c>
      <c r="E5778" s="5"/>
      <c r="F5778" s="5"/>
      <c r="G5778" s="5"/>
      <c r="H5778" s="5"/>
      <c r="I5778" s="5"/>
      <c r="J5778" s="5"/>
      <c r="K5778" s="5"/>
      <c r="L5778" s="5"/>
      <c r="M5778" s="5"/>
      <c r="N5778" s="5"/>
      <c r="O5778" s="5" t="s">
        <v>606</v>
      </c>
    </row>
    <row r="5779" spans="1:15" x14ac:dyDescent="0.35">
      <c r="A5779" t="s">
        <v>227</v>
      </c>
      <c r="B5779" t="s">
        <v>258</v>
      </c>
      <c r="C5779" s="2">
        <v>0.84360000000000002</v>
      </c>
      <c r="D5779" s="2">
        <v>9.8900000000000002E-2</v>
      </c>
      <c r="E5779" s="2">
        <v>2.5000000000000001E-3</v>
      </c>
      <c r="F5779" s="2">
        <v>8.3999999999999995E-3</v>
      </c>
      <c r="G5779" s="2">
        <v>1.8599999999999998E-2</v>
      </c>
      <c r="H5779" s="2">
        <v>2.75E-2</v>
      </c>
      <c r="I5779" s="2">
        <v>7.0000000000000001E-3</v>
      </c>
      <c r="J5779" s="2">
        <v>8.0000000000000004E-4</v>
      </c>
      <c r="K5779" s="2">
        <v>8.0000000000000002E-3</v>
      </c>
      <c r="L5779" s="2">
        <v>6.4999999999999997E-3</v>
      </c>
      <c r="M5779" s="2">
        <v>2.0000000000000001E-4</v>
      </c>
      <c r="N5779" s="2">
        <v>5.9999999999999995E-4</v>
      </c>
      <c r="O5779">
        <v>515</v>
      </c>
    </row>
    <row r="5780" spans="1:15" x14ac:dyDescent="0.35">
      <c r="A5780" t="s">
        <v>228</v>
      </c>
      <c r="B5780" t="s">
        <v>228</v>
      </c>
      <c r="C5780" s="2">
        <v>0.80920000000000003</v>
      </c>
      <c r="D5780" s="2">
        <v>6.9000000000000006E-2</v>
      </c>
      <c r="E5780" s="2">
        <v>4.3400000000000001E-2</v>
      </c>
      <c r="F5780" s="2">
        <v>3.8899999999999997E-2</v>
      </c>
      <c r="G5780" s="2">
        <v>1.89E-2</v>
      </c>
      <c r="H5780" s="2">
        <v>1.52E-2</v>
      </c>
      <c r="I5780" s="2">
        <v>1.3100000000000001E-2</v>
      </c>
      <c r="J5780" s="2">
        <v>1.11E-2</v>
      </c>
      <c r="K5780" s="2">
        <v>7.7999999999999996E-3</v>
      </c>
      <c r="L5780" s="2">
        <v>5.7999999999999996E-3</v>
      </c>
      <c r="M5780" s="2">
        <v>2E-3</v>
      </c>
      <c r="N5780" s="2">
        <v>1.6000000000000001E-3</v>
      </c>
      <c r="O5780">
        <v>2766</v>
      </c>
    </row>
    <row r="5782" spans="1:15" x14ac:dyDescent="0.35">
      <c r="A5782" s="1" t="s">
        <v>1608</v>
      </c>
    </row>
    <row r="5783" spans="1:15" x14ac:dyDescent="0.35">
      <c r="A5783" t="s">
        <v>219</v>
      </c>
      <c r="B5783" t="s">
        <v>301</v>
      </c>
      <c r="C5783" t="s">
        <v>540</v>
      </c>
      <c r="D5783" t="s">
        <v>1591</v>
      </c>
      <c r="E5783" t="s">
        <v>1592</v>
      </c>
      <c r="F5783" t="s">
        <v>1593</v>
      </c>
      <c r="G5783" t="s">
        <v>1594</v>
      </c>
      <c r="H5783" t="s">
        <v>1595</v>
      </c>
      <c r="I5783" t="s">
        <v>277</v>
      </c>
      <c r="J5783" t="s">
        <v>1596</v>
      </c>
      <c r="K5783" t="s">
        <v>1597</v>
      </c>
      <c r="L5783" t="s">
        <v>1598</v>
      </c>
      <c r="M5783" t="s">
        <v>1599</v>
      </c>
      <c r="N5783" t="s">
        <v>282</v>
      </c>
      <c r="O5783" t="s">
        <v>226</v>
      </c>
    </row>
    <row r="5784" spans="1:15" x14ac:dyDescent="0.35">
      <c r="A5784" t="s">
        <v>227</v>
      </c>
      <c r="B5784" t="s">
        <v>343</v>
      </c>
      <c r="C5784" s="2">
        <v>0.3342</v>
      </c>
      <c r="D5784" s="2">
        <v>0.21010000000000001</v>
      </c>
      <c r="E5784" s="2">
        <v>0.23769999999999999</v>
      </c>
      <c r="F5784" s="2">
        <v>0.19670000000000001</v>
      </c>
      <c r="G5784" s="2">
        <v>2.1600000000000001E-2</v>
      </c>
      <c r="H5784" s="2">
        <v>4.58E-2</v>
      </c>
      <c r="I5784" s="2">
        <v>2.4E-2</v>
      </c>
      <c r="J5784" s="2">
        <v>5.2900000000000003E-2</v>
      </c>
      <c r="K5784" s="2">
        <v>1.6799999999999999E-2</v>
      </c>
      <c r="L5784" s="2">
        <v>2.4799999999999999E-2</v>
      </c>
      <c r="M5784" s="2">
        <v>7.1000000000000004E-3</v>
      </c>
      <c r="N5784" s="2">
        <v>3.8999999999999998E-3</v>
      </c>
      <c r="O5784">
        <v>400</v>
      </c>
    </row>
    <row r="5785" spans="1:15" x14ac:dyDescent="0.35">
      <c r="A5785" t="s">
        <v>227</v>
      </c>
      <c r="B5785" t="s">
        <v>344</v>
      </c>
      <c r="C5785" s="2">
        <v>0.90629999999999999</v>
      </c>
      <c r="D5785" s="2">
        <v>4.02E-2</v>
      </c>
      <c r="E5785" s="2">
        <v>3.5999999999999999E-3</v>
      </c>
      <c r="F5785" s="2">
        <v>6.7000000000000002E-3</v>
      </c>
      <c r="G5785" s="2">
        <v>1.83E-2</v>
      </c>
      <c r="H5785" s="2">
        <v>8.9999999999999993E-3</v>
      </c>
      <c r="I5785" s="2">
        <v>1.09E-2</v>
      </c>
      <c r="J5785" s="2">
        <v>2.5999999999999999E-3</v>
      </c>
      <c r="K5785" s="2">
        <v>5.8999999999999999E-3</v>
      </c>
      <c r="L5785" s="2">
        <v>1.9E-3</v>
      </c>
      <c r="M5785" s="2">
        <v>8.9999999999999998E-4</v>
      </c>
      <c r="N5785" s="2">
        <v>1.1000000000000001E-3</v>
      </c>
      <c r="O5785">
        <v>2366</v>
      </c>
    </row>
    <row r="5786" spans="1:15" x14ac:dyDescent="0.35">
      <c r="A5786" t="s">
        <v>228</v>
      </c>
      <c r="B5786" t="s">
        <v>228</v>
      </c>
      <c r="C5786" s="2">
        <v>0.80920000000000003</v>
      </c>
      <c r="D5786" s="2">
        <v>6.9000000000000006E-2</v>
      </c>
      <c r="E5786" s="2">
        <v>4.3400000000000001E-2</v>
      </c>
      <c r="F5786" s="2">
        <v>3.8899999999999997E-2</v>
      </c>
      <c r="G5786" s="2">
        <v>1.89E-2</v>
      </c>
      <c r="H5786" s="2">
        <v>1.52E-2</v>
      </c>
      <c r="I5786" s="2">
        <v>1.3100000000000001E-2</v>
      </c>
      <c r="J5786" s="2">
        <v>1.11E-2</v>
      </c>
      <c r="K5786" s="2">
        <v>7.7999999999999996E-3</v>
      </c>
      <c r="L5786" s="2">
        <v>5.7999999999999996E-3</v>
      </c>
      <c r="M5786" s="2">
        <v>2E-3</v>
      </c>
      <c r="N5786" s="2">
        <v>1.6000000000000001E-3</v>
      </c>
      <c r="O5786">
        <v>2766</v>
      </c>
    </row>
    <row r="5788" spans="1:15" x14ac:dyDescent="0.35">
      <c r="A5788" s="1" t="s">
        <v>1609</v>
      </c>
    </row>
    <row r="5789" spans="1:15" x14ac:dyDescent="0.35">
      <c r="A5789" t="s">
        <v>219</v>
      </c>
      <c r="B5789" t="s">
        <v>301</v>
      </c>
      <c r="C5789" t="s">
        <v>540</v>
      </c>
      <c r="D5789" t="s">
        <v>1591</v>
      </c>
      <c r="E5789" t="s">
        <v>1592</v>
      </c>
      <c r="F5789" t="s">
        <v>1593</v>
      </c>
      <c r="G5789" t="s">
        <v>1594</v>
      </c>
      <c r="H5789" t="s">
        <v>1595</v>
      </c>
      <c r="I5789" t="s">
        <v>277</v>
      </c>
      <c r="J5789" t="s">
        <v>1596</v>
      </c>
      <c r="K5789" t="s">
        <v>1597</v>
      </c>
      <c r="L5789" t="s">
        <v>1598</v>
      </c>
      <c r="M5789" t="s">
        <v>1599</v>
      </c>
      <c r="N5789" t="s">
        <v>282</v>
      </c>
      <c r="O5789" t="s">
        <v>226</v>
      </c>
    </row>
    <row r="5790" spans="1:15" x14ac:dyDescent="0.35">
      <c r="A5790" t="s">
        <v>227</v>
      </c>
      <c r="B5790" t="s">
        <v>346</v>
      </c>
      <c r="C5790" s="2">
        <v>0.81730000000000003</v>
      </c>
      <c r="D5790" s="2">
        <v>6.2E-2</v>
      </c>
      <c r="E5790" s="2">
        <v>4.5999999999999999E-2</v>
      </c>
      <c r="F5790" s="2">
        <v>3.6600000000000001E-2</v>
      </c>
      <c r="G5790" s="2">
        <v>1.89E-2</v>
      </c>
      <c r="H5790" s="2">
        <v>1.1299999999999999E-2</v>
      </c>
      <c r="I5790" s="2">
        <v>1.24E-2</v>
      </c>
      <c r="J5790" s="2">
        <v>1.04E-2</v>
      </c>
      <c r="K5790" s="2">
        <v>7.4000000000000003E-3</v>
      </c>
      <c r="L5790" s="2">
        <v>6.6E-3</v>
      </c>
      <c r="M5790" s="2">
        <v>1.1000000000000001E-3</v>
      </c>
      <c r="N5790" s="2">
        <v>1.6000000000000001E-3</v>
      </c>
      <c r="O5790">
        <v>1436</v>
      </c>
    </row>
    <row r="5791" spans="1:15" x14ac:dyDescent="0.35">
      <c r="A5791" t="s">
        <v>227</v>
      </c>
      <c r="B5791" t="s">
        <v>347</v>
      </c>
      <c r="C5791" s="2">
        <v>0.71419999999999995</v>
      </c>
      <c r="D5791" s="2">
        <v>0.18310000000000001</v>
      </c>
      <c r="E5791" s="2">
        <v>2.01E-2</v>
      </c>
      <c r="F5791" s="2">
        <v>6.5199999999999994E-2</v>
      </c>
      <c r="G5791" s="2">
        <v>1.2699999999999999E-2</v>
      </c>
      <c r="H5791" s="2">
        <v>5.9499999999999997E-2</v>
      </c>
      <c r="I5791" s="2">
        <v>2.2499999999999999E-2</v>
      </c>
      <c r="J5791" s="2">
        <v>8.0999999999999996E-3</v>
      </c>
      <c r="K5791" s="2">
        <v>1.11E-2</v>
      </c>
      <c r="M5791" s="2">
        <v>4.7000000000000002E-3</v>
      </c>
      <c r="N5791" s="2">
        <v>2.5999999999999999E-3</v>
      </c>
      <c r="O5791">
        <v>571</v>
      </c>
    </row>
    <row r="5792" spans="1:15" x14ac:dyDescent="0.35">
      <c r="A5792" t="s">
        <v>227</v>
      </c>
      <c r="B5792" t="s">
        <v>348</v>
      </c>
      <c r="C5792" s="2">
        <v>0.77200000000000002</v>
      </c>
      <c r="D5792" s="2">
        <v>8.8499999999999995E-2</v>
      </c>
      <c r="E5792" s="2">
        <v>2.86E-2</v>
      </c>
      <c r="F5792" s="2">
        <v>5.0099999999999999E-2</v>
      </c>
      <c r="G5792" s="2">
        <v>2.06E-2</v>
      </c>
      <c r="H5792" s="2">
        <v>3.3700000000000001E-2</v>
      </c>
      <c r="I5792" s="2">
        <v>1.6E-2</v>
      </c>
      <c r="J5792" s="2">
        <v>1.9E-2</v>
      </c>
      <c r="K5792" s="2">
        <v>0.01</v>
      </c>
      <c r="L5792" s="2">
        <v>8.0000000000000004E-4</v>
      </c>
      <c r="M5792" s="2">
        <v>9.1999999999999998E-3</v>
      </c>
      <c r="N5792" s="2">
        <v>6.9999999999999999E-4</v>
      </c>
      <c r="O5792">
        <v>759</v>
      </c>
    </row>
    <row r="5793" spans="1:15" x14ac:dyDescent="0.35">
      <c r="A5793" t="s">
        <v>228</v>
      </c>
      <c r="B5793" t="s">
        <v>228</v>
      </c>
      <c r="C5793" s="2">
        <v>0.80920000000000003</v>
      </c>
      <c r="D5793" s="2">
        <v>6.9000000000000006E-2</v>
      </c>
      <c r="E5793" s="2">
        <v>4.3400000000000001E-2</v>
      </c>
      <c r="F5793" s="2">
        <v>3.8899999999999997E-2</v>
      </c>
      <c r="G5793" s="2">
        <v>1.89E-2</v>
      </c>
      <c r="H5793" s="2">
        <v>1.52E-2</v>
      </c>
      <c r="I5793" s="2">
        <v>1.3100000000000001E-2</v>
      </c>
      <c r="J5793" s="2">
        <v>1.11E-2</v>
      </c>
      <c r="K5793" s="2">
        <v>7.7999999999999996E-3</v>
      </c>
      <c r="L5793" s="2">
        <v>5.7999999999999996E-3</v>
      </c>
      <c r="M5793" s="2">
        <v>2E-3</v>
      </c>
      <c r="N5793" s="2">
        <v>1.6000000000000001E-3</v>
      </c>
      <c r="O5793">
        <v>2766</v>
      </c>
    </row>
    <row r="5795" spans="1:15" x14ac:dyDescent="0.35">
      <c r="A5795" s="1" t="s">
        <v>1610</v>
      </c>
    </row>
    <row r="5796" spans="1:15" x14ac:dyDescent="0.35">
      <c r="A5796" t="s">
        <v>219</v>
      </c>
      <c r="B5796" t="s">
        <v>301</v>
      </c>
      <c r="C5796" t="s">
        <v>540</v>
      </c>
      <c r="D5796" t="s">
        <v>1591</v>
      </c>
      <c r="E5796" t="s">
        <v>1592</v>
      </c>
      <c r="F5796" t="s">
        <v>1593</v>
      </c>
      <c r="G5796" t="s">
        <v>1594</v>
      </c>
      <c r="H5796" t="s">
        <v>1595</v>
      </c>
      <c r="I5796" t="s">
        <v>277</v>
      </c>
      <c r="J5796" t="s">
        <v>1596</v>
      </c>
      <c r="K5796" t="s">
        <v>1597</v>
      </c>
      <c r="L5796" t="s">
        <v>1598</v>
      </c>
      <c r="M5796" t="s">
        <v>1599</v>
      </c>
      <c r="N5796" t="s">
        <v>282</v>
      </c>
      <c r="O5796" t="s">
        <v>226</v>
      </c>
    </row>
    <row r="5797" spans="1:15" x14ac:dyDescent="0.35">
      <c r="A5797" t="s">
        <v>227</v>
      </c>
      <c r="B5797" t="s">
        <v>251</v>
      </c>
      <c r="C5797" s="2">
        <v>0.80020000000000002</v>
      </c>
      <c r="D5797" s="2">
        <v>7.2099999999999997E-2</v>
      </c>
      <c r="E5797" s="2">
        <v>4.3200000000000002E-2</v>
      </c>
      <c r="F5797" s="2">
        <v>4.5499999999999999E-2</v>
      </c>
      <c r="G5797" s="2">
        <v>2.1000000000000001E-2</v>
      </c>
      <c r="H5797" s="2">
        <v>1.7500000000000002E-2</v>
      </c>
      <c r="I5797" s="2">
        <v>1.35E-2</v>
      </c>
      <c r="J5797" s="2">
        <v>1.15E-2</v>
      </c>
      <c r="K5797" s="2">
        <v>4.7999999999999996E-3</v>
      </c>
      <c r="L5797" s="2">
        <v>7.9000000000000008E-3</v>
      </c>
      <c r="M5797" s="2">
        <v>2E-3</v>
      </c>
      <c r="N5797" s="2">
        <v>1.1999999999999999E-3</v>
      </c>
      <c r="O5797">
        <v>2000</v>
      </c>
    </row>
    <row r="5798" spans="1:15" x14ac:dyDescent="0.35">
      <c r="A5798" t="s">
        <v>227</v>
      </c>
      <c r="B5798" t="s">
        <v>252</v>
      </c>
      <c r="C5798" s="2">
        <v>0.84150000000000003</v>
      </c>
      <c r="D5798" s="2">
        <v>6.1600000000000002E-2</v>
      </c>
      <c r="E5798" s="2">
        <v>2.9499999999999998E-2</v>
      </c>
      <c r="F5798" s="2">
        <v>2.2599999999999999E-2</v>
      </c>
      <c r="G5798" s="2">
        <v>1.23E-2</v>
      </c>
      <c r="H5798" s="2">
        <v>8.5000000000000006E-3</v>
      </c>
      <c r="I5798" s="2">
        <v>1.26E-2</v>
      </c>
      <c r="J5798" s="2">
        <v>1.24E-2</v>
      </c>
      <c r="K5798" s="2">
        <v>1.54E-2</v>
      </c>
      <c r="L5798" s="2">
        <v>2.9999999999999997E-4</v>
      </c>
      <c r="M5798" s="2">
        <v>1.8E-3</v>
      </c>
      <c r="N5798" s="2">
        <v>2.8999999999999998E-3</v>
      </c>
      <c r="O5798">
        <v>610</v>
      </c>
    </row>
    <row r="5799" spans="1:15" x14ac:dyDescent="0.35">
      <c r="A5799" t="s">
        <v>227</v>
      </c>
      <c r="B5799" t="s">
        <v>253</v>
      </c>
      <c r="C5799" s="2">
        <v>0.79810000000000003</v>
      </c>
      <c r="D5799" s="2">
        <v>5.91E-2</v>
      </c>
      <c r="E5799" s="2">
        <v>9.7199999999999995E-2</v>
      </c>
      <c r="F5799" s="2">
        <v>1.8499999999999999E-2</v>
      </c>
      <c r="G5799" s="2">
        <v>1.9099999999999999E-2</v>
      </c>
      <c r="H5799" s="2">
        <v>1.2200000000000001E-2</v>
      </c>
      <c r="I5799" s="2">
        <v>1.0500000000000001E-2</v>
      </c>
      <c r="J5799" s="2">
        <v>1E-3</v>
      </c>
      <c r="K5799" s="2">
        <v>1.61E-2</v>
      </c>
      <c r="L5799" s="2">
        <v>1.6000000000000001E-3</v>
      </c>
      <c r="M5799" s="2">
        <v>2.8999999999999998E-3</v>
      </c>
      <c r="O5799">
        <v>147</v>
      </c>
    </row>
    <row r="5800" spans="1:15" x14ac:dyDescent="0.35">
      <c r="A5800" s="3" t="s">
        <v>227</v>
      </c>
      <c r="B5800" s="3" t="s">
        <v>254</v>
      </c>
      <c r="C5800" s="4">
        <v>0.59030000000000005</v>
      </c>
      <c r="D5800" s="4">
        <v>5.8000000000000003E-2</v>
      </c>
      <c r="E5800" s="4">
        <v>0.35170000000000001</v>
      </c>
      <c r="F5800" s="4">
        <v>5.8000000000000003E-2</v>
      </c>
      <c r="G5800" s="5"/>
      <c r="H5800" s="4">
        <v>5.8000000000000003E-2</v>
      </c>
      <c r="I5800" s="5"/>
      <c r="J5800" s="5"/>
      <c r="K5800" s="5"/>
      <c r="L5800" s="5"/>
      <c r="M5800" s="5"/>
      <c r="N5800" s="5"/>
      <c r="O5800" s="5" t="s">
        <v>515</v>
      </c>
    </row>
    <row r="5801" spans="1:15" x14ac:dyDescent="0.35">
      <c r="A5801" t="s">
        <v>228</v>
      </c>
      <c r="B5801" t="s">
        <v>228</v>
      </c>
      <c r="C5801" s="2">
        <v>0.80920000000000003</v>
      </c>
      <c r="D5801" s="2">
        <v>6.9000000000000006E-2</v>
      </c>
      <c r="E5801" s="2">
        <v>4.3400000000000001E-2</v>
      </c>
      <c r="F5801" s="2">
        <v>3.8899999999999997E-2</v>
      </c>
      <c r="G5801" s="2">
        <v>1.89E-2</v>
      </c>
      <c r="H5801" s="2">
        <v>1.52E-2</v>
      </c>
      <c r="I5801" s="2">
        <v>1.3100000000000001E-2</v>
      </c>
      <c r="J5801" s="2">
        <v>1.11E-2</v>
      </c>
      <c r="K5801" s="2">
        <v>7.7999999999999996E-3</v>
      </c>
      <c r="L5801" s="2">
        <v>5.7999999999999996E-3</v>
      </c>
      <c r="M5801" s="2">
        <v>2E-3</v>
      </c>
      <c r="N5801" s="2">
        <v>1.6000000000000001E-3</v>
      </c>
      <c r="O5801">
        <v>2766</v>
      </c>
    </row>
    <row r="5803" spans="1:15" x14ac:dyDescent="0.35">
      <c r="A5803" s="1" t="s">
        <v>1611</v>
      </c>
    </row>
    <row r="5804" spans="1:15" x14ac:dyDescent="0.35">
      <c r="A5804" t="s">
        <v>219</v>
      </c>
      <c r="B5804" t="s">
        <v>301</v>
      </c>
      <c r="C5804" t="s">
        <v>540</v>
      </c>
      <c r="D5804" t="s">
        <v>1591</v>
      </c>
      <c r="E5804" t="s">
        <v>1592</v>
      </c>
      <c r="F5804" t="s">
        <v>1593</v>
      </c>
      <c r="G5804" t="s">
        <v>1594</v>
      </c>
      <c r="H5804" t="s">
        <v>1595</v>
      </c>
      <c r="I5804" t="s">
        <v>277</v>
      </c>
      <c r="J5804" t="s">
        <v>1596</v>
      </c>
      <c r="K5804" t="s">
        <v>1597</v>
      </c>
      <c r="L5804" t="s">
        <v>1598</v>
      </c>
      <c r="M5804" t="s">
        <v>1599</v>
      </c>
      <c r="N5804" t="s">
        <v>282</v>
      </c>
      <c r="O5804" t="s">
        <v>226</v>
      </c>
    </row>
    <row r="5805" spans="1:15" x14ac:dyDescent="0.35">
      <c r="A5805" t="s">
        <v>227</v>
      </c>
      <c r="B5805" t="s">
        <v>1335</v>
      </c>
      <c r="C5805" s="2">
        <v>0.82189999999999996</v>
      </c>
      <c r="D5805" s="2">
        <v>7.2700000000000001E-2</v>
      </c>
      <c r="E5805" s="2">
        <v>1.8700000000000001E-2</v>
      </c>
      <c r="F5805" s="2">
        <v>3.7400000000000003E-2</v>
      </c>
      <c r="G5805" s="2">
        <v>2.1299999999999999E-2</v>
      </c>
      <c r="H5805" s="2">
        <v>1.5900000000000001E-2</v>
      </c>
      <c r="I5805" s="2">
        <v>1.1299999999999999E-2</v>
      </c>
      <c r="J5805" s="2">
        <v>6.1000000000000004E-3</v>
      </c>
      <c r="K5805" s="2">
        <v>7.3000000000000001E-3</v>
      </c>
      <c r="L5805" s="2">
        <v>7.7999999999999996E-3</v>
      </c>
      <c r="M5805" s="2">
        <v>3.0000000000000001E-3</v>
      </c>
      <c r="O5805">
        <v>829</v>
      </c>
    </row>
    <row r="5806" spans="1:15" x14ac:dyDescent="0.35">
      <c r="A5806" s="3" t="s">
        <v>227</v>
      </c>
      <c r="B5806" s="3" t="s">
        <v>1336</v>
      </c>
      <c r="C5806" s="4">
        <v>0.59340000000000004</v>
      </c>
      <c r="D5806" s="4">
        <v>0.40660000000000002</v>
      </c>
      <c r="E5806" s="5"/>
      <c r="F5806" s="5"/>
      <c r="G5806" s="5"/>
      <c r="H5806" s="5"/>
      <c r="I5806" s="5"/>
      <c r="J5806" s="5"/>
      <c r="K5806" s="5"/>
      <c r="L5806" s="5"/>
      <c r="M5806" s="5"/>
      <c r="N5806" s="5"/>
      <c r="O5806" s="5" t="s">
        <v>434</v>
      </c>
    </row>
    <row r="5807" spans="1:15" x14ac:dyDescent="0.35">
      <c r="A5807" t="s">
        <v>227</v>
      </c>
      <c r="B5807" t="s">
        <v>1337</v>
      </c>
      <c r="C5807" s="2">
        <v>0.80330000000000001</v>
      </c>
      <c r="D5807" s="2">
        <v>6.6299999999999998E-2</v>
      </c>
      <c r="E5807" s="2">
        <v>5.5899999999999998E-2</v>
      </c>
      <c r="F5807" s="2">
        <v>3.9800000000000002E-2</v>
      </c>
      <c r="G5807" s="2">
        <v>1.77E-2</v>
      </c>
      <c r="H5807" s="2">
        <v>1.49E-2</v>
      </c>
      <c r="I5807" s="2">
        <v>1.4E-2</v>
      </c>
      <c r="J5807" s="2">
        <v>1.37E-2</v>
      </c>
      <c r="K5807" s="2">
        <v>8.0999999999999996E-3</v>
      </c>
      <c r="L5807" s="2">
        <v>4.7999999999999996E-3</v>
      </c>
      <c r="M5807" s="2">
        <v>1.5E-3</v>
      </c>
      <c r="N5807" s="2">
        <v>2.3E-3</v>
      </c>
      <c r="O5807">
        <v>1935</v>
      </c>
    </row>
    <row r="5808" spans="1:15" x14ac:dyDescent="0.35">
      <c r="A5808" t="s">
        <v>228</v>
      </c>
      <c r="B5808" t="s">
        <v>228</v>
      </c>
      <c r="C5808" s="2">
        <v>0.80920000000000003</v>
      </c>
      <c r="D5808" s="2">
        <v>6.9000000000000006E-2</v>
      </c>
      <c r="E5808" s="2">
        <v>4.3400000000000001E-2</v>
      </c>
      <c r="F5808" s="2">
        <v>3.8899999999999997E-2</v>
      </c>
      <c r="G5808" s="2">
        <v>1.89E-2</v>
      </c>
      <c r="H5808" s="2">
        <v>1.52E-2</v>
      </c>
      <c r="I5808" s="2">
        <v>1.3100000000000001E-2</v>
      </c>
      <c r="J5808" s="2">
        <v>1.11E-2</v>
      </c>
      <c r="K5808" s="2">
        <v>7.7999999999999996E-3</v>
      </c>
      <c r="L5808" s="2">
        <v>5.7999999999999996E-3</v>
      </c>
      <c r="M5808" s="2">
        <v>2E-3</v>
      </c>
      <c r="N5808" s="2">
        <v>1.6000000000000001E-3</v>
      </c>
      <c r="O5808">
        <v>2766</v>
      </c>
    </row>
    <row r="5810" spans="1:16" x14ac:dyDescent="0.35">
      <c r="A5810" s="1" t="s">
        <v>1612</v>
      </c>
    </row>
    <row r="5811" spans="1:16" x14ac:dyDescent="0.35">
      <c r="A5811" t="s">
        <v>219</v>
      </c>
      <c r="B5811" t="s">
        <v>301</v>
      </c>
      <c r="C5811" t="s">
        <v>540</v>
      </c>
      <c r="D5811" t="s">
        <v>1591</v>
      </c>
      <c r="E5811" t="s">
        <v>1592</v>
      </c>
      <c r="F5811" t="s">
        <v>1593</v>
      </c>
      <c r="G5811" t="s">
        <v>1594</v>
      </c>
      <c r="H5811" t="s">
        <v>1595</v>
      </c>
      <c r="I5811" t="s">
        <v>277</v>
      </c>
      <c r="J5811" t="s">
        <v>1596</v>
      </c>
      <c r="K5811" t="s">
        <v>1597</v>
      </c>
      <c r="L5811" t="s">
        <v>1598</v>
      </c>
      <c r="M5811" t="s">
        <v>1599</v>
      </c>
      <c r="N5811" t="s">
        <v>282</v>
      </c>
      <c r="O5811" t="s">
        <v>226</v>
      </c>
    </row>
    <row r="5812" spans="1:16" x14ac:dyDescent="0.35">
      <c r="A5812" t="s">
        <v>227</v>
      </c>
      <c r="B5812" t="s">
        <v>1339</v>
      </c>
      <c r="C5812" s="2">
        <v>0.89780000000000004</v>
      </c>
      <c r="D5812" s="2">
        <v>7.7399999999999997E-2</v>
      </c>
      <c r="G5812" s="2">
        <v>2.35E-2</v>
      </c>
      <c r="H5812" s="2">
        <v>7.6200000000000004E-2</v>
      </c>
      <c r="I5812" s="2">
        <v>1.1999999999999999E-3</v>
      </c>
      <c r="O5812">
        <v>49</v>
      </c>
    </row>
    <row r="5813" spans="1:16" x14ac:dyDescent="0.35">
      <c r="A5813" t="s">
        <v>227</v>
      </c>
      <c r="B5813" t="s">
        <v>1340</v>
      </c>
      <c r="C5813" s="2">
        <v>0.84379999999999999</v>
      </c>
      <c r="D5813" s="2">
        <v>7.4099999999999999E-2</v>
      </c>
      <c r="E5813" s="2">
        <v>1.95E-2</v>
      </c>
      <c r="F5813" s="2">
        <v>2.4E-2</v>
      </c>
      <c r="G5813" s="2">
        <v>1.21E-2</v>
      </c>
      <c r="H5813" s="2">
        <v>8.8999999999999999E-3</v>
      </c>
      <c r="I5813" s="2">
        <v>1.2500000000000001E-2</v>
      </c>
      <c r="J5813" s="2">
        <v>4.7999999999999996E-3</v>
      </c>
      <c r="K5813" s="2">
        <v>1.41E-2</v>
      </c>
      <c r="L5813" s="2">
        <v>3.8E-3</v>
      </c>
      <c r="M5813" s="2">
        <v>2.3E-3</v>
      </c>
      <c r="N5813" s="2">
        <v>2.8E-3</v>
      </c>
      <c r="O5813">
        <v>714</v>
      </c>
    </row>
    <row r="5814" spans="1:16" x14ac:dyDescent="0.35">
      <c r="A5814" t="s">
        <v>227</v>
      </c>
      <c r="B5814" t="s">
        <v>1341</v>
      </c>
      <c r="C5814" s="2">
        <v>0.82979999999999998</v>
      </c>
      <c r="D5814" s="2">
        <v>5.4100000000000002E-2</v>
      </c>
      <c r="E5814" s="2">
        <v>3.56E-2</v>
      </c>
      <c r="F5814" s="2">
        <v>3.85E-2</v>
      </c>
      <c r="G5814" s="2">
        <v>1.84E-2</v>
      </c>
      <c r="H5814" s="2">
        <v>1.49E-2</v>
      </c>
      <c r="I5814" s="2">
        <v>1.2200000000000001E-2</v>
      </c>
      <c r="J5814" s="2">
        <v>1.6400000000000001E-2</v>
      </c>
      <c r="K5814" s="2">
        <v>8.3000000000000001E-3</v>
      </c>
      <c r="L5814" s="2">
        <v>6.3E-3</v>
      </c>
      <c r="M5814" s="2">
        <v>2.5999999999999999E-3</v>
      </c>
      <c r="N5814" s="2">
        <v>2.9999999999999997E-4</v>
      </c>
      <c r="O5814">
        <v>1318</v>
      </c>
    </row>
    <row r="5815" spans="1:16" x14ac:dyDescent="0.35">
      <c r="A5815" t="s">
        <v>227</v>
      </c>
      <c r="B5815" t="s">
        <v>1342</v>
      </c>
      <c r="C5815" s="2">
        <v>0.72230000000000005</v>
      </c>
      <c r="D5815" s="2">
        <v>9.4600000000000004E-2</v>
      </c>
      <c r="E5815" s="2">
        <v>8.7900000000000006E-2</v>
      </c>
      <c r="F5815" s="2">
        <v>5.8599999999999999E-2</v>
      </c>
      <c r="G5815" s="2">
        <v>2.6200000000000001E-2</v>
      </c>
      <c r="H5815" s="2">
        <v>1.6500000000000001E-2</v>
      </c>
      <c r="I5815" s="2">
        <v>1.66E-2</v>
      </c>
      <c r="J5815" s="2">
        <v>7.4000000000000003E-3</v>
      </c>
      <c r="K5815" s="2">
        <v>1E-3</v>
      </c>
      <c r="L5815" s="2">
        <v>7.1999999999999998E-3</v>
      </c>
      <c r="M5815" s="2">
        <v>6.9999999999999999E-4</v>
      </c>
      <c r="N5815" s="2">
        <v>3.0999999999999999E-3</v>
      </c>
      <c r="O5815">
        <v>685</v>
      </c>
    </row>
    <row r="5816" spans="1:16" x14ac:dyDescent="0.35">
      <c r="A5816" t="s">
        <v>228</v>
      </c>
      <c r="B5816" t="s">
        <v>228</v>
      </c>
      <c r="C5816" s="2">
        <v>0.80920000000000003</v>
      </c>
      <c r="D5816" s="2">
        <v>6.9000000000000006E-2</v>
      </c>
      <c r="E5816" s="2">
        <v>4.3400000000000001E-2</v>
      </c>
      <c r="F5816" s="2">
        <v>3.8899999999999997E-2</v>
      </c>
      <c r="G5816" s="2">
        <v>1.89E-2</v>
      </c>
      <c r="H5816" s="2">
        <v>1.52E-2</v>
      </c>
      <c r="I5816" s="2">
        <v>1.3100000000000001E-2</v>
      </c>
      <c r="J5816" s="2">
        <v>1.11E-2</v>
      </c>
      <c r="K5816" s="2">
        <v>7.7999999999999996E-3</v>
      </c>
      <c r="L5816" s="2">
        <v>5.7999999999999996E-3</v>
      </c>
      <c r="M5816" s="2">
        <v>2E-3</v>
      </c>
      <c r="N5816" s="2">
        <v>1.6000000000000001E-3</v>
      </c>
      <c r="O5816">
        <v>2766</v>
      </c>
    </row>
    <row r="5818" spans="1:16" x14ac:dyDescent="0.35">
      <c r="A5818" s="1" t="s">
        <v>1613</v>
      </c>
    </row>
    <row r="5819" spans="1:16" x14ac:dyDescent="0.35">
      <c r="A5819" t="s">
        <v>219</v>
      </c>
      <c r="B5819" t="s">
        <v>301</v>
      </c>
      <c r="C5819" t="s">
        <v>325</v>
      </c>
      <c r="D5819" t="s">
        <v>540</v>
      </c>
      <c r="E5819" t="s">
        <v>1591</v>
      </c>
      <c r="F5819" t="s">
        <v>1592</v>
      </c>
      <c r="G5819" t="s">
        <v>1593</v>
      </c>
      <c r="H5819" t="s">
        <v>1594</v>
      </c>
      <c r="I5819" t="s">
        <v>1595</v>
      </c>
      <c r="J5819" t="s">
        <v>277</v>
      </c>
      <c r="K5819" t="s">
        <v>1596</v>
      </c>
      <c r="L5819" t="s">
        <v>1597</v>
      </c>
      <c r="M5819" t="s">
        <v>1598</v>
      </c>
      <c r="N5819" t="s">
        <v>1599</v>
      </c>
      <c r="O5819" t="s">
        <v>282</v>
      </c>
      <c r="P5819" t="s">
        <v>226</v>
      </c>
    </row>
    <row r="5820" spans="1:16" x14ac:dyDescent="0.35">
      <c r="A5820" s="3" t="s">
        <v>227</v>
      </c>
      <c r="B5820" s="3" t="s">
        <v>1335</v>
      </c>
      <c r="C5820" s="3" t="s">
        <v>1339</v>
      </c>
      <c r="D5820" s="4">
        <v>0.77959999999999996</v>
      </c>
      <c r="E5820" s="4">
        <v>0.22040000000000001</v>
      </c>
      <c r="F5820" s="5"/>
      <c r="G5820" s="5"/>
      <c r="H5820" s="5"/>
      <c r="I5820" s="4">
        <v>0.22040000000000001</v>
      </c>
      <c r="J5820" s="5"/>
      <c r="K5820" s="5"/>
      <c r="L5820" s="5"/>
      <c r="M5820" s="5"/>
      <c r="N5820" s="5"/>
      <c r="O5820" s="5"/>
      <c r="P5820" s="5" t="s">
        <v>425</v>
      </c>
    </row>
    <row r="5821" spans="1:16" x14ac:dyDescent="0.35">
      <c r="A5821" t="s">
        <v>227</v>
      </c>
      <c r="B5821" t="s">
        <v>1335</v>
      </c>
      <c r="C5821" t="s">
        <v>1340</v>
      </c>
      <c r="D5821" s="2">
        <v>0.81399999999999995</v>
      </c>
      <c r="E5821" s="2">
        <v>9.7799999999999998E-2</v>
      </c>
      <c r="F5821" s="2">
        <v>8.6E-3</v>
      </c>
      <c r="G5821" s="2">
        <v>2.8000000000000001E-2</v>
      </c>
      <c r="H5821" s="2">
        <v>1.7600000000000001E-2</v>
      </c>
      <c r="I5821" s="2">
        <v>1.0999999999999999E-2</v>
      </c>
      <c r="J5821" s="2">
        <v>1.3100000000000001E-2</v>
      </c>
      <c r="K5821" s="2">
        <v>1.0699999999999999E-2</v>
      </c>
      <c r="L5821" s="2">
        <v>8.0000000000000002E-3</v>
      </c>
      <c r="M5821" s="2">
        <v>5.9999999999999995E-4</v>
      </c>
      <c r="N5821" s="2">
        <v>1.2999999999999999E-3</v>
      </c>
      <c r="P5821">
        <v>244</v>
      </c>
    </row>
    <row r="5822" spans="1:16" x14ac:dyDescent="0.35">
      <c r="A5822" t="s">
        <v>227</v>
      </c>
      <c r="B5822" t="s">
        <v>1335</v>
      </c>
      <c r="C5822" t="s">
        <v>1341</v>
      </c>
      <c r="D5822" s="2">
        <v>0.82599999999999996</v>
      </c>
      <c r="E5822" s="2">
        <v>5.7200000000000001E-2</v>
      </c>
      <c r="F5822" s="2">
        <v>2.4299999999999999E-2</v>
      </c>
      <c r="G5822" s="2">
        <v>3.3500000000000002E-2</v>
      </c>
      <c r="H5822" s="2">
        <v>2.2599999999999999E-2</v>
      </c>
      <c r="I5822" s="2">
        <v>0.01</v>
      </c>
      <c r="J5822" s="2">
        <v>1.5299999999999999E-2</v>
      </c>
      <c r="K5822" s="2">
        <v>1E-3</v>
      </c>
      <c r="L5822" s="2">
        <v>0.01</v>
      </c>
      <c r="M5822" s="2">
        <v>1.47E-2</v>
      </c>
      <c r="N5822" s="2">
        <v>5.1000000000000004E-3</v>
      </c>
      <c r="P5822">
        <v>410</v>
      </c>
    </row>
    <row r="5823" spans="1:16" x14ac:dyDescent="0.35">
      <c r="A5823" t="s">
        <v>227</v>
      </c>
      <c r="B5823" t="s">
        <v>1335</v>
      </c>
      <c r="C5823" t="s">
        <v>1342</v>
      </c>
      <c r="D5823" s="2">
        <v>0.82630000000000003</v>
      </c>
      <c r="E5823" s="2">
        <v>6.4199999999999993E-2</v>
      </c>
      <c r="F5823" s="2">
        <v>1.9300000000000001E-2</v>
      </c>
      <c r="G5823" s="2">
        <v>6.4199999999999993E-2</v>
      </c>
      <c r="H5823" s="2">
        <v>2.5100000000000001E-2</v>
      </c>
      <c r="I5823" s="2">
        <v>1.41E-2</v>
      </c>
      <c r="K5823" s="2">
        <v>1.4500000000000001E-2</v>
      </c>
      <c r="P5823">
        <v>157</v>
      </c>
    </row>
    <row r="5824" spans="1:16" x14ac:dyDescent="0.35">
      <c r="A5824" s="3" t="s">
        <v>227</v>
      </c>
      <c r="B5824" s="3" t="s">
        <v>1336</v>
      </c>
      <c r="C5824" s="3" t="s">
        <v>1341</v>
      </c>
      <c r="D5824" s="4">
        <v>0.59340000000000004</v>
      </c>
      <c r="E5824" s="4">
        <v>0.40660000000000002</v>
      </c>
      <c r="F5824" s="5"/>
      <c r="G5824" s="5"/>
      <c r="H5824" s="5"/>
      <c r="I5824" s="5"/>
      <c r="J5824" s="5"/>
      <c r="K5824" s="5"/>
      <c r="L5824" s="5"/>
      <c r="M5824" s="5"/>
      <c r="N5824" s="5"/>
      <c r="O5824" s="5"/>
      <c r="P5824" s="5" t="s">
        <v>434</v>
      </c>
    </row>
    <row r="5825" spans="1:16" x14ac:dyDescent="0.35">
      <c r="A5825" t="s">
        <v>227</v>
      </c>
      <c r="B5825" t="s">
        <v>1337</v>
      </c>
      <c r="C5825" t="s">
        <v>1339</v>
      </c>
      <c r="D5825" s="2">
        <v>0.96030000000000004</v>
      </c>
      <c r="E5825" s="2">
        <v>1.9E-3</v>
      </c>
      <c r="H5825" s="2">
        <v>3.5900000000000001E-2</v>
      </c>
      <c r="J5825" s="2">
        <v>1.9E-3</v>
      </c>
      <c r="P5825">
        <v>31</v>
      </c>
    </row>
    <row r="5826" spans="1:16" x14ac:dyDescent="0.35">
      <c r="A5826" t="s">
        <v>227</v>
      </c>
      <c r="B5826" t="s">
        <v>1337</v>
      </c>
      <c r="C5826" t="s">
        <v>1340</v>
      </c>
      <c r="D5826" s="2">
        <v>0.86060000000000003</v>
      </c>
      <c r="E5826" s="2">
        <v>6.0699999999999997E-2</v>
      </c>
      <c r="F5826" s="2">
        <v>2.5600000000000001E-2</v>
      </c>
      <c r="G5826" s="2">
        <v>2.1700000000000001E-2</v>
      </c>
      <c r="H5826" s="2">
        <v>8.9999999999999993E-3</v>
      </c>
      <c r="I5826" s="2">
        <v>7.7000000000000002E-3</v>
      </c>
      <c r="J5826" s="2">
        <v>1.21E-2</v>
      </c>
      <c r="K5826" s="2">
        <v>1.4E-3</v>
      </c>
      <c r="L5826" s="2">
        <v>1.7600000000000001E-2</v>
      </c>
      <c r="M5826" s="2">
        <v>5.5999999999999999E-3</v>
      </c>
      <c r="N5826" s="2">
        <v>2.8E-3</v>
      </c>
      <c r="O5826" s="2">
        <v>4.3E-3</v>
      </c>
      <c r="P5826">
        <v>470</v>
      </c>
    </row>
    <row r="5827" spans="1:16" x14ac:dyDescent="0.35">
      <c r="A5827" t="s">
        <v>227</v>
      </c>
      <c r="B5827" t="s">
        <v>1337</v>
      </c>
      <c r="C5827" t="s">
        <v>1341</v>
      </c>
      <c r="D5827" s="2">
        <v>0.83309999999999995</v>
      </c>
      <c r="E5827" s="2">
        <v>5.0700000000000002E-2</v>
      </c>
      <c r="F5827" s="2">
        <v>4.19E-2</v>
      </c>
      <c r="G5827" s="2">
        <v>4.1300000000000003E-2</v>
      </c>
      <c r="H5827" s="2">
        <v>1.6199999999999999E-2</v>
      </c>
      <c r="I5827" s="2">
        <v>1.7600000000000001E-2</v>
      </c>
      <c r="J5827" s="2">
        <v>1.0699999999999999E-2</v>
      </c>
      <c r="K5827" s="2">
        <v>2.4799999999999999E-2</v>
      </c>
      <c r="L5827" s="2">
        <v>7.4999999999999997E-3</v>
      </c>
      <c r="M5827" s="2">
        <v>1.9E-3</v>
      </c>
      <c r="N5827" s="2">
        <v>1.1999999999999999E-3</v>
      </c>
      <c r="O5827" s="2">
        <v>5.0000000000000001E-4</v>
      </c>
      <c r="P5827">
        <v>906</v>
      </c>
    </row>
    <row r="5828" spans="1:16" x14ac:dyDescent="0.35">
      <c r="A5828" t="s">
        <v>227</v>
      </c>
      <c r="B5828" t="s">
        <v>1337</v>
      </c>
      <c r="C5828" t="s">
        <v>1342</v>
      </c>
      <c r="D5828" s="2">
        <v>0.68200000000000005</v>
      </c>
      <c r="E5828" s="2">
        <v>0.10639999999999999</v>
      </c>
      <c r="F5828" s="2">
        <v>0.1144</v>
      </c>
      <c r="G5828" s="2">
        <v>5.6500000000000002E-2</v>
      </c>
      <c r="H5828" s="2">
        <v>2.6700000000000002E-2</v>
      </c>
      <c r="I5828" s="2">
        <v>1.7399999999999999E-2</v>
      </c>
      <c r="J5828" s="2">
        <v>2.3099999999999999E-2</v>
      </c>
      <c r="K5828" s="2">
        <v>4.5999999999999999E-3</v>
      </c>
      <c r="L5828" s="2">
        <v>1.4E-3</v>
      </c>
      <c r="M5828" s="2">
        <v>0.01</v>
      </c>
      <c r="N5828" s="2">
        <v>8.9999999999999998E-4</v>
      </c>
      <c r="O5828" s="2">
        <v>4.3E-3</v>
      </c>
      <c r="P5828">
        <v>528</v>
      </c>
    </row>
    <row r="5829" spans="1:16" x14ac:dyDescent="0.35">
      <c r="A5829" t="s">
        <v>228</v>
      </c>
      <c r="B5829" t="s">
        <v>228</v>
      </c>
      <c r="C5829" t="s">
        <v>228</v>
      </c>
      <c r="D5829" s="2">
        <v>0.80920000000000003</v>
      </c>
      <c r="E5829" s="2">
        <v>6.9000000000000006E-2</v>
      </c>
      <c r="F5829" s="2">
        <v>4.3400000000000001E-2</v>
      </c>
      <c r="G5829" s="2">
        <v>3.8899999999999997E-2</v>
      </c>
      <c r="H5829" s="2">
        <v>1.89E-2</v>
      </c>
      <c r="I5829" s="2">
        <v>1.52E-2</v>
      </c>
      <c r="J5829" s="2">
        <v>1.3100000000000001E-2</v>
      </c>
      <c r="K5829" s="2">
        <v>1.11E-2</v>
      </c>
      <c r="L5829" s="2">
        <v>7.7999999999999996E-3</v>
      </c>
      <c r="M5829" s="2">
        <v>5.7999999999999996E-3</v>
      </c>
      <c r="N5829" s="2">
        <v>2E-3</v>
      </c>
      <c r="O5829" s="2">
        <v>1.6000000000000001E-3</v>
      </c>
      <c r="P5829">
        <v>2766</v>
      </c>
    </row>
    <row r="5831" spans="1:16" x14ac:dyDescent="0.35">
      <c r="A5831" s="1" t="s">
        <v>1614</v>
      </c>
    </row>
    <row r="5832" spans="1:16" x14ac:dyDescent="0.35">
      <c r="A5832" t="s">
        <v>219</v>
      </c>
      <c r="B5832" t="s">
        <v>298</v>
      </c>
      <c r="C5832" t="s">
        <v>277</v>
      </c>
      <c r="D5832" t="s">
        <v>1615</v>
      </c>
      <c r="E5832" t="s">
        <v>1616</v>
      </c>
      <c r="F5832" t="s">
        <v>282</v>
      </c>
      <c r="G5832" t="s">
        <v>226</v>
      </c>
    </row>
    <row r="5833" spans="1:16" x14ac:dyDescent="0.35">
      <c r="A5833" t="s">
        <v>227</v>
      </c>
      <c r="B5833" s="2">
        <v>0.82920000000000005</v>
      </c>
      <c r="C5833" s="2">
        <v>9.2299999999999993E-2</v>
      </c>
      <c r="D5833" s="2">
        <v>5.4199999999999998E-2</v>
      </c>
      <c r="E5833" s="2">
        <v>2.3900000000000001E-2</v>
      </c>
      <c r="F5833" s="2">
        <v>4.0000000000000002E-4</v>
      </c>
      <c r="G5833">
        <v>2808</v>
      </c>
    </row>
    <row r="5834" spans="1:16" x14ac:dyDescent="0.35">
      <c r="A5834" t="s">
        <v>228</v>
      </c>
      <c r="B5834" s="2">
        <v>0.82920000000000005</v>
      </c>
      <c r="C5834" s="2">
        <v>9.2299999999999993E-2</v>
      </c>
      <c r="D5834" s="2">
        <v>5.4199999999999998E-2</v>
      </c>
      <c r="E5834" s="2">
        <v>2.3900000000000001E-2</v>
      </c>
      <c r="F5834" s="2">
        <v>4.0000000000000002E-4</v>
      </c>
      <c r="G5834">
        <v>2808</v>
      </c>
    </row>
    <row r="5836" spans="1:16" x14ac:dyDescent="0.35">
      <c r="A5836" s="1" t="s">
        <v>1617</v>
      </c>
    </row>
    <row r="5837" spans="1:16" x14ac:dyDescent="0.35">
      <c r="A5837" t="s">
        <v>219</v>
      </c>
      <c r="B5837" t="s">
        <v>301</v>
      </c>
      <c r="C5837" t="s">
        <v>298</v>
      </c>
      <c r="D5837" t="s">
        <v>277</v>
      </c>
      <c r="E5837" t="s">
        <v>1615</v>
      </c>
      <c r="F5837" t="s">
        <v>1616</v>
      </c>
      <c r="G5837" t="s">
        <v>282</v>
      </c>
      <c r="H5837" t="s">
        <v>226</v>
      </c>
    </row>
    <row r="5838" spans="1:16" x14ac:dyDescent="0.35">
      <c r="A5838" t="s">
        <v>227</v>
      </c>
      <c r="B5838" t="s">
        <v>238</v>
      </c>
      <c r="C5838" s="2">
        <v>0.83409999999999995</v>
      </c>
      <c r="D5838" s="2">
        <v>9.7600000000000006E-2</v>
      </c>
      <c r="E5838" s="2">
        <v>0.04</v>
      </c>
      <c r="F5838" s="2">
        <v>2.7900000000000001E-2</v>
      </c>
      <c r="G5838" s="2">
        <v>4.0000000000000002E-4</v>
      </c>
      <c r="H5838">
        <v>1004</v>
      </c>
    </row>
    <row r="5839" spans="1:16" x14ac:dyDescent="0.35">
      <c r="A5839" t="s">
        <v>227</v>
      </c>
      <c r="B5839" t="s">
        <v>237</v>
      </c>
      <c r="C5839" s="2">
        <v>0.82630000000000003</v>
      </c>
      <c r="D5839" s="2">
        <v>8.9099999999999999E-2</v>
      </c>
      <c r="E5839" s="2">
        <v>6.25E-2</v>
      </c>
      <c r="F5839" s="2">
        <v>2.1600000000000001E-2</v>
      </c>
      <c r="G5839" s="2">
        <v>4.0000000000000002E-4</v>
      </c>
      <c r="H5839">
        <v>1804</v>
      </c>
    </row>
    <row r="5840" spans="1:16" x14ac:dyDescent="0.35">
      <c r="A5840" t="s">
        <v>228</v>
      </c>
      <c r="B5840" t="s">
        <v>228</v>
      </c>
      <c r="C5840" s="2">
        <v>0.82920000000000005</v>
      </c>
      <c r="D5840" s="2">
        <v>9.2299999999999993E-2</v>
      </c>
      <c r="E5840" s="2">
        <v>5.4199999999999998E-2</v>
      </c>
      <c r="F5840" s="2">
        <v>2.3900000000000001E-2</v>
      </c>
      <c r="G5840" s="2">
        <v>4.0000000000000002E-4</v>
      </c>
      <c r="H5840">
        <v>2808</v>
      </c>
    </row>
    <row r="5842" spans="1:8" x14ac:dyDescent="0.35">
      <c r="A5842" s="1" t="s">
        <v>1618</v>
      </c>
    </row>
    <row r="5843" spans="1:8" x14ac:dyDescent="0.35">
      <c r="A5843" t="s">
        <v>219</v>
      </c>
      <c r="B5843" t="s">
        <v>301</v>
      </c>
      <c r="C5843" t="s">
        <v>298</v>
      </c>
      <c r="D5843" t="s">
        <v>277</v>
      </c>
      <c r="E5843" t="s">
        <v>1615</v>
      </c>
      <c r="F5843" t="s">
        <v>1616</v>
      </c>
      <c r="G5843" t="s">
        <v>282</v>
      </c>
      <c r="H5843" t="s">
        <v>226</v>
      </c>
    </row>
    <row r="5844" spans="1:8" x14ac:dyDescent="0.35">
      <c r="A5844" t="s">
        <v>227</v>
      </c>
      <c r="B5844" t="s">
        <v>235</v>
      </c>
      <c r="C5844" s="2">
        <v>0.83640000000000003</v>
      </c>
      <c r="D5844" s="2">
        <v>0.10199999999999999</v>
      </c>
      <c r="E5844" s="2">
        <v>4.1700000000000001E-2</v>
      </c>
      <c r="F5844" s="2">
        <v>1.9699999999999999E-2</v>
      </c>
      <c r="G5844" s="2">
        <v>2.0000000000000001E-4</v>
      </c>
      <c r="H5844">
        <v>992</v>
      </c>
    </row>
    <row r="5845" spans="1:8" x14ac:dyDescent="0.35">
      <c r="A5845" t="s">
        <v>227</v>
      </c>
      <c r="B5845" t="s">
        <v>234</v>
      </c>
      <c r="C5845" s="2">
        <v>0.82620000000000005</v>
      </c>
      <c r="D5845" s="2">
        <v>8.8099999999999998E-2</v>
      </c>
      <c r="E5845" s="2">
        <v>5.9400000000000001E-2</v>
      </c>
      <c r="F5845" s="2">
        <v>2.5700000000000001E-2</v>
      </c>
      <c r="G5845" s="2">
        <v>5.0000000000000001E-4</v>
      </c>
      <c r="H5845">
        <v>1816</v>
      </c>
    </row>
    <row r="5846" spans="1:8" x14ac:dyDescent="0.35">
      <c r="A5846" t="s">
        <v>228</v>
      </c>
      <c r="B5846" t="s">
        <v>228</v>
      </c>
      <c r="C5846" s="2">
        <v>0.82920000000000005</v>
      </c>
      <c r="D5846" s="2">
        <v>9.2299999999999993E-2</v>
      </c>
      <c r="E5846" s="2">
        <v>5.4199999999999998E-2</v>
      </c>
      <c r="F5846" s="2">
        <v>2.3900000000000001E-2</v>
      </c>
      <c r="G5846" s="2">
        <v>4.0000000000000002E-4</v>
      </c>
      <c r="H5846">
        <v>2808</v>
      </c>
    </row>
    <row r="5848" spans="1:8" x14ac:dyDescent="0.35">
      <c r="A5848" s="1" t="s">
        <v>1619</v>
      </c>
    </row>
    <row r="5849" spans="1:8" x14ac:dyDescent="0.35">
      <c r="A5849" t="s">
        <v>219</v>
      </c>
      <c r="B5849" t="s">
        <v>301</v>
      </c>
      <c r="C5849" t="s">
        <v>298</v>
      </c>
      <c r="D5849" t="s">
        <v>277</v>
      </c>
      <c r="E5849" t="s">
        <v>1615</v>
      </c>
      <c r="F5849" t="s">
        <v>1616</v>
      </c>
      <c r="G5849" t="s">
        <v>282</v>
      </c>
      <c r="H5849" t="s">
        <v>226</v>
      </c>
    </row>
    <row r="5850" spans="1:8" x14ac:dyDescent="0.35">
      <c r="A5850" t="s">
        <v>227</v>
      </c>
      <c r="B5850" t="s">
        <v>240</v>
      </c>
      <c r="C5850" s="2">
        <v>0.82709999999999995</v>
      </c>
      <c r="D5850" s="2">
        <v>8.9899999999999994E-2</v>
      </c>
      <c r="E5850" s="2">
        <v>5.8500000000000003E-2</v>
      </c>
      <c r="F5850" s="2">
        <v>2.4E-2</v>
      </c>
      <c r="G5850" s="2">
        <v>4.0000000000000002E-4</v>
      </c>
      <c r="H5850">
        <v>1753</v>
      </c>
    </row>
    <row r="5851" spans="1:8" x14ac:dyDescent="0.35">
      <c r="A5851" t="s">
        <v>227</v>
      </c>
      <c r="B5851" t="s">
        <v>241</v>
      </c>
      <c r="C5851" s="2">
        <v>0.8266</v>
      </c>
      <c r="D5851" s="2">
        <v>0.1027</v>
      </c>
      <c r="E5851" s="2">
        <v>4.9299999999999997E-2</v>
      </c>
      <c r="F5851" s="2">
        <v>2.0799999999999999E-2</v>
      </c>
      <c r="G5851" s="2">
        <v>5.9999999999999995E-4</v>
      </c>
      <c r="H5851">
        <v>890</v>
      </c>
    </row>
    <row r="5852" spans="1:8" x14ac:dyDescent="0.35">
      <c r="A5852" t="s">
        <v>227</v>
      </c>
      <c r="B5852" t="s">
        <v>242</v>
      </c>
      <c r="C5852" s="2">
        <v>0.8609</v>
      </c>
      <c r="D5852" s="2">
        <v>6.8099999999999994E-2</v>
      </c>
      <c r="E5852" s="2">
        <v>3.3500000000000002E-2</v>
      </c>
      <c r="F5852" s="2">
        <v>3.7499999999999999E-2</v>
      </c>
      <c r="H5852">
        <v>165</v>
      </c>
    </row>
    <row r="5853" spans="1:8" x14ac:dyDescent="0.35">
      <c r="A5853" t="s">
        <v>228</v>
      </c>
      <c r="B5853" t="s">
        <v>228</v>
      </c>
      <c r="C5853" s="2">
        <v>0.82920000000000005</v>
      </c>
      <c r="D5853" s="2">
        <v>9.2299999999999993E-2</v>
      </c>
      <c r="E5853" s="2">
        <v>5.4199999999999998E-2</v>
      </c>
      <c r="F5853" s="2">
        <v>2.3900000000000001E-2</v>
      </c>
      <c r="G5853" s="2">
        <v>4.0000000000000002E-4</v>
      </c>
      <c r="H5853">
        <v>2808</v>
      </c>
    </row>
    <row r="5855" spans="1:8" x14ac:dyDescent="0.35">
      <c r="A5855" s="1" t="s">
        <v>1620</v>
      </c>
    </row>
    <row r="5856" spans="1:8" x14ac:dyDescent="0.35">
      <c r="A5856" t="s">
        <v>219</v>
      </c>
      <c r="B5856" t="s">
        <v>301</v>
      </c>
      <c r="C5856" t="s">
        <v>298</v>
      </c>
      <c r="D5856" t="s">
        <v>277</v>
      </c>
      <c r="E5856" t="s">
        <v>1615</v>
      </c>
      <c r="F5856" t="s">
        <v>1616</v>
      </c>
      <c r="G5856" t="s">
        <v>282</v>
      </c>
      <c r="H5856" t="s">
        <v>226</v>
      </c>
    </row>
    <row r="5857" spans="1:8" x14ac:dyDescent="0.35">
      <c r="A5857" t="s">
        <v>227</v>
      </c>
      <c r="B5857" t="s">
        <v>334</v>
      </c>
      <c r="C5857" s="2">
        <v>0.84109999999999996</v>
      </c>
      <c r="D5857" s="2">
        <v>9.69E-2</v>
      </c>
      <c r="E5857" s="2">
        <v>4.7300000000000002E-2</v>
      </c>
      <c r="F5857" s="2">
        <v>1.43E-2</v>
      </c>
      <c r="G5857" s="2">
        <v>2.9999999999999997E-4</v>
      </c>
      <c r="H5857">
        <v>623</v>
      </c>
    </row>
    <row r="5858" spans="1:8" x14ac:dyDescent="0.35">
      <c r="A5858" t="s">
        <v>227</v>
      </c>
      <c r="B5858" t="s">
        <v>335</v>
      </c>
      <c r="C5858" s="2">
        <v>0.84230000000000005</v>
      </c>
      <c r="D5858" s="2">
        <v>7.3800000000000004E-2</v>
      </c>
      <c r="E5858" s="2">
        <v>6.2899999999999998E-2</v>
      </c>
      <c r="F5858" s="2">
        <v>2.1100000000000001E-2</v>
      </c>
      <c r="H5858">
        <v>625</v>
      </c>
    </row>
    <row r="5859" spans="1:8" x14ac:dyDescent="0.35">
      <c r="A5859" t="s">
        <v>227</v>
      </c>
      <c r="B5859" t="s">
        <v>336</v>
      </c>
      <c r="C5859" s="2">
        <v>0.83630000000000004</v>
      </c>
      <c r="D5859" s="2">
        <v>9.1999999999999998E-2</v>
      </c>
      <c r="E5859" s="2">
        <v>4.8099999999999997E-2</v>
      </c>
      <c r="F5859" s="2">
        <v>2.3099999999999999E-2</v>
      </c>
      <c r="G5859" s="2">
        <v>5.0000000000000001E-4</v>
      </c>
      <c r="H5859">
        <v>621</v>
      </c>
    </row>
    <row r="5860" spans="1:8" x14ac:dyDescent="0.35">
      <c r="A5860" t="s">
        <v>227</v>
      </c>
      <c r="B5860" t="s">
        <v>337</v>
      </c>
      <c r="C5860" s="2">
        <v>0.82379999999999998</v>
      </c>
      <c r="D5860" s="2">
        <v>0.1043</v>
      </c>
      <c r="E5860" s="2">
        <v>4.7899999999999998E-2</v>
      </c>
      <c r="F5860" s="2">
        <v>2.4E-2</v>
      </c>
      <c r="H5860">
        <v>602</v>
      </c>
    </row>
    <row r="5861" spans="1:8" x14ac:dyDescent="0.35">
      <c r="A5861" t="s">
        <v>228</v>
      </c>
      <c r="B5861" t="s">
        <v>228</v>
      </c>
      <c r="C5861" s="2">
        <v>0.82920000000000005</v>
      </c>
      <c r="D5861" s="2">
        <v>9.2299999999999993E-2</v>
      </c>
      <c r="E5861" s="2">
        <v>5.4199999999999998E-2</v>
      </c>
      <c r="F5861" s="2">
        <v>2.3900000000000001E-2</v>
      </c>
      <c r="G5861" s="2">
        <v>4.0000000000000002E-4</v>
      </c>
      <c r="H5861">
        <v>2471</v>
      </c>
    </row>
    <row r="5863" spans="1:8" x14ac:dyDescent="0.35">
      <c r="A5863" s="1" t="s">
        <v>1621</v>
      </c>
    </row>
    <row r="5864" spans="1:8" x14ac:dyDescent="0.35">
      <c r="A5864" t="s">
        <v>219</v>
      </c>
      <c r="B5864" t="s">
        <v>301</v>
      </c>
      <c r="C5864" t="s">
        <v>298</v>
      </c>
      <c r="D5864" t="s">
        <v>277</v>
      </c>
      <c r="E5864" t="s">
        <v>1615</v>
      </c>
      <c r="F5864" t="s">
        <v>1616</v>
      </c>
      <c r="G5864" t="s">
        <v>282</v>
      </c>
      <c r="H5864" t="s">
        <v>226</v>
      </c>
    </row>
    <row r="5865" spans="1:8" x14ac:dyDescent="0.35">
      <c r="A5865" t="s">
        <v>227</v>
      </c>
      <c r="B5865" t="s">
        <v>263</v>
      </c>
      <c r="C5865" s="2">
        <v>0.80859999999999999</v>
      </c>
      <c r="D5865" s="2">
        <v>9.7199999999999995E-2</v>
      </c>
      <c r="E5865" s="2">
        <v>6.3700000000000007E-2</v>
      </c>
      <c r="F5865" s="2">
        <v>3.0499999999999999E-2</v>
      </c>
      <c r="H5865">
        <v>587</v>
      </c>
    </row>
    <row r="5866" spans="1:8" x14ac:dyDescent="0.35">
      <c r="A5866" t="s">
        <v>227</v>
      </c>
      <c r="B5866" t="s">
        <v>262</v>
      </c>
      <c r="C5866" s="2">
        <v>0.81769999999999998</v>
      </c>
      <c r="D5866" s="2">
        <v>0.1089</v>
      </c>
      <c r="E5866" s="2">
        <v>4.8399999999999999E-2</v>
      </c>
      <c r="F5866" s="2">
        <v>2.4299999999999999E-2</v>
      </c>
      <c r="G5866" s="2">
        <v>6.9999999999999999E-4</v>
      </c>
      <c r="H5866">
        <v>1159</v>
      </c>
    </row>
    <row r="5867" spans="1:8" x14ac:dyDescent="0.35">
      <c r="A5867" t="s">
        <v>227</v>
      </c>
      <c r="B5867" t="s">
        <v>261</v>
      </c>
      <c r="C5867" s="2">
        <v>0.84860000000000002</v>
      </c>
      <c r="D5867" s="2">
        <v>7.5800000000000006E-2</v>
      </c>
      <c r="E5867" s="2">
        <v>5.4699999999999999E-2</v>
      </c>
      <c r="F5867" s="2">
        <v>2.0500000000000001E-2</v>
      </c>
      <c r="G5867" s="2">
        <v>4.0000000000000002E-4</v>
      </c>
      <c r="H5867">
        <v>1060</v>
      </c>
    </row>
    <row r="5868" spans="1:8" x14ac:dyDescent="0.35">
      <c r="A5868" s="3" t="s">
        <v>227</v>
      </c>
      <c r="B5868" s="3" t="s">
        <v>232</v>
      </c>
      <c r="C5868" s="4">
        <v>1</v>
      </c>
      <c r="D5868" s="5"/>
      <c r="E5868" s="5"/>
      <c r="F5868" s="5"/>
      <c r="G5868" s="5"/>
      <c r="H5868" s="5" t="s">
        <v>434</v>
      </c>
    </row>
    <row r="5869" spans="1:8" x14ac:dyDescent="0.35">
      <c r="A5869" t="s">
        <v>228</v>
      </c>
      <c r="B5869" t="s">
        <v>228</v>
      </c>
      <c r="C5869" s="2">
        <v>0.82920000000000005</v>
      </c>
      <c r="D5869" s="2">
        <v>9.2299999999999993E-2</v>
      </c>
      <c r="E5869" s="2">
        <v>5.4199999999999998E-2</v>
      </c>
      <c r="F5869" s="2">
        <v>2.3900000000000001E-2</v>
      </c>
      <c r="G5869" s="2">
        <v>4.0000000000000002E-4</v>
      </c>
      <c r="H5869">
        <v>2808</v>
      </c>
    </row>
    <row r="5871" spans="1:8" x14ac:dyDescent="0.35">
      <c r="A5871" s="1" t="s">
        <v>1622</v>
      </c>
    </row>
    <row r="5872" spans="1:8" x14ac:dyDescent="0.35">
      <c r="A5872" t="s">
        <v>219</v>
      </c>
      <c r="B5872" t="s">
        <v>301</v>
      </c>
      <c r="C5872" t="s">
        <v>298</v>
      </c>
      <c r="D5872" t="s">
        <v>277</v>
      </c>
      <c r="E5872" t="s">
        <v>1615</v>
      </c>
      <c r="F5872" t="s">
        <v>1616</v>
      </c>
      <c r="G5872" t="s">
        <v>282</v>
      </c>
      <c r="H5872" t="s">
        <v>226</v>
      </c>
    </row>
    <row r="5873" spans="1:8" x14ac:dyDescent="0.35">
      <c r="A5873" t="s">
        <v>227</v>
      </c>
      <c r="B5873" t="s">
        <v>248</v>
      </c>
      <c r="C5873" s="2">
        <v>0.85809999999999997</v>
      </c>
      <c r="D5873" s="2">
        <v>9.3399999999999997E-2</v>
      </c>
      <c r="E5873" s="2">
        <v>3.73E-2</v>
      </c>
      <c r="F5873" s="2">
        <v>1.04E-2</v>
      </c>
      <c r="G5873" s="2">
        <v>8.9999999999999998E-4</v>
      </c>
      <c r="H5873">
        <v>795</v>
      </c>
    </row>
    <row r="5874" spans="1:8" x14ac:dyDescent="0.35">
      <c r="A5874" t="s">
        <v>227</v>
      </c>
      <c r="B5874" t="s">
        <v>249</v>
      </c>
      <c r="C5874" s="2">
        <v>0.81559999999999999</v>
      </c>
      <c r="D5874" s="2">
        <v>9.4100000000000003E-2</v>
      </c>
      <c r="E5874" s="2">
        <v>5.9299999999999999E-2</v>
      </c>
      <c r="F5874" s="2">
        <v>3.1E-2</v>
      </c>
      <c r="H5874">
        <v>540</v>
      </c>
    </row>
    <row r="5875" spans="1:8" x14ac:dyDescent="0.35">
      <c r="A5875" t="s">
        <v>227</v>
      </c>
      <c r="B5875" t="s">
        <v>247</v>
      </c>
      <c r="C5875" s="2">
        <v>0.81920000000000004</v>
      </c>
      <c r="D5875" s="2">
        <v>9.0999999999999998E-2</v>
      </c>
      <c r="E5875" s="2">
        <v>6.0999999999999999E-2</v>
      </c>
      <c r="F5875" s="2">
        <v>2.8400000000000002E-2</v>
      </c>
      <c r="G5875" s="2">
        <v>4.0000000000000002E-4</v>
      </c>
      <c r="H5875">
        <v>1473</v>
      </c>
    </row>
    <row r="5876" spans="1:8" x14ac:dyDescent="0.35">
      <c r="A5876" t="s">
        <v>228</v>
      </c>
      <c r="B5876" t="s">
        <v>228</v>
      </c>
      <c r="C5876" s="2">
        <v>0.82920000000000005</v>
      </c>
      <c r="D5876" s="2">
        <v>9.2299999999999993E-2</v>
      </c>
      <c r="E5876" s="2">
        <v>5.4199999999999998E-2</v>
      </c>
      <c r="F5876" s="2">
        <v>2.3900000000000001E-2</v>
      </c>
      <c r="G5876" s="2">
        <v>4.0000000000000002E-4</v>
      </c>
      <c r="H5876">
        <v>2808</v>
      </c>
    </row>
    <row r="5878" spans="1:8" x14ac:dyDescent="0.35">
      <c r="A5878" s="1" t="s">
        <v>1623</v>
      </c>
    </row>
    <row r="5879" spans="1:8" x14ac:dyDescent="0.35">
      <c r="A5879" t="s">
        <v>219</v>
      </c>
      <c r="B5879" t="s">
        <v>301</v>
      </c>
      <c r="C5879" t="s">
        <v>298</v>
      </c>
      <c r="D5879" t="s">
        <v>277</v>
      </c>
      <c r="E5879" t="s">
        <v>1615</v>
      </c>
      <c r="F5879" t="s">
        <v>1616</v>
      </c>
      <c r="G5879" t="s">
        <v>282</v>
      </c>
      <c r="H5879" t="s">
        <v>226</v>
      </c>
    </row>
    <row r="5880" spans="1:8" x14ac:dyDescent="0.35">
      <c r="A5880" t="s">
        <v>227</v>
      </c>
      <c r="B5880" t="s">
        <v>245</v>
      </c>
      <c r="C5880" s="2">
        <v>0.79279999999999995</v>
      </c>
      <c r="D5880" s="2">
        <v>0.1002</v>
      </c>
      <c r="E5880" s="2">
        <v>7.5800000000000006E-2</v>
      </c>
      <c r="F5880" s="2">
        <v>3.0800000000000001E-2</v>
      </c>
      <c r="G5880" s="2">
        <v>4.0000000000000002E-4</v>
      </c>
      <c r="H5880">
        <v>781</v>
      </c>
    </row>
    <row r="5881" spans="1:8" x14ac:dyDescent="0.35">
      <c r="A5881" t="s">
        <v>227</v>
      </c>
      <c r="B5881" t="s">
        <v>244</v>
      </c>
      <c r="C5881" s="2">
        <v>0.84360000000000002</v>
      </c>
      <c r="D5881" s="2">
        <v>8.9099999999999999E-2</v>
      </c>
      <c r="E5881" s="2">
        <v>4.5600000000000002E-2</v>
      </c>
      <c r="F5881" s="2">
        <v>2.12E-2</v>
      </c>
      <c r="G5881" s="2">
        <v>5.0000000000000001E-4</v>
      </c>
      <c r="H5881">
        <v>2027</v>
      </c>
    </row>
    <row r="5882" spans="1:8" x14ac:dyDescent="0.35">
      <c r="A5882" t="s">
        <v>228</v>
      </c>
      <c r="B5882" t="s">
        <v>228</v>
      </c>
      <c r="C5882" s="2">
        <v>0.82920000000000005</v>
      </c>
      <c r="D5882" s="2">
        <v>9.2299999999999993E-2</v>
      </c>
      <c r="E5882" s="2">
        <v>5.4199999999999998E-2</v>
      </c>
      <c r="F5882" s="2">
        <v>2.3900000000000001E-2</v>
      </c>
      <c r="G5882" s="2">
        <v>4.0000000000000002E-4</v>
      </c>
      <c r="H5882">
        <v>2808</v>
      </c>
    </row>
    <row r="5884" spans="1:8" x14ac:dyDescent="0.35">
      <c r="A5884" s="1" t="s">
        <v>1624</v>
      </c>
    </row>
    <row r="5885" spans="1:8" x14ac:dyDescent="0.35">
      <c r="A5885" t="s">
        <v>219</v>
      </c>
      <c r="B5885" t="s">
        <v>301</v>
      </c>
      <c r="C5885" t="s">
        <v>298</v>
      </c>
      <c r="D5885" t="s">
        <v>277</v>
      </c>
      <c r="E5885" t="s">
        <v>1615</v>
      </c>
      <c r="F5885" t="s">
        <v>1616</v>
      </c>
      <c r="G5885" t="s">
        <v>282</v>
      </c>
      <c r="H5885" t="s">
        <v>226</v>
      </c>
    </row>
    <row r="5886" spans="1:8" x14ac:dyDescent="0.35">
      <c r="A5886" t="s">
        <v>227</v>
      </c>
      <c r="B5886" t="s">
        <v>259</v>
      </c>
      <c r="C5886" s="2">
        <v>0.71779999999999999</v>
      </c>
      <c r="D5886" s="2">
        <v>0.16889999999999999</v>
      </c>
      <c r="E5886" s="2">
        <v>8.0399999999999999E-2</v>
      </c>
      <c r="F5886" s="2">
        <v>3.2899999999999999E-2</v>
      </c>
      <c r="H5886">
        <v>69</v>
      </c>
    </row>
    <row r="5887" spans="1:8" x14ac:dyDescent="0.35">
      <c r="A5887" t="s">
        <v>227</v>
      </c>
      <c r="B5887" t="s">
        <v>257</v>
      </c>
      <c r="C5887" s="2">
        <v>0.84640000000000004</v>
      </c>
      <c r="D5887" s="2">
        <v>0.10249999999999999</v>
      </c>
      <c r="E5887" s="2">
        <v>3.0599999999999999E-2</v>
      </c>
      <c r="F5887" s="2">
        <v>2.0500000000000001E-2</v>
      </c>
      <c r="H5887">
        <v>404</v>
      </c>
    </row>
    <row r="5888" spans="1:8" x14ac:dyDescent="0.35">
      <c r="A5888" t="s">
        <v>227</v>
      </c>
      <c r="B5888" t="s">
        <v>256</v>
      </c>
      <c r="C5888" s="2">
        <v>0.84560000000000002</v>
      </c>
      <c r="D5888" s="2">
        <v>8.9300000000000004E-2</v>
      </c>
      <c r="E5888" s="2">
        <v>4.7899999999999998E-2</v>
      </c>
      <c r="F5888" s="2">
        <v>1.66E-2</v>
      </c>
      <c r="G5888" s="2">
        <v>5.0000000000000001E-4</v>
      </c>
      <c r="H5888">
        <v>1801</v>
      </c>
    </row>
    <row r="5889" spans="1:8" x14ac:dyDescent="0.35">
      <c r="A5889" s="3" t="s">
        <v>227</v>
      </c>
      <c r="B5889" s="3" t="s">
        <v>232</v>
      </c>
      <c r="C5889" s="4">
        <v>0.78010000000000002</v>
      </c>
      <c r="D5889" s="4">
        <v>0.1767</v>
      </c>
      <c r="E5889" s="4">
        <v>4.3200000000000002E-2</v>
      </c>
      <c r="F5889" s="5"/>
      <c r="G5889" s="5"/>
      <c r="H5889" s="5" t="s">
        <v>307</v>
      </c>
    </row>
    <row r="5890" spans="1:8" x14ac:dyDescent="0.35">
      <c r="A5890" t="s">
        <v>227</v>
      </c>
      <c r="B5890" t="s">
        <v>258</v>
      </c>
      <c r="C5890" s="2">
        <v>0.74719999999999998</v>
      </c>
      <c r="D5890" s="2">
        <v>8.3599999999999994E-2</v>
      </c>
      <c r="E5890" s="2">
        <v>0.1075</v>
      </c>
      <c r="F5890" s="2">
        <v>6.0999999999999999E-2</v>
      </c>
      <c r="G5890" s="2">
        <v>6.9999999999999999E-4</v>
      </c>
      <c r="H5890">
        <v>523</v>
      </c>
    </row>
    <row r="5891" spans="1:8" x14ac:dyDescent="0.35">
      <c r="A5891" t="s">
        <v>228</v>
      </c>
      <c r="B5891" t="s">
        <v>228</v>
      </c>
      <c r="C5891" s="2">
        <v>0.82920000000000005</v>
      </c>
      <c r="D5891" s="2">
        <v>9.2299999999999993E-2</v>
      </c>
      <c r="E5891" s="2">
        <v>5.4199999999999998E-2</v>
      </c>
      <c r="F5891" s="2">
        <v>2.3900000000000001E-2</v>
      </c>
      <c r="G5891" s="2">
        <v>4.0000000000000002E-4</v>
      </c>
      <c r="H5891">
        <v>2808</v>
      </c>
    </row>
    <row r="5893" spans="1:8" x14ac:dyDescent="0.35">
      <c r="A5893" s="1" t="s">
        <v>1625</v>
      </c>
    </row>
    <row r="5894" spans="1:8" x14ac:dyDescent="0.35">
      <c r="A5894" t="s">
        <v>219</v>
      </c>
      <c r="B5894" t="s">
        <v>301</v>
      </c>
      <c r="C5894" t="s">
        <v>298</v>
      </c>
      <c r="D5894" t="s">
        <v>277</v>
      </c>
      <c r="E5894" t="s">
        <v>1615</v>
      </c>
      <c r="F5894" t="s">
        <v>1616</v>
      </c>
      <c r="G5894" t="s">
        <v>282</v>
      </c>
      <c r="H5894" t="s">
        <v>226</v>
      </c>
    </row>
    <row r="5895" spans="1:8" x14ac:dyDescent="0.35">
      <c r="A5895" t="s">
        <v>227</v>
      </c>
      <c r="B5895" t="s">
        <v>343</v>
      </c>
      <c r="C5895" s="2">
        <v>0.84640000000000004</v>
      </c>
      <c r="D5895" s="2">
        <v>0.10249999999999999</v>
      </c>
      <c r="E5895" s="2">
        <v>3.0599999999999999E-2</v>
      </c>
      <c r="F5895" s="2">
        <v>2.0500000000000001E-2</v>
      </c>
      <c r="H5895">
        <v>404</v>
      </c>
    </row>
    <row r="5896" spans="1:8" x14ac:dyDescent="0.35">
      <c r="A5896" t="s">
        <v>227</v>
      </c>
      <c r="B5896" t="s">
        <v>344</v>
      </c>
      <c r="C5896" s="2">
        <v>0.82569999999999999</v>
      </c>
      <c r="D5896" s="2">
        <v>9.0200000000000002E-2</v>
      </c>
      <c r="E5896" s="2">
        <v>5.8999999999999997E-2</v>
      </c>
      <c r="F5896" s="2">
        <v>2.46E-2</v>
      </c>
      <c r="G5896" s="2">
        <v>5.0000000000000001E-4</v>
      </c>
      <c r="H5896">
        <v>2404</v>
      </c>
    </row>
    <row r="5897" spans="1:8" x14ac:dyDescent="0.35">
      <c r="A5897" t="s">
        <v>228</v>
      </c>
      <c r="B5897" t="s">
        <v>228</v>
      </c>
      <c r="C5897" s="2">
        <v>0.82920000000000005</v>
      </c>
      <c r="D5897" s="2">
        <v>9.2299999999999993E-2</v>
      </c>
      <c r="E5897" s="2">
        <v>5.4199999999999998E-2</v>
      </c>
      <c r="F5897" s="2">
        <v>2.3900000000000001E-2</v>
      </c>
      <c r="G5897" s="2">
        <v>4.0000000000000002E-4</v>
      </c>
      <c r="H5897">
        <v>2808</v>
      </c>
    </row>
    <row r="5899" spans="1:8" x14ac:dyDescent="0.35">
      <c r="A5899" s="1" t="s">
        <v>1626</v>
      </c>
    </row>
    <row r="5900" spans="1:8" x14ac:dyDescent="0.35">
      <c r="A5900" t="s">
        <v>219</v>
      </c>
      <c r="B5900" t="s">
        <v>301</v>
      </c>
      <c r="C5900" t="s">
        <v>298</v>
      </c>
      <c r="D5900" t="s">
        <v>277</v>
      </c>
      <c r="E5900" t="s">
        <v>1615</v>
      </c>
      <c r="F5900" t="s">
        <v>1616</v>
      </c>
      <c r="G5900" t="s">
        <v>282</v>
      </c>
      <c r="H5900" t="s">
        <v>226</v>
      </c>
    </row>
    <row r="5901" spans="1:8" x14ac:dyDescent="0.35">
      <c r="A5901" t="s">
        <v>227</v>
      </c>
      <c r="B5901" t="s">
        <v>346</v>
      </c>
      <c r="C5901" s="2">
        <v>0.86660000000000004</v>
      </c>
      <c r="D5901" s="2">
        <v>0.08</v>
      </c>
      <c r="E5901" s="2">
        <v>3.7400000000000003E-2</v>
      </c>
      <c r="F5901" s="2">
        <v>1.5800000000000002E-2</v>
      </c>
      <c r="G5901" s="2">
        <v>2.0000000000000001E-4</v>
      </c>
      <c r="H5901">
        <v>1458</v>
      </c>
    </row>
    <row r="5902" spans="1:8" x14ac:dyDescent="0.35">
      <c r="A5902" t="s">
        <v>227</v>
      </c>
      <c r="B5902" t="s">
        <v>347</v>
      </c>
      <c r="C5902" s="2">
        <v>0.47010000000000002</v>
      </c>
      <c r="D5902" s="2">
        <v>0.2089</v>
      </c>
      <c r="E5902" s="2">
        <v>0.20080000000000001</v>
      </c>
      <c r="F5902" s="2">
        <v>0.11219999999999999</v>
      </c>
      <c r="G5902" s="2">
        <v>8.0999999999999996E-3</v>
      </c>
      <c r="H5902">
        <v>585</v>
      </c>
    </row>
    <row r="5903" spans="1:8" x14ac:dyDescent="0.35">
      <c r="A5903" t="s">
        <v>227</v>
      </c>
      <c r="B5903" t="s">
        <v>348</v>
      </c>
      <c r="C5903" s="2">
        <v>0.62929999999999997</v>
      </c>
      <c r="D5903" s="2">
        <v>0.15809999999999999</v>
      </c>
      <c r="E5903" s="2">
        <v>0.1487</v>
      </c>
      <c r="F5903" s="2">
        <v>6.3899999999999998E-2</v>
      </c>
      <c r="H5903">
        <v>765</v>
      </c>
    </row>
    <row r="5904" spans="1:8" x14ac:dyDescent="0.35">
      <c r="A5904" t="s">
        <v>228</v>
      </c>
      <c r="B5904" t="s">
        <v>228</v>
      </c>
      <c r="C5904" s="2">
        <v>0.82920000000000005</v>
      </c>
      <c r="D5904" s="2">
        <v>9.2299999999999993E-2</v>
      </c>
      <c r="E5904" s="2">
        <v>5.4199999999999998E-2</v>
      </c>
      <c r="F5904" s="2">
        <v>2.3900000000000001E-2</v>
      </c>
      <c r="G5904" s="2">
        <v>4.0000000000000002E-4</v>
      </c>
      <c r="H5904">
        <v>2808</v>
      </c>
    </row>
    <row r="5906" spans="1:8" x14ac:dyDescent="0.35">
      <c r="A5906" s="1" t="s">
        <v>1627</v>
      </c>
    </row>
    <row r="5907" spans="1:8" x14ac:dyDescent="0.35">
      <c r="A5907" t="s">
        <v>219</v>
      </c>
      <c r="B5907" t="s">
        <v>301</v>
      </c>
      <c r="C5907" t="s">
        <v>298</v>
      </c>
      <c r="D5907" t="s">
        <v>277</v>
      </c>
      <c r="E5907" t="s">
        <v>1615</v>
      </c>
      <c r="F5907" t="s">
        <v>1616</v>
      </c>
      <c r="G5907" t="s">
        <v>282</v>
      </c>
      <c r="H5907" t="s">
        <v>226</v>
      </c>
    </row>
    <row r="5908" spans="1:8" x14ac:dyDescent="0.35">
      <c r="A5908" t="s">
        <v>227</v>
      </c>
      <c r="B5908" t="s">
        <v>251</v>
      </c>
      <c r="C5908" s="2">
        <v>0.84360000000000002</v>
      </c>
      <c r="D5908" s="2">
        <v>8.9099999999999999E-2</v>
      </c>
      <c r="E5908" s="2">
        <v>4.5600000000000002E-2</v>
      </c>
      <c r="F5908" s="2">
        <v>2.12E-2</v>
      </c>
      <c r="G5908" s="2">
        <v>5.0000000000000001E-4</v>
      </c>
      <c r="H5908">
        <v>2027</v>
      </c>
    </row>
    <row r="5909" spans="1:8" x14ac:dyDescent="0.35">
      <c r="A5909" t="s">
        <v>227</v>
      </c>
      <c r="B5909" t="s">
        <v>252</v>
      </c>
      <c r="C5909" s="2">
        <v>0.78969999999999996</v>
      </c>
      <c r="D5909" s="2">
        <v>9.5000000000000001E-2</v>
      </c>
      <c r="E5909" s="2">
        <v>7.8899999999999998E-2</v>
      </c>
      <c r="F5909" s="2">
        <v>3.5900000000000001E-2</v>
      </c>
      <c r="G5909" s="2">
        <v>5.0000000000000001E-4</v>
      </c>
      <c r="H5909">
        <v>620</v>
      </c>
    </row>
    <row r="5910" spans="1:8" x14ac:dyDescent="0.35">
      <c r="A5910" t="s">
        <v>227</v>
      </c>
      <c r="B5910" t="s">
        <v>253</v>
      </c>
      <c r="C5910" s="2">
        <v>0.80559999999999998</v>
      </c>
      <c r="D5910" s="2">
        <v>0.1235</v>
      </c>
      <c r="E5910" s="2">
        <v>6.1600000000000002E-2</v>
      </c>
      <c r="F5910" s="2">
        <v>9.1999999999999998E-3</v>
      </c>
      <c r="H5910">
        <v>152</v>
      </c>
    </row>
    <row r="5911" spans="1:8" x14ac:dyDescent="0.35">
      <c r="A5911" s="3" t="s">
        <v>227</v>
      </c>
      <c r="B5911" s="3" t="s">
        <v>254</v>
      </c>
      <c r="C5911" s="4">
        <v>0.81530000000000002</v>
      </c>
      <c r="D5911" s="4">
        <v>0.10440000000000001</v>
      </c>
      <c r="E5911" s="4">
        <v>8.0299999999999996E-2</v>
      </c>
      <c r="F5911" s="5"/>
      <c r="G5911" s="5"/>
      <c r="H5911" s="5" t="s">
        <v>515</v>
      </c>
    </row>
    <row r="5912" spans="1:8" x14ac:dyDescent="0.35">
      <c r="A5912" t="s">
        <v>228</v>
      </c>
      <c r="B5912" t="s">
        <v>228</v>
      </c>
      <c r="C5912" s="2">
        <v>0.82920000000000005</v>
      </c>
      <c r="D5912" s="2">
        <v>9.2299999999999993E-2</v>
      </c>
      <c r="E5912" s="2">
        <v>5.4199999999999998E-2</v>
      </c>
      <c r="F5912" s="2">
        <v>2.3900000000000001E-2</v>
      </c>
      <c r="G5912" s="2">
        <v>4.0000000000000002E-4</v>
      </c>
      <c r="H5912">
        <v>2808</v>
      </c>
    </row>
    <row r="5914" spans="1:8" x14ac:dyDescent="0.35">
      <c r="A5914" s="1" t="s">
        <v>1628</v>
      </c>
    </row>
    <row r="5915" spans="1:8" x14ac:dyDescent="0.35">
      <c r="A5915" t="s">
        <v>219</v>
      </c>
      <c r="B5915" t="s">
        <v>301</v>
      </c>
      <c r="C5915" t="s">
        <v>298</v>
      </c>
      <c r="D5915" t="s">
        <v>277</v>
      </c>
      <c r="E5915" t="s">
        <v>1615</v>
      </c>
      <c r="F5915" t="s">
        <v>1616</v>
      </c>
      <c r="G5915" t="s">
        <v>282</v>
      </c>
      <c r="H5915" t="s">
        <v>226</v>
      </c>
    </row>
    <row r="5916" spans="1:8" x14ac:dyDescent="0.35">
      <c r="A5916" t="s">
        <v>227</v>
      </c>
      <c r="B5916" t="s">
        <v>1335</v>
      </c>
      <c r="C5916" s="2">
        <v>0.84689999999999999</v>
      </c>
      <c r="D5916" s="2">
        <v>6.6600000000000006E-2</v>
      </c>
      <c r="E5916" s="2">
        <v>6.1899999999999997E-2</v>
      </c>
      <c r="F5916" s="2">
        <v>2.4400000000000002E-2</v>
      </c>
      <c r="G5916" s="2">
        <v>2.0000000000000001E-4</v>
      </c>
      <c r="H5916">
        <v>847</v>
      </c>
    </row>
    <row r="5917" spans="1:8" x14ac:dyDescent="0.35">
      <c r="A5917" s="3" t="s">
        <v>227</v>
      </c>
      <c r="B5917" s="3" t="s">
        <v>1336</v>
      </c>
      <c r="C5917" s="4">
        <v>1</v>
      </c>
      <c r="D5917" s="5"/>
      <c r="E5917" s="5"/>
      <c r="F5917" s="5"/>
      <c r="G5917" s="5"/>
      <c r="H5917" s="5" t="s">
        <v>434</v>
      </c>
    </row>
    <row r="5918" spans="1:8" x14ac:dyDescent="0.35">
      <c r="A5918" t="s">
        <v>227</v>
      </c>
      <c r="B5918" t="s">
        <v>1337</v>
      </c>
      <c r="C5918" s="2">
        <v>0.81979999999999997</v>
      </c>
      <c r="D5918" s="2">
        <v>0.10539999999999999</v>
      </c>
      <c r="E5918" s="2">
        <v>5.04E-2</v>
      </c>
      <c r="F5918" s="2">
        <v>2.3800000000000002E-2</v>
      </c>
      <c r="G5918" s="2">
        <v>5.9999999999999995E-4</v>
      </c>
      <c r="H5918">
        <v>1959</v>
      </c>
    </row>
    <row r="5919" spans="1:8" x14ac:dyDescent="0.35">
      <c r="A5919" t="s">
        <v>228</v>
      </c>
      <c r="B5919" t="s">
        <v>228</v>
      </c>
      <c r="C5919" s="2">
        <v>0.82920000000000005</v>
      </c>
      <c r="D5919" s="2">
        <v>9.2299999999999993E-2</v>
      </c>
      <c r="E5919" s="2">
        <v>5.4199999999999998E-2</v>
      </c>
      <c r="F5919" s="2">
        <v>2.3900000000000001E-2</v>
      </c>
      <c r="G5919" s="2">
        <v>4.0000000000000002E-4</v>
      </c>
      <c r="H5919">
        <v>2808</v>
      </c>
    </row>
    <row r="5921" spans="1:9" x14ac:dyDescent="0.35">
      <c r="A5921" s="1" t="s">
        <v>1629</v>
      </c>
    </row>
    <row r="5922" spans="1:9" x14ac:dyDescent="0.35">
      <c r="A5922" t="s">
        <v>219</v>
      </c>
      <c r="B5922" t="s">
        <v>301</v>
      </c>
      <c r="C5922" t="s">
        <v>298</v>
      </c>
      <c r="D5922" t="s">
        <v>277</v>
      </c>
      <c r="E5922" t="s">
        <v>1615</v>
      </c>
      <c r="F5922" t="s">
        <v>1616</v>
      </c>
      <c r="G5922" t="s">
        <v>282</v>
      </c>
      <c r="H5922" t="s">
        <v>226</v>
      </c>
    </row>
    <row r="5923" spans="1:9" x14ac:dyDescent="0.35">
      <c r="A5923" t="s">
        <v>227</v>
      </c>
      <c r="B5923" t="s">
        <v>1339</v>
      </c>
      <c r="C5923" s="2">
        <v>0.80800000000000005</v>
      </c>
      <c r="D5923" s="2">
        <v>5.5300000000000002E-2</v>
      </c>
      <c r="E5923" s="2">
        <v>6.5699999999999995E-2</v>
      </c>
      <c r="F5923" s="2">
        <v>7.0999999999999994E-2</v>
      </c>
      <c r="H5923">
        <v>50</v>
      </c>
    </row>
    <row r="5924" spans="1:9" x14ac:dyDescent="0.35">
      <c r="A5924" t="s">
        <v>227</v>
      </c>
      <c r="B5924" t="s">
        <v>1340</v>
      </c>
      <c r="C5924" s="2">
        <v>0.79210000000000003</v>
      </c>
      <c r="D5924" s="2">
        <v>9.7199999999999995E-2</v>
      </c>
      <c r="E5924" s="2">
        <v>8.3500000000000005E-2</v>
      </c>
      <c r="F5924" s="2">
        <v>2.7099999999999999E-2</v>
      </c>
      <c r="H5924">
        <v>728</v>
      </c>
    </row>
    <row r="5925" spans="1:9" x14ac:dyDescent="0.35">
      <c r="A5925" t="s">
        <v>227</v>
      </c>
      <c r="B5925" t="s">
        <v>1341</v>
      </c>
      <c r="C5925" s="2">
        <v>0.83540000000000003</v>
      </c>
      <c r="D5925" s="2">
        <v>9.0399999999999994E-2</v>
      </c>
      <c r="E5925" s="2">
        <v>4.7500000000000001E-2</v>
      </c>
      <c r="F5925" s="2">
        <v>2.64E-2</v>
      </c>
      <c r="G5925" s="2">
        <v>4.0000000000000002E-4</v>
      </c>
      <c r="H5925">
        <v>1341</v>
      </c>
    </row>
    <row r="5926" spans="1:9" x14ac:dyDescent="0.35">
      <c r="A5926" t="s">
        <v>227</v>
      </c>
      <c r="B5926" t="s">
        <v>1342</v>
      </c>
      <c r="C5926" s="2">
        <v>0.85550000000000004</v>
      </c>
      <c r="D5926" s="2">
        <v>9.4500000000000001E-2</v>
      </c>
      <c r="E5926" s="2">
        <v>3.7699999999999997E-2</v>
      </c>
      <c r="F5926" s="2">
        <v>1.1299999999999999E-2</v>
      </c>
      <c r="G5926" s="2">
        <v>1E-3</v>
      </c>
      <c r="H5926">
        <v>689</v>
      </c>
    </row>
    <row r="5927" spans="1:9" x14ac:dyDescent="0.35">
      <c r="A5927" t="s">
        <v>228</v>
      </c>
      <c r="B5927" t="s">
        <v>228</v>
      </c>
      <c r="C5927" s="2">
        <v>0.82920000000000005</v>
      </c>
      <c r="D5927" s="2">
        <v>9.2299999999999993E-2</v>
      </c>
      <c r="E5927" s="2">
        <v>5.4199999999999998E-2</v>
      </c>
      <c r="F5927" s="2">
        <v>2.3900000000000001E-2</v>
      </c>
      <c r="G5927" s="2">
        <v>4.0000000000000002E-4</v>
      </c>
      <c r="H5927">
        <v>2808</v>
      </c>
    </row>
    <row r="5929" spans="1:9" x14ac:dyDescent="0.35">
      <c r="A5929" s="1" t="s">
        <v>1630</v>
      </c>
    </row>
    <row r="5930" spans="1:9" x14ac:dyDescent="0.35">
      <c r="A5930" t="s">
        <v>219</v>
      </c>
      <c r="B5930" t="s">
        <v>301</v>
      </c>
      <c r="C5930" t="s">
        <v>325</v>
      </c>
      <c r="D5930" t="s">
        <v>298</v>
      </c>
      <c r="E5930" t="s">
        <v>277</v>
      </c>
      <c r="F5930" t="s">
        <v>1615</v>
      </c>
      <c r="G5930" t="s">
        <v>1616</v>
      </c>
      <c r="H5930" t="s">
        <v>282</v>
      </c>
      <c r="I5930" t="s">
        <v>226</v>
      </c>
    </row>
    <row r="5931" spans="1:9" x14ac:dyDescent="0.35">
      <c r="A5931" s="3" t="s">
        <v>227</v>
      </c>
      <c r="B5931" s="3" t="s">
        <v>1335</v>
      </c>
      <c r="C5931" s="3" t="s">
        <v>1339</v>
      </c>
      <c r="D5931" s="4">
        <v>0.70209999999999995</v>
      </c>
      <c r="E5931" s="4">
        <v>0.14580000000000001</v>
      </c>
      <c r="F5931" s="4">
        <v>7.0099999999999996E-2</v>
      </c>
      <c r="G5931" s="4">
        <v>8.2000000000000003E-2</v>
      </c>
      <c r="H5931" s="5"/>
      <c r="I5931" s="5" t="s">
        <v>429</v>
      </c>
    </row>
    <row r="5932" spans="1:9" x14ac:dyDescent="0.35">
      <c r="A5932" t="s">
        <v>227</v>
      </c>
      <c r="B5932" t="s">
        <v>1335</v>
      </c>
      <c r="C5932" t="s">
        <v>1340</v>
      </c>
      <c r="D5932" s="2">
        <v>0.8498</v>
      </c>
      <c r="E5932" s="2">
        <v>3.8699999999999998E-2</v>
      </c>
      <c r="F5932" s="2">
        <v>8.4900000000000003E-2</v>
      </c>
      <c r="G5932" s="2">
        <v>2.6599999999999999E-2</v>
      </c>
      <c r="I5932">
        <v>252</v>
      </c>
    </row>
    <row r="5933" spans="1:9" x14ac:dyDescent="0.35">
      <c r="A5933" t="s">
        <v>227</v>
      </c>
      <c r="B5933" t="s">
        <v>1335</v>
      </c>
      <c r="C5933" t="s">
        <v>1341</v>
      </c>
      <c r="D5933" s="2">
        <v>0.83340000000000003</v>
      </c>
      <c r="E5933" s="2">
        <v>8.0500000000000002E-2</v>
      </c>
      <c r="F5933" s="2">
        <v>5.6599999999999998E-2</v>
      </c>
      <c r="G5933" s="2">
        <v>2.9499999999999998E-2</v>
      </c>
      <c r="I5933">
        <v>419</v>
      </c>
    </row>
    <row r="5934" spans="1:9" x14ac:dyDescent="0.35">
      <c r="A5934" t="s">
        <v>227</v>
      </c>
      <c r="B5934" t="s">
        <v>1335</v>
      </c>
      <c r="C5934" t="s">
        <v>1342</v>
      </c>
      <c r="D5934" s="2">
        <v>0.89449999999999996</v>
      </c>
      <c r="E5934" s="2">
        <v>5.8200000000000002E-2</v>
      </c>
      <c r="F5934" s="2">
        <v>4.4499999999999998E-2</v>
      </c>
      <c r="G5934" s="2">
        <v>1.6999999999999999E-3</v>
      </c>
      <c r="H5934" s="2">
        <v>1.1000000000000001E-3</v>
      </c>
      <c r="I5934">
        <v>157</v>
      </c>
    </row>
    <row r="5935" spans="1:9" x14ac:dyDescent="0.35">
      <c r="A5935" s="3" t="s">
        <v>227</v>
      </c>
      <c r="B5935" s="3" t="s">
        <v>1336</v>
      </c>
      <c r="C5935" s="3" t="s">
        <v>1341</v>
      </c>
      <c r="D5935" s="4">
        <v>1</v>
      </c>
      <c r="E5935" s="5"/>
      <c r="F5935" s="5"/>
      <c r="G5935" s="5"/>
      <c r="H5935" s="5"/>
      <c r="I5935" s="5" t="s">
        <v>434</v>
      </c>
    </row>
    <row r="5936" spans="1:9" x14ac:dyDescent="0.35">
      <c r="A5936" t="s">
        <v>227</v>
      </c>
      <c r="B5936" t="s">
        <v>1337</v>
      </c>
      <c r="C5936" t="s">
        <v>1339</v>
      </c>
      <c r="D5936" s="2">
        <v>0.85680000000000001</v>
      </c>
      <c r="E5936" s="2">
        <v>1.3599999999999999E-2</v>
      </c>
      <c r="F5936" s="2">
        <v>6.3600000000000004E-2</v>
      </c>
      <c r="G5936" s="2">
        <v>6.6000000000000003E-2</v>
      </c>
      <c r="I5936">
        <v>31</v>
      </c>
    </row>
    <row r="5937" spans="1:9" x14ac:dyDescent="0.35">
      <c r="A5937" t="s">
        <v>227</v>
      </c>
      <c r="B5937" t="s">
        <v>1337</v>
      </c>
      <c r="C5937" t="s">
        <v>1340</v>
      </c>
      <c r="D5937" s="2">
        <v>0.75919999999999999</v>
      </c>
      <c r="E5937" s="2">
        <v>0.13070000000000001</v>
      </c>
      <c r="F5937" s="2">
        <v>8.2699999999999996E-2</v>
      </c>
      <c r="G5937" s="2">
        <v>2.75E-2</v>
      </c>
      <c r="I5937">
        <v>476</v>
      </c>
    </row>
    <row r="5938" spans="1:9" x14ac:dyDescent="0.35">
      <c r="A5938" t="s">
        <v>227</v>
      </c>
      <c r="B5938" t="s">
        <v>1337</v>
      </c>
      <c r="C5938" t="s">
        <v>1341</v>
      </c>
      <c r="D5938" s="2">
        <v>0.8357</v>
      </c>
      <c r="E5938" s="2">
        <v>9.6199999999999994E-2</v>
      </c>
      <c r="F5938" s="2">
        <v>4.2799999999999998E-2</v>
      </c>
      <c r="G5938" s="2">
        <v>2.4799999999999999E-2</v>
      </c>
      <c r="H5938" s="2">
        <v>5.9999999999999995E-4</v>
      </c>
      <c r="I5938">
        <v>920</v>
      </c>
    </row>
    <row r="5939" spans="1:9" x14ac:dyDescent="0.35">
      <c r="A5939" t="s">
        <v>227</v>
      </c>
      <c r="B5939" t="s">
        <v>1337</v>
      </c>
      <c r="C5939" t="s">
        <v>1342</v>
      </c>
      <c r="D5939" s="2">
        <v>0.84050000000000002</v>
      </c>
      <c r="E5939" s="2">
        <v>0.1085</v>
      </c>
      <c r="F5939" s="2">
        <v>3.5099999999999999E-2</v>
      </c>
      <c r="G5939" s="2">
        <v>1.4999999999999999E-2</v>
      </c>
      <c r="H5939" s="2">
        <v>1E-3</v>
      </c>
      <c r="I5939">
        <v>532</v>
      </c>
    </row>
    <row r="5940" spans="1:9" x14ac:dyDescent="0.35">
      <c r="A5940" t="s">
        <v>228</v>
      </c>
      <c r="B5940" t="s">
        <v>228</v>
      </c>
      <c r="C5940" t="s">
        <v>228</v>
      </c>
      <c r="D5940" s="2">
        <v>0.82920000000000005</v>
      </c>
      <c r="E5940" s="2">
        <v>9.2299999999999993E-2</v>
      </c>
      <c r="F5940" s="2">
        <v>5.4199999999999998E-2</v>
      </c>
      <c r="G5940" s="2">
        <v>2.3900000000000001E-2</v>
      </c>
      <c r="H5940" s="2">
        <v>4.0000000000000002E-4</v>
      </c>
      <c r="I5940">
        <v>2808</v>
      </c>
    </row>
    <row r="5942" spans="1:9" x14ac:dyDescent="0.35">
      <c r="A5942" s="1" t="s">
        <v>1631</v>
      </c>
    </row>
    <row r="5943" spans="1:9" x14ac:dyDescent="0.35">
      <c r="A5943" t="s">
        <v>219</v>
      </c>
      <c r="B5943" t="s">
        <v>299</v>
      </c>
      <c r="C5943" t="s">
        <v>298</v>
      </c>
      <c r="D5943" t="s">
        <v>277</v>
      </c>
      <c r="E5943" t="s">
        <v>226</v>
      </c>
    </row>
    <row r="5944" spans="1:9" x14ac:dyDescent="0.35">
      <c r="A5944" t="s">
        <v>227</v>
      </c>
      <c r="B5944" s="2">
        <v>0.53410000000000002</v>
      </c>
      <c r="C5944" s="2">
        <v>0.34849999999999998</v>
      </c>
      <c r="D5944" s="2">
        <v>0.1174</v>
      </c>
      <c r="E5944">
        <v>510</v>
      </c>
    </row>
    <row r="5945" spans="1:9" x14ac:dyDescent="0.35">
      <c r="A5945" t="s">
        <v>228</v>
      </c>
      <c r="B5945" s="2">
        <v>0.53410000000000002</v>
      </c>
      <c r="C5945" s="2">
        <v>0.34849999999999998</v>
      </c>
      <c r="D5945" s="2">
        <v>0.1174</v>
      </c>
      <c r="E5945">
        <v>510</v>
      </c>
    </row>
    <row r="5947" spans="1:9" x14ac:dyDescent="0.35">
      <c r="A5947" s="1" t="s">
        <v>1632</v>
      </c>
    </row>
    <row r="5948" spans="1:9" x14ac:dyDescent="0.35">
      <c r="A5948" t="s">
        <v>219</v>
      </c>
      <c r="B5948" t="s">
        <v>301</v>
      </c>
      <c r="C5948" t="s">
        <v>299</v>
      </c>
      <c r="D5948" t="s">
        <v>298</v>
      </c>
      <c r="E5948" t="s">
        <v>277</v>
      </c>
      <c r="F5948" t="s">
        <v>226</v>
      </c>
    </row>
    <row r="5949" spans="1:9" x14ac:dyDescent="0.35">
      <c r="A5949" t="s">
        <v>227</v>
      </c>
      <c r="B5949" t="s">
        <v>238</v>
      </c>
      <c r="C5949" s="2">
        <v>0.57750000000000001</v>
      </c>
      <c r="D5949" s="2">
        <v>0.30220000000000002</v>
      </c>
      <c r="E5949" s="2">
        <v>0.1203</v>
      </c>
      <c r="F5949">
        <v>164</v>
      </c>
    </row>
    <row r="5950" spans="1:9" x14ac:dyDescent="0.35">
      <c r="A5950" t="s">
        <v>227</v>
      </c>
      <c r="B5950" t="s">
        <v>237</v>
      </c>
      <c r="C5950" s="2">
        <v>0.51439999999999997</v>
      </c>
      <c r="D5950" s="2">
        <v>0.36940000000000001</v>
      </c>
      <c r="E5950" s="2">
        <v>0.11609999999999999</v>
      </c>
      <c r="F5950">
        <v>346</v>
      </c>
    </row>
    <row r="5951" spans="1:9" x14ac:dyDescent="0.35">
      <c r="A5951" t="s">
        <v>228</v>
      </c>
      <c r="B5951" t="s">
        <v>228</v>
      </c>
      <c r="C5951" s="2">
        <v>0.53410000000000002</v>
      </c>
      <c r="D5951" s="2">
        <v>0.34849999999999998</v>
      </c>
      <c r="E5951" s="2">
        <v>0.1174</v>
      </c>
      <c r="F5951">
        <v>510</v>
      </c>
    </row>
    <row r="5953" spans="1:6" x14ac:dyDescent="0.35">
      <c r="A5953" s="1" t="s">
        <v>1633</v>
      </c>
    </row>
    <row r="5954" spans="1:6" x14ac:dyDescent="0.35">
      <c r="A5954" t="s">
        <v>219</v>
      </c>
      <c r="B5954" t="s">
        <v>301</v>
      </c>
      <c r="C5954" t="s">
        <v>299</v>
      </c>
      <c r="D5954" t="s">
        <v>298</v>
      </c>
      <c r="E5954" t="s">
        <v>277</v>
      </c>
      <c r="F5954" t="s">
        <v>226</v>
      </c>
    </row>
    <row r="5955" spans="1:6" x14ac:dyDescent="0.35">
      <c r="A5955" t="s">
        <v>227</v>
      </c>
      <c r="B5955" t="s">
        <v>235</v>
      </c>
      <c r="C5955" s="2">
        <v>0.54390000000000005</v>
      </c>
      <c r="D5955" s="2">
        <v>0.33779999999999999</v>
      </c>
      <c r="E5955" s="2">
        <v>0.11840000000000001</v>
      </c>
      <c r="F5955">
        <v>161</v>
      </c>
    </row>
    <row r="5956" spans="1:6" x14ac:dyDescent="0.35">
      <c r="A5956" t="s">
        <v>227</v>
      </c>
      <c r="B5956" t="s">
        <v>234</v>
      </c>
      <c r="C5956" s="2">
        <v>0.53139999999999998</v>
      </c>
      <c r="D5956" s="2">
        <v>0.35139999999999999</v>
      </c>
      <c r="E5956" s="2">
        <v>0.1172</v>
      </c>
      <c r="F5956">
        <v>349</v>
      </c>
    </row>
    <row r="5957" spans="1:6" x14ac:dyDescent="0.35">
      <c r="A5957" t="s">
        <v>228</v>
      </c>
      <c r="B5957" t="s">
        <v>228</v>
      </c>
      <c r="C5957" s="2">
        <v>0.53410000000000002</v>
      </c>
      <c r="D5957" s="2">
        <v>0.34849999999999998</v>
      </c>
      <c r="E5957" s="2">
        <v>0.1174</v>
      </c>
      <c r="F5957">
        <v>510</v>
      </c>
    </row>
    <row r="5959" spans="1:6" x14ac:dyDescent="0.35">
      <c r="A5959" s="1" t="s">
        <v>1634</v>
      </c>
    </row>
    <row r="5960" spans="1:6" x14ac:dyDescent="0.35">
      <c r="A5960" t="s">
        <v>219</v>
      </c>
      <c r="B5960" t="s">
        <v>301</v>
      </c>
      <c r="C5960" t="s">
        <v>299</v>
      </c>
      <c r="D5960" t="s">
        <v>298</v>
      </c>
      <c r="E5960" t="s">
        <v>277</v>
      </c>
      <c r="F5960" t="s">
        <v>226</v>
      </c>
    </row>
    <row r="5961" spans="1:6" x14ac:dyDescent="0.35">
      <c r="A5961" t="s">
        <v>227</v>
      </c>
      <c r="B5961" t="s">
        <v>240</v>
      </c>
      <c r="C5961" s="2">
        <v>0.50409999999999999</v>
      </c>
      <c r="D5961" s="2">
        <v>0.39900000000000002</v>
      </c>
      <c r="E5961" s="2">
        <v>9.6799999999999997E-2</v>
      </c>
      <c r="F5961">
        <v>316</v>
      </c>
    </row>
    <row r="5962" spans="1:6" x14ac:dyDescent="0.35">
      <c r="A5962" t="s">
        <v>227</v>
      </c>
      <c r="B5962" t="s">
        <v>241</v>
      </c>
      <c r="C5962" s="2">
        <v>0.57909999999999995</v>
      </c>
      <c r="D5962" s="2">
        <v>0.2286</v>
      </c>
      <c r="E5962" s="2">
        <v>0.19239999999999999</v>
      </c>
      <c r="F5962">
        <v>165</v>
      </c>
    </row>
    <row r="5963" spans="1:6" x14ac:dyDescent="0.35">
      <c r="A5963" s="3" t="s">
        <v>227</v>
      </c>
      <c r="B5963" s="3" t="s">
        <v>242</v>
      </c>
      <c r="C5963" s="4">
        <v>0.66359999999999997</v>
      </c>
      <c r="D5963" s="4">
        <v>0.30549999999999999</v>
      </c>
      <c r="E5963" s="4">
        <v>3.09E-2</v>
      </c>
      <c r="F5963" s="5" t="s">
        <v>851</v>
      </c>
    </row>
    <row r="5964" spans="1:6" x14ac:dyDescent="0.35">
      <c r="A5964" t="s">
        <v>228</v>
      </c>
      <c r="B5964" t="s">
        <v>228</v>
      </c>
      <c r="C5964" s="2">
        <v>0.53410000000000002</v>
      </c>
      <c r="D5964" s="2">
        <v>0.34849999999999998</v>
      </c>
      <c r="E5964" s="2">
        <v>0.1174</v>
      </c>
      <c r="F5964">
        <v>510</v>
      </c>
    </row>
    <row r="5966" spans="1:6" x14ac:dyDescent="0.35">
      <c r="A5966" s="1" t="s">
        <v>1635</v>
      </c>
    </row>
    <row r="5967" spans="1:6" x14ac:dyDescent="0.35">
      <c r="A5967" t="s">
        <v>219</v>
      </c>
      <c r="B5967" t="s">
        <v>301</v>
      </c>
      <c r="C5967" t="s">
        <v>299</v>
      </c>
      <c r="D5967" t="s">
        <v>298</v>
      </c>
      <c r="E5967" t="s">
        <v>277</v>
      </c>
      <c r="F5967" t="s">
        <v>226</v>
      </c>
    </row>
    <row r="5968" spans="1:6" x14ac:dyDescent="0.35">
      <c r="A5968" t="s">
        <v>227</v>
      </c>
      <c r="B5968" t="s">
        <v>334</v>
      </c>
      <c r="C5968" s="2">
        <v>0.57030000000000003</v>
      </c>
      <c r="D5968" s="2">
        <v>0.30049999999999999</v>
      </c>
      <c r="E5968" s="2">
        <v>0.12920000000000001</v>
      </c>
      <c r="F5968">
        <v>107</v>
      </c>
    </row>
    <row r="5969" spans="1:6" x14ac:dyDescent="0.35">
      <c r="A5969" t="s">
        <v>227</v>
      </c>
      <c r="B5969" t="s">
        <v>335</v>
      </c>
      <c r="C5969" s="2">
        <v>0.54579999999999995</v>
      </c>
      <c r="D5969" s="2">
        <v>0.35880000000000001</v>
      </c>
      <c r="E5969" s="2">
        <v>9.5299999999999996E-2</v>
      </c>
      <c r="F5969">
        <v>120</v>
      </c>
    </row>
    <row r="5970" spans="1:6" x14ac:dyDescent="0.35">
      <c r="A5970" t="s">
        <v>227</v>
      </c>
      <c r="B5970" t="s">
        <v>336</v>
      </c>
      <c r="C5970" s="2">
        <v>0.54659999999999997</v>
      </c>
      <c r="D5970" s="2">
        <v>0.29559999999999997</v>
      </c>
      <c r="E5970" s="2">
        <v>0.15790000000000001</v>
      </c>
      <c r="F5970">
        <v>112</v>
      </c>
    </row>
    <row r="5971" spans="1:6" x14ac:dyDescent="0.35">
      <c r="A5971" t="s">
        <v>227</v>
      </c>
      <c r="B5971" t="s">
        <v>337</v>
      </c>
      <c r="C5971" s="2">
        <v>0.49890000000000001</v>
      </c>
      <c r="D5971" s="2">
        <v>0.39800000000000002</v>
      </c>
      <c r="E5971" s="2">
        <v>0.1031</v>
      </c>
      <c r="F5971">
        <v>103</v>
      </c>
    </row>
    <row r="5972" spans="1:6" x14ac:dyDescent="0.35">
      <c r="A5972" t="s">
        <v>228</v>
      </c>
      <c r="B5972" t="s">
        <v>228</v>
      </c>
      <c r="C5972" s="2">
        <v>0.53410000000000002</v>
      </c>
      <c r="D5972" s="2">
        <v>0.34849999999999998</v>
      </c>
      <c r="E5972" s="2">
        <v>0.1174</v>
      </c>
      <c r="F5972">
        <v>442</v>
      </c>
    </row>
    <row r="5974" spans="1:6" x14ac:dyDescent="0.35">
      <c r="A5974" s="1" t="s">
        <v>1636</v>
      </c>
    </row>
    <row r="5975" spans="1:6" x14ac:dyDescent="0.35">
      <c r="A5975" t="s">
        <v>219</v>
      </c>
      <c r="B5975" t="s">
        <v>301</v>
      </c>
      <c r="C5975" t="s">
        <v>299</v>
      </c>
      <c r="D5975" t="s">
        <v>298</v>
      </c>
      <c r="E5975" t="s">
        <v>277</v>
      </c>
      <c r="F5975" t="s">
        <v>226</v>
      </c>
    </row>
    <row r="5976" spans="1:6" x14ac:dyDescent="0.35">
      <c r="A5976" t="s">
        <v>227</v>
      </c>
      <c r="B5976" t="s">
        <v>263</v>
      </c>
      <c r="C5976" s="2">
        <v>0.60850000000000004</v>
      </c>
      <c r="D5976" s="2">
        <v>0.2828</v>
      </c>
      <c r="E5976" s="2">
        <v>0.1087</v>
      </c>
      <c r="F5976">
        <v>133</v>
      </c>
    </row>
    <row r="5977" spans="1:6" x14ac:dyDescent="0.35">
      <c r="A5977" t="s">
        <v>227</v>
      </c>
      <c r="B5977" t="s">
        <v>262</v>
      </c>
      <c r="C5977" s="2">
        <v>0.47620000000000001</v>
      </c>
      <c r="D5977" s="2">
        <v>0.3533</v>
      </c>
      <c r="E5977" s="2">
        <v>0.1706</v>
      </c>
      <c r="F5977">
        <v>204</v>
      </c>
    </row>
    <row r="5978" spans="1:6" x14ac:dyDescent="0.35">
      <c r="A5978" t="s">
        <v>227</v>
      </c>
      <c r="B5978" t="s">
        <v>261</v>
      </c>
      <c r="C5978" s="2">
        <v>0.53269999999999995</v>
      </c>
      <c r="D5978" s="2">
        <v>0.38779999999999998</v>
      </c>
      <c r="E5978" s="2">
        <v>7.9500000000000001E-2</v>
      </c>
      <c r="F5978">
        <v>173</v>
      </c>
    </row>
    <row r="5979" spans="1:6" x14ac:dyDescent="0.35">
      <c r="A5979" t="s">
        <v>228</v>
      </c>
      <c r="B5979" t="s">
        <v>228</v>
      </c>
      <c r="C5979" s="2">
        <v>0.53410000000000002</v>
      </c>
      <c r="D5979" s="2">
        <v>0.34849999999999998</v>
      </c>
      <c r="E5979" s="2">
        <v>0.1174</v>
      </c>
      <c r="F5979">
        <v>510</v>
      </c>
    </row>
    <row r="5981" spans="1:6" x14ac:dyDescent="0.35">
      <c r="A5981" s="1" t="s">
        <v>1637</v>
      </c>
    </row>
    <row r="5982" spans="1:6" x14ac:dyDescent="0.35">
      <c r="A5982" t="s">
        <v>219</v>
      </c>
      <c r="B5982" t="s">
        <v>301</v>
      </c>
      <c r="C5982" t="s">
        <v>299</v>
      </c>
      <c r="D5982" t="s">
        <v>298</v>
      </c>
      <c r="E5982" t="s">
        <v>277</v>
      </c>
      <c r="F5982" t="s">
        <v>226</v>
      </c>
    </row>
    <row r="5983" spans="1:6" x14ac:dyDescent="0.35">
      <c r="A5983" t="s">
        <v>227</v>
      </c>
      <c r="B5983" t="s">
        <v>248</v>
      </c>
      <c r="C5983" s="2">
        <v>0.5655</v>
      </c>
      <c r="D5983" s="2">
        <v>0.25879999999999997</v>
      </c>
      <c r="E5983" s="2">
        <v>0.17560000000000001</v>
      </c>
      <c r="F5983">
        <v>125</v>
      </c>
    </row>
    <row r="5984" spans="1:6" x14ac:dyDescent="0.35">
      <c r="A5984" t="s">
        <v>227</v>
      </c>
      <c r="B5984" t="s">
        <v>249</v>
      </c>
      <c r="C5984" s="2">
        <v>0.5756</v>
      </c>
      <c r="D5984" s="2">
        <v>0.36220000000000002</v>
      </c>
      <c r="E5984" s="2">
        <v>6.2199999999999998E-2</v>
      </c>
      <c r="F5984">
        <v>106</v>
      </c>
    </row>
    <row r="5985" spans="1:6" x14ac:dyDescent="0.35">
      <c r="A5985" t="s">
        <v>227</v>
      </c>
      <c r="B5985" t="s">
        <v>247</v>
      </c>
      <c r="C5985" s="2">
        <v>0.50980000000000003</v>
      </c>
      <c r="D5985" s="2">
        <v>0.36899999999999999</v>
      </c>
      <c r="E5985" s="2">
        <v>0.1212</v>
      </c>
      <c r="F5985">
        <v>279</v>
      </c>
    </row>
    <row r="5986" spans="1:6" x14ac:dyDescent="0.35">
      <c r="A5986" t="s">
        <v>228</v>
      </c>
      <c r="B5986" t="s">
        <v>228</v>
      </c>
      <c r="C5986" s="2">
        <v>0.53410000000000002</v>
      </c>
      <c r="D5986" s="2">
        <v>0.34849999999999998</v>
      </c>
      <c r="E5986" s="2">
        <v>0.1174</v>
      </c>
      <c r="F5986">
        <v>510</v>
      </c>
    </row>
    <row r="5988" spans="1:6" x14ac:dyDescent="0.35">
      <c r="A5988" s="1" t="s">
        <v>1638</v>
      </c>
    </row>
    <row r="5989" spans="1:6" x14ac:dyDescent="0.35">
      <c r="A5989" t="s">
        <v>219</v>
      </c>
      <c r="B5989" t="s">
        <v>301</v>
      </c>
      <c r="C5989" t="s">
        <v>299</v>
      </c>
      <c r="D5989" t="s">
        <v>298</v>
      </c>
      <c r="E5989" t="s">
        <v>277</v>
      </c>
      <c r="F5989" t="s">
        <v>226</v>
      </c>
    </row>
    <row r="5990" spans="1:6" x14ac:dyDescent="0.35">
      <c r="A5990" t="s">
        <v>227</v>
      </c>
      <c r="B5990" t="s">
        <v>245</v>
      </c>
      <c r="C5990" s="2">
        <v>0.56810000000000005</v>
      </c>
      <c r="D5990" s="2">
        <v>0.33439999999999998</v>
      </c>
      <c r="E5990" s="2">
        <v>9.7500000000000003E-2</v>
      </c>
      <c r="F5990">
        <v>150</v>
      </c>
    </row>
    <row r="5991" spans="1:6" x14ac:dyDescent="0.35">
      <c r="A5991" t="s">
        <v>227</v>
      </c>
      <c r="B5991" t="s">
        <v>244</v>
      </c>
      <c r="C5991" s="2">
        <v>0.51300000000000001</v>
      </c>
      <c r="D5991" s="2">
        <v>0.35720000000000002</v>
      </c>
      <c r="E5991" s="2">
        <v>0.1298</v>
      </c>
      <c r="F5991">
        <v>360</v>
      </c>
    </row>
    <row r="5992" spans="1:6" x14ac:dyDescent="0.35">
      <c r="A5992" t="s">
        <v>228</v>
      </c>
      <c r="B5992" t="s">
        <v>228</v>
      </c>
      <c r="C5992" s="2">
        <v>0.53410000000000002</v>
      </c>
      <c r="D5992" s="2">
        <v>0.34849999999999998</v>
      </c>
      <c r="E5992" s="2">
        <v>0.1174</v>
      </c>
      <c r="F5992">
        <v>510</v>
      </c>
    </row>
    <row r="5994" spans="1:6" x14ac:dyDescent="0.35">
      <c r="A5994" s="1" t="s">
        <v>1639</v>
      </c>
    </row>
    <row r="5995" spans="1:6" x14ac:dyDescent="0.35">
      <c r="A5995" t="s">
        <v>219</v>
      </c>
      <c r="B5995" t="s">
        <v>301</v>
      </c>
      <c r="C5995" t="s">
        <v>299</v>
      </c>
      <c r="D5995" t="s">
        <v>298</v>
      </c>
      <c r="E5995" t="s">
        <v>277</v>
      </c>
      <c r="F5995" t="s">
        <v>226</v>
      </c>
    </row>
    <row r="5996" spans="1:6" x14ac:dyDescent="0.35">
      <c r="A5996" s="3" t="s">
        <v>227</v>
      </c>
      <c r="B5996" s="3" t="s">
        <v>259</v>
      </c>
      <c r="C5996" s="4">
        <v>0.95540000000000003</v>
      </c>
      <c r="D5996" s="5"/>
      <c r="E5996" s="4">
        <v>4.4600000000000001E-2</v>
      </c>
      <c r="F5996" s="5" t="s">
        <v>477</v>
      </c>
    </row>
    <row r="5997" spans="1:6" x14ac:dyDescent="0.35">
      <c r="A5997" t="s">
        <v>227</v>
      </c>
      <c r="B5997" t="s">
        <v>257</v>
      </c>
      <c r="C5997" s="2">
        <v>0.61280000000000001</v>
      </c>
      <c r="D5997" s="2">
        <v>0.2535</v>
      </c>
      <c r="E5997" s="2">
        <v>0.13370000000000001</v>
      </c>
      <c r="F5997">
        <v>57</v>
      </c>
    </row>
    <row r="5998" spans="1:6" x14ac:dyDescent="0.35">
      <c r="A5998" t="s">
        <v>227</v>
      </c>
      <c r="B5998" t="s">
        <v>256</v>
      </c>
      <c r="C5998" s="2">
        <v>0.45710000000000001</v>
      </c>
      <c r="D5998" s="2">
        <v>0.3901</v>
      </c>
      <c r="E5998" s="2">
        <v>0.15279999999999999</v>
      </c>
      <c r="F5998">
        <v>284</v>
      </c>
    </row>
    <row r="5999" spans="1:6" x14ac:dyDescent="0.35">
      <c r="A5999" s="3" t="s">
        <v>227</v>
      </c>
      <c r="B5999" s="3" t="s">
        <v>232</v>
      </c>
      <c r="C5999" s="5"/>
      <c r="D5999" s="5"/>
      <c r="E5999" s="4">
        <v>1</v>
      </c>
      <c r="F5999" s="5" t="s">
        <v>323</v>
      </c>
    </row>
    <row r="6000" spans="1:6" x14ac:dyDescent="0.35">
      <c r="A6000" t="s">
        <v>227</v>
      </c>
      <c r="B6000" t="s">
        <v>258</v>
      </c>
      <c r="C6000" s="2">
        <v>0.60780000000000001</v>
      </c>
      <c r="D6000" s="2">
        <v>0.33700000000000002</v>
      </c>
      <c r="E6000" s="2">
        <v>5.5100000000000003E-2</v>
      </c>
      <c r="F6000">
        <v>146</v>
      </c>
    </row>
    <row r="6001" spans="1:6" x14ac:dyDescent="0.35">
      <c r="A6001" t="s">
        <v>228</v>
      </c>
      <c r="B6001" t="s">
        <v>228</v>
      </c>
      <c r="C6001" s="2">
        <v>0.53410000000000002</v>
      </c>
      <c r="D6001" s="2">
        <v>0.34849999999999998</v>
      </c>
      <c r="E6001" s="2">
        <v>0.1174</v>
      </c>
      <c r="F6001">
        <v>510</v>
      </c>
    </row>
    <row r="6003" spans="1:6" x14ac:dyDescent="0.35">
      <c r="A6003" s="1" t="s">
        <v>1640</v>
      </c>
    </row>
    <row r="6004" spans="1:6" x14ac:dyDescent="0.35">
      <c r="A6004" t="s">
        <v>219</v>
      </c>
      <c r="B6004" t="s">
        <v>301</v>
      </c>
      <c r="C6004" t="s">
        <v>299</v>
      </c>
      <c r="D6004" t="s">
        <v>298</v>
      </c>
      <c r="E6004" t="s">
        <v>277</v>
      </c>
      <c r="F6004" t="s">
        <v>226</v>
      </c>
    </row>
    <row r="6005" spans="1:6" x14ac:dyDescent="0.35">
      <c r="A6005" t="s">
        <v>227</v>
      </c>
      <c r="B6005" t="s">
        <v>343</v>
      </c>
      <c r="C6005" s="2">
        <v>0.61280000000000001</v>
      </c>
      <c r="D6005" s="2">
        <v>0.2535</v>
      </c>
      <c r="E6005" s="2">
        <v>0.13370000000000001</v>
      </c>
      <c r="F6005">
        <v>57</v>
      </c>
    </row>
    <row r="6006" spans="1:6" x14ac:dyDescent="0.35">
      <c r="A6006" t="s">
        <v>227</v>
      </c>
      <c r="B6006" t="s">
        <v>344</v>
      </c>
      <c r="C6006" s="2">
        <v>0.5242</v>
      </c>
      <c r="D6006" s="2">
        <v>0.3604</v>
      </c>
      <c r="E6006" s="2">
        <v>0.1154</v>
      </c>
      <c r="F6006">
        <v>453</v>
      </c>
    </row>
    <row r="6007" spans="1:6" x14ac:dyDescent="0.35">
      <c r="A6007" t="s">
        <v>228</v>
      </c>
      <c r="B6007" t="s">
        <v>228</v>
      </c>
      <c r="C6007" s="2">
        <v>0.53410000000000002</v>
      </c>
      <c r="D6007" s="2">
        <v>0.34849999999999998</v>
      </c>
      <c r="E6007" s="2">
        <v>0.1174</v>
      </c>
      <c r="F6007">
        <v>510</v>
      </c>
    </row>
    <row r="6009" spans="1:6" x14ac:dyDescent="0.35">
      <c r="A6009" s="1" t="s">
        <v>1641</v>
      </c>
    </row>
    <row r="6010" spans="1:6" x14ac:dyDescent="0.35">
      <c r="A6010" t="s">
        <v>219</v>
      </c>
      <c r="B6010" t="s">
        <v>301</v>
      </c>
      <c r="C6010" t="s">
        <v>299</v>
      </c>
      <c r="D6010" t="s">
        <v>298</v>
      </c>
      <c r="E6010" t="s">
        <v>277</v>
      </c>
      <c r="F6010" t="s">
        <v>226</v>
      </c>
    </row>
    <row r="6011" spans="1:6" x14ac:dyDescent="0.35">
      <c r="A6011" t="s">
        <v>227</v>
      </c>
      <c r="B6011" t="s">
        <v>346</v>
      </c>
      <c r="C6011" s="2">
        <v>0.41149999999999998</v>
      </c>
      <c r="D6011" s="2">
        <v>0.46510000000000001</v>
      </c>
      <c r="E6011" s="2">
        <v>0.1234</v>
      </c>
      <c r="F6011">
        <v>138</v>
      </c>
    </row>
    <row r="6012" spans="1:6" x14ac:dyDescent="0.35">
      <c r="A6012" t="s">
        <v>227</v>
      </c>
      <c r="B6012" t="s">
        <v>347</v>
      </c>
      <c r="C6012" s="2">
        <v>0.80069999999999997</v>
      </c>
      <c r="D6012" s="2">
        <v>0.1047</v>
      </c>
      <c r="E6012" s="2">
        <v>9.4600000000000004E-2</v>
      </c>
      <c r="F6012">
        <v>203</v>
      </c>
    </row>
    <row r="6013" spans="1:6" x14ac:dyDescent="0.35">
      <c r="A6013" t="s">
        <v>227</v>
      </c>
      <c r="B6013" t="s">
        <v>348</v>
      </c>
      <c r="C6013" s="2">
        <v>0.70669999999999999</v>
      </c>
      <c r="D6013" s="2">
        <v>0.1789</v>
      </c>
      <c r="E6013" s="2">
        <v>0.1145</v>
      </c>
      <c r="F6013">
        <v>169</v>
      </c>
    </row>
    <row r="6014" spans="1:6" x14ac:dyDescent="0.35">
      <c r="A6014" t="s">
        <v>228</v>
      </c>
      <c r="B6014" t="s">
        <v>228</v>
      </c>
      <c r="C6014" s="2">
        <v>0.53410000000000002</v>
      </c>
      <c r="D6014" s="2">
        <v>0.34849999999999998</v>
      </c>
      <c r="E6014" s="2">
        <v>0.1174</v>
      </c>
      <c r="F6014">
        <v>510</v>
      </c>
    </row>
    <row r="6016" spans="1:6" x14ac:dyDescent="0.35">
      <c r="A6016" s="1" t="s">
        <v>1642</v>
      </c>
    </row>
    <row r="6017" spans="1:6" x14ac:dyDescent="0.35">
      <c r="A6017" t="s">
        <v>219</v>
      </c>
      <c r="B6017" t="s">
        <v>301</v>
      </c>
      <c r="C6017" t="s">
        <v>299</v>
      </c>
      <c r="D6017" t="s">
        <v>298</v>
      </c>
      <c r="E6017" t="s">
        <v>277</v>
      </c>
      <c r="F6017" t="s">
        <v>226</v>
      </c>
    </row>
    <row r="6018" spans="1:6" x14ac:dyDescent="0.35">
      <c r="A6018" t="s">
        <v>227</v>
      </c>
      <c r="B6018" t="s">
        <v>251</v>
      </c>
      <c r="C6018" s="2">
        <v>0.51300000000000001</v>
      </c>
      <c r="D6018" s="2">
        <v>0.35720000000000002</v>
      </c>
      <c r="E6018" s="2">
        <v>0.1298</v>
      </c>
      <c r="F6018">
        <v>360</v>
      </c>
    </row>
    <row r="6019" spans="1:6" x14ac:dyDescent="0.35">
      <c r="A6019" t="s">
        <v>227</v>
      </c>
      <c r="B6019" t="s">
        <v>252</v>
      </c>
      <c r="C6019" s="2">
        <v>0.59689999999999999</v>
      </c>
      <c r="D6019" s="2">
        <v>0.31480000000000002</v>
      </c>
      <c r="E6019" s="2">
        <v>8.8300000000000003E-2</v>
      </c>
      <c r="F6019">
        <v>120</v>
      </c>
    </row>
    <row r="6020" spans="1:6" x14ac:dyDescent="0.35">
      <c r="A6020" s="3" t="s">
        <v>227</v>
      </c>
      <c r="B6020" s="3" t="s">
        <v>253</v>
      </c>
      <c r="C6020" s="4">
        <v>0.42520000000000002</v>
      </c>
      <c r="D6020" s="4">
        <v>0.4446</v>
      </c>
      <c r="E6020" s="4">
        <v>0.13020000000000001</v>
      </c>
      <c r="F6020" s="5" t="s">
        <v>432</v>
      </c>
    </row>
    <row r="6021" spans="1:6" x14ac:dyDescent="0.35">
      <c r="A6021" s="3" t="s">
        <v>227</v>
      </c>
      <c r="B6021" s="3" t="s">
        <v>254</v>
      </c>
      <c r="C6021" s="4">
        <v>0.36230000000000001</v>
      </c>
      <c r="D6021" s="5"/>
      <c r="E6021" s="4">
        <v>0.63770000000000004</v>
      </c>
      <c r="F6021" s="5" t="s">
        <v>438</v>
      </c>
    </row>
    <row r="6022" spans="1:6" x14ac:dyDescent="0.35">
      <c r="A6022" t="s">
        <v>228</v>
      </c>
      <c r="B6022" t="s">
        <v>228</v>
      </c>
      <c r="C6022" s="2">
        <v>0.53410000000000002</v>
      </c>
      <c r="D6022" s="2">
        <v>0.34849999999999998</v>
      </c>
      <c r="E6022" s="2">
        <v>0.1174</v>
      </c>
      <c r="F6022">
        <v>510</v>
      </c>
    </row>
    <row r="6024" spans="1:6" x14ac:dyDescent="0.35">
      <c r="A6024" s="1" t="s">
        <v>1643</v>
      </c>
    </row>
    <row r="6025" spans="1:6" x14ac:dyDescent="0.35">
      <c r="A6025" t="s">
        <v>219</v>
      </c>
      <c r="B6025" t="s">
        <v>301</v>
      </c>
      <c r="C6025" t="s">
        <v>299</v>
      </c>
      <c r="D6025" t="s">
        <v>298</v>
      </c>
      <c r="E6025" t="s">
        <v>277</v>
      </c>
      <c r="F6025" t="s">
        <v>226</v>
      </c>
    </row>
    <row r="6026" spans="1:6" x14ac:dyDescent="0.35">
      <c r="A6026" t="s">
        <v>227</v>
      </c>
      <c r="B6026" t="s">
        <v>1335</v>
      </c>
      <c r="C6026" s="2">
        <v>0.5655</v>
      </c>
      <c r="D6026" s="2">
        <v>0.31330000000000002</v>
      </c>
      <c r="E6026" s="2">
        <v>0.1212</v>
      </c>
      <c r="F6026">
        <v>180</v>
      </c>
    </row>
    <row r="6027" spans="1:6" x14ac:dyDescent="0.35">
      <c r="A6027" t="s">
        <v>227</v>
      </c>
      <c r="B6027" t="s">
        <v>1337</v>
      </c>
      <c r="C6027" s="2">
        <v>0.51670000000000005</v>
      </c>
      <c r="D6027" s="2">
        <v>0.36799999999999999</v>
      </c>
      <c r="E6027" s="2">
        <v>0.1154</v>
      </c>
      <c r="F6027">
        <v>330</v>
      </c>
    </row>
    <row r="6028" spans="1:6" x14ac:dyDescent="0.35">
      <c r="A6028" t="s">
        <v>228</v>
      </c>
      <c r="B6028" t="s">
        <v>228</v>
      </c>
      <c r="C6028" s="2">
        <v>0.53410000000000002</v>
      </c>
      <c r="D6028" s="2">
        <v>0.34849999999999998</v>
      </c>
      <c r="E6028" s="2">
        <v>0.1174</v>
      </c>
      <c r="F6028">
        <v>510</v>
      </c>
    </row>
    <row r="6030" spans="1:6" x14ac:dyDescent="0.35">
      <c r="A6030" s="1" t="s">
        <v>1644</v>
      </c>
    </row>
    <row r="6031" spans="1:6" x14ac:dyDescent="0.35">
      <c r="A6031" t="s">
        <v>219</v>
      </c>
      <c r="B6031" t="s">
        <v>301</v>
      </c>
      <c r="C6031" t="s">
        <v>299</v>
      </c>
      <c r="D6031" t="s">
        <v>298</v>
      </c>
      <c r="E6031" t="s">
        <v>277</v>
      </c>
      <c r="F6031" t="s">
        <v>226</v>
      </c>
    </row>
    <row r="6032" spans="1:6" x14ac:dyDescent="0.35">
      <c r="A6032" s="3" t="s">
        <v>227</v>
      </c>
      <c r="B6032" s="3" t="s">
        <v>1339</v>
      </c>
      <c r="C6032" s="4">
        <v>0.46800000000000003</v>
      </c>
      <c r="D6032" s="4">
        <v>0.50860000000000005</v>
      </c>
      <c r="E6032" s="4">
        <v>2.3400000000000001E-2</v>
      </c>
      <c r="F6032" s="5" t="s">
        <v>307</v>
      </c>
    </row>
    <row r="6033" spans="1:7" x14ac:dyDescent="0.35">
      <c r="A6033" t="s">
        <v>227</v>
      </c>
      <c r="B6033" t="s">
        <v>1340</v>
      </c>
      <c r="C6033" s="2">
        <v>0.65029999999999999</v>
      </c>
      <c r="D6033" s="2">
        <v>0.29499999999999998</v>
      </c>
      <c r="E6033" s="2">
        <v>5.4699999999999999E-2</v>
      </c>
      <c r="F6033">
        <v>145</v>
      </c>
    </row>
    <row r="6034" spans="1:7" x14ac:dyDescent="0.35">
      <c r="A6034" t="s">
        <v>227</v>
      </c>
      <c r="B6034" t="s">
        <v>1341</v>
      </c>
      <c r="C6034" s="2">
        <v>0.47960000000000003</v>
      </c>
      <c r="D6034" s="2">
        <v>0.3589</v>
      </c>
      <c r="E6034" s="2">
        <v>0.1615</v>
      </c>
      <c r="F6034">
        <v>252</v>
      </c>
    </row>
    <row r="6035" spans="1:7" x14ac:dyDescent="0.35">
      <c r="A6035" t="s">
        <v>227</v>
      </c>
      <c r="B6035" t="s">
        <v>1342</v>
      </c>
      <c r="C6035" s="2">
        <v>0.4839</v>
      </c>
      <c r="D6035" s="2">
        <v>0.37380000000000002</v>
      </c>
      <c r="E6035" s="2">
        <v>0.14230000000000001</v>
      </c>
      <c r="F6035">
        <v>102</v>
      </c>
    </row>
    <row r="6036" spans="1:7" x14ac:dyDescent="0.35">
      <c r="A6036" t="s">
        <v>228</v>
      </c>
      <c r="B6036" t="s">
        <v>228</v>
      </c>
      <c r="C6036" s="2">
        <v>0.53410000000000002</v>
      </c>
      <c r="D6036" s="2">
        <v>0.34849999999999998</v>
      </c>
      <c r="E6036" s="2">
        <v>0.1174</v>
      </c>
      <c r="F6036">
        <v>510</v>
      </c>
    </row>
    <row r="6038" spans="1:7" x14ac:dyDescent="0.35">
      <c r="A6038" s="1" t="s">
        <v>1645</v>
      </c>
    </row>
    <row r="6039" spans="1:7" x14ac:dyDescent="0.35">
      <c r="A6039" t="s">
        <v>219</v>
      </c>
      <c r="B6039" t="s">
        <v>301</v>
      </c>
      <c r="C6039" t="s">
        <v>325</v>
      </c>
      <c r="D6039" t="s">
        <v>299</v>
      </c>
      <c r="E6039" t="s">
        <v>298</v>
      </c>
      <c r="F6039" t="s">
        <v>277</v>
      </c>
      <c r="G6039" t="s">
        <v>226</v>
      </c>
    </row>
    <row r="6040" spans="1:7" x14ac:dyDescent="0.35">
      <c r="A6040" s="3" t="s">
        <v>227</v>
      </c>
      <c r="B6040" s="3" t="s">
        <v>1335</v>
      </c>
      <c r="C6040" s="3" t="s">
        <v>1339</v>
      </c>
      <c r="D6040" s="4">
        <v>0.72299999999999998</v>
      </c>
      <c r="E6040" s="4">
        <v>0.27700000000000002</v>
      </c>
      <c r="F6040" s="5"/>
      <c r="G6040" s="5" t="s">
        <v>437</v>
      </c>
    </row>
    <row r="6041" spans="1:7" x14ac:dyDescent="0.35">
      <c r="A6041" t="s">
        <v>227</v>
      </c>
      <c r="B6041" t="s">
        <v>1335</v>
      </c>
      <c r="C6041" t="s">
        <v>1340</v>
      </c>
      <c r="D6041" s="2">
        <v>0.61619999999999997</v>
      </c>
      <c r="E6041" s="2">
        <v>0.32890000000000003</v>
      </c>
      <c r="F6041" s="2">
        <v>5.4899999999999997E-2</v>
      </c>
      <c r="G6041">
        <v>58</v>
      </c>
    </row>
    <row r="6042" spans="1:7" x14ac:dyDescent="0.35">
      <c r="A6042" t="s">
        <v>227</v>
      </c>
      <c r="B6042" t="s">
        <v>1335</v>
      </c>
      <c r="C6042" t="s">
        <v>1341</v>
      </c>
      <c r="D6042" s="2">
        <v>0.53600000000000003</v>
      </c>
      <c r="E6042" s="2">
        <v>0.30959999999999999</v>
      </c>
      <c r="F6042" s="2">
        <v>0.15440000000000001</v>
      </c>
      <c r="G6042">
        <v>93</v>
      </c>
    </row>
    <row r="6043" spans="1:7" x14ac:dyDescent="0.35">
      <c r="A6043" s="3" t="s">
        <v>227</v>
      </c>
      <c r="B6043" s="3" t="s">
        <v>1335</v>
      </c>
      <c r="C6043" s="3" t="s">
        <v>1342</v>
      </c>
      <c r="D6043" s="4">
        <v>0.41070000000000001</v>
      </c>
      <c r="E6043" s="4">
        <v>0.31390000000000001</v>
      </c>
      <c r="F6043" s="4">
        <v>0.27539999999999998</v>
      </c>
      <c r="G6043" s="5" t="s">
        <v>418</v>
      </c>
    </row>
    <row r="6044" spans="1:7" x14ac:dyDescent="0.35">
      <c r="A6044" s="3" t="s">
        <v>227</v>
      </c>
      <c r="B6044" s="3" t="s">
        <v>1337</v>
      </c>
      <c r="C6044" s="3" t="s">
        <v>1339</v>
      </c>
      <c r="D6044" s="4">
        <v>0.1007</v>
      </c>
      <c r="E6044" s="4">
        <v>0.84230000000000005</v>
      </c>
      <c r="F6044" s="4">
        <v>5.7099999999999998E-2</v>
      </c>
      <c r="G6044" s="5" t="s">
        <v>327</v>
      </c>
    </row>
    <row r="6045" spans="1:7" x14ac:dyDescent="0.35">
      <c r="A6045" t="s">
        <v>227</v>
      </c>
      <c r="B6045" t="s">
        <v>1337</v>
      </c>
      <c r="C6045" t="s">
        <v>1340</v>
      </c>
      <c r="D6045" s="2">
        <v>0.66890000000000005</v>
      </c>
      <c r="E6045" s="2">
        <v>0.27639999999999998</v>
      </c>
      <c r="F6045" s="2">
        <v>5.4600000000000003E-2</v>
      </c>
      <c r="G6045">
        <v>87</v>
      </c>
    </row>
    <row r="6046" spans="1:7" x14ac:dyDescent="0.35">
      <c r="A6046" t="s">
        <v>227</v>
      </c>
      <c r="B6046" t="s">
        <v>1337</v>
      </c>
      <c r="C6046" t="s">
        <v>1341</v>
      </c>
      <c r="D6046" s="2">
        <v>0.44800000000000001</v>
      </c>
      <c r="E6046" s="2">
        <v>0.38650000000000001</v>
      </c>
      <c r="F6046" s="2">
        <v>0.16550000000000001</v>
      </c>
      <c r="G6046">
        <v>159</v>
      </c>
    </row>
    <row r="6047" spans="1:7" x14ac:dyDescent="0.35">
      <c r="A6047" t="s">
        <v>227</v>
      </c>
      <c r="B6047" t="s">
        <v>1337</v>
      </c>
      <c r="C6047" t="s">
        <v>1342</v>
      </c>
      <c r="D6047" s="2">
        <v>0.50990000000000002</v>
      </c>
      <c r="E6047" s="2">
        <v>0.39500000000000002</v>
      </c>
      <c r="F6047" s="2">
        <v>9.5100000000000004E-2</v>
      </c>
      <c r="G6047">
        <v>79</v>
      </c>
    </row>
    <row r="6048" spans="1:7" x14ac:dyDescent="0.35">
      <c r="A6048" t="s">
        <v>228</v>
      </c>
      <c r="B6048" t="s">
        <v>228</v>
      </c>
      <c r="C6048" t="s">
        <v>228</v>
      </c>
      <c r="D6048" s="2">
        <v>0.53410000000000002</v>
      </c>
      <c r="E6048" s="2">
        <v>0.34849999999999998</v>
      </c>
      <c r="F6048" s="2">
        <v>0.1174</v>
      </c>
      <c r="G6048">
        <v>510</v>
      </c>
    </row>
    <row r="6050" spans="1:7" x14ac:dyDescent="0.35">
      <c r="A6050" s="1" t="s">
        <v>1646</v>
      </c>
    </row>
    <row r="6051" spans="1:7" x14ac:dyDescent="0.35">
      <c r="A6051" t="s">
        <v>219</v>
      </c>
      <c r="B6051" t="s">
        <v>524</v>
      </c>
      <c r="C6051" t="s">
        <v>525</v>
      </c>
      <c r="D6051" t="s">
        <v>526</v>
      </c>
      <c r="E6051" t="s">
        <v>527</v>
      </c>
      <c r="F6051" t="s">
        <v>226</v>
      </c>
    </row>
    <row r="6052" spans="1:7" x14ac:dyDescent="0.35">
      <c r="A6052" t="s">
        <v>227</v>
      </c>
      <c r="B6052">
        <v>1.66</v>
      </c>
      <c r="C6052">
        <v>0</v>
      </c>
      <c r="D6052">
        <v>0</v>
      </c>
      <c r="E6052">
        <v>24</v>
      </c>
      <c r="F6052">
        <v>2772</v>
      </c>
    </row>
    <row r="6053" spans="1:7" x14ac:dyDescent="0.35">
      <c r="A6053" t="s">
        <v>228</v>
      </c>
      <c r="B6053">
        <v>1.66</v>
      </c>
      <c r="C6053">
        <v>0</v>
      </c>
      <c r="D6053">
        <v>0</v>
      </c>
      <c r="E6053">
        <v>24</v>
      </c>
      <c r="F6053">
        <v>2772</v>
      </c>
    </row>
    <row r="6055" spans="1:7" x14ac:dyDescent="0.35">
      <c r="A6055" s="1" t="s">
        <v>1647</v>
      </c>
    </row>
    <row r="6056" spans="1:7" x14ac:dyDescent="0.35">
      <c r="A6056" t="s">
        <v>219</v>
      </c>
      <c r="B6056" t="s">
        <v>301</v>
      </c>
      <c r="C6056" t="s">
        <v>524</v>
      </c>
      <c r="D6056" t="s">
        <v>525</v>
      </c>
      <c r="E6056" t="s">
        <v>526</v>
      </c>
      <c r="F6056" t="s">
        <v>527</v>
      </c>
      <c r="G6056" t="s">
        <v>226</v>
      </c>
    </row>
    <row r="6057" spans="1:7" x14ac:dyDescent="0.35">
      <c r="A6057" t="s">
        <v>227</v>
      </c>
      <c r="B6057" t="s">
        <v>238</v>
      </c>
      <c r="C6057">
        <v>1.45</v>
      </c>
      <c r="D6057">
        <v>0</v>
      </c>
      <c r="E6057">
        <v>0</v>
      </c>
      <c r="F6057">
        <v>24</v>
      </c>
      <c r="G6057">
        <v>994</v>
      </c>
    </row>
    <row r="6058" spans="1:7" x14ac:dyDescent="0.35">
      <c r="A6058" t="s">
        <v>227</v>
      </c>
      <c r="B6058" t="s">
        <v>237</v>
      </c>
      <c r="C6058">
        <v>1.78</v>
      </c>
      <c r="D6058">
        <v>0</v>
      </c>
      <c r="E6058">
        <v>0</v>
      </c>
      <c r="F6058">
        <v>20</v>
      </c>
      <c r="G6058">
        <v>1778</v>
      </c>
    </row>
    <row r="6059" spans="1:7" x14ac:dyDescent="0.35">
      <c r="A6059" t="s">
        <v>228</v>
      </c>
      <c r="B6059" t="s">
        <v>228</v>
      </c>
      <c r="C6059">
        <v>1.66</v>
      </c>
      <c r="D6059">
        <v>0</v>
      </c>
      <c r="E6059">
        <v>0</v>
      </c>
      <c r="F6059">
        <v>24</v>
      </c>
      <c r="G6059">
        <v>2772</v>
      </c>
    </row>
    <row r="6061" spans="1:7" x14ac:dyDescent="0.35">
      <c r="A6061" s="1" t="s">
        <v>1648</v>
      </c>
    </row>
    <row r="6062" spans="1:7" x14ac:dyDescent="0.35">
      <c r="A6062" t="s">
        <v>219</v>
      </c>
      <c r="B6062" t="s">
        <v>301</v>
      </c>
      <c r="C6062" t="s">
        <v>524</v>
      </c>
      <c r="D6062" t="s">
        <v>525</v>
      </c>
      <c r="E6062" t="s">
        <v>526</v>
      </c>
      <c r="F6062" t="s">
        <v>527</v>
      </c>
      <c r="G6062" t="s">
        <v>226</v>
      </c>
    </row>
    <row r="6063" spans="1:7" x14ac:dyDescent="0.35">
      <c r="A6063" t="s">
        <v>227</v>
      </c>
      <c r="B6063" t="s">
        <v>235</v>
      </c>
      <c r="C6063">
        <v>1.59</v>
      </c>
      <c r="D6063">
        <v>0</v>
      </c>
      <c r="E6063">
        <v>0</v>
      </c>
      <c r="F6063">
        <v>20</v>
      </c>
      <c r="G6063">
        <v>975</v>
      </c>
    </row>
    <row r="6064" spans="1:7" x14ac:dyDescent="0.35">
      <c r="A6064" t="s">
        <v>227</v>
      </c>
      <c r="B6064" t="s">
        <v>234</v>
      </c>
      <c r="C6064">
        <v>1.68</v>
      </c>
      <c r="D6064">
        <v>0</v>
      </c>
      <c r="E6064">
        <v>0</v>
      </c>
      <c r="F6064">
        <v>24</v>
      </c>
      <c r="G6064">
        <v>1797</v>
      </c>
    </row>
    <row r="6065" spans="1:7" x14ac:dyDescent="0.35">
      <c r="A6065" t="s">
        <v>228</v>
      </c>
      <c r="B6065" t="s">
        <v>228</v>
      </c>
      <c r="C6065">
        <v>1.66</v>
      </c>
      <c r="D6065">
        <v>0</v>
      </c>
      <c r="E6065">
        <v>0</v>
      </c>
      <c r="F6065">
        <v>24</v>
      </c>
      <c r="G6065">
        <v>2772</v>
      </c>
    </row>
    <row r="6067" spans="1:7" x14ac:dyDescent="0.35">
      <c r="A6067" s="1" t="s">
        <v>1649</v>
      </c>
    </row>
    <row r="6068" spans="1:7" x14ac:dyDescent="0.35">
      <c r="A6068" t="s">
        <v>219</v>
      </c>
      <c r="B6068" t="s">
        <v>301</v>
      </c>
      <c r="C6068" t="s">
        <v>524</v>
      </c>
      <c r="D6068" t="s">
        <v>525</v>
      </c>
      <c r="E6068" t="s">
        <v>526</v>
      </c>
      <c r="F6068" t="s">
        <v>527</v>
      </c>
      <c r="G6068" t="s">
        <v>226</v>
      </c>
    </row>
    <row r="6069" spans="1:7" x14ac:dyDescent="0.35">
      <c r="A6069" t="s">
        <v>227</v>
      </c>
      <c r="B6069" t="s">
        <v>240</v>
      </c>
      <c r="C6069">
        <v>1.71</v>
      </c>
      <c r="D6069">
        <v>0</v>
      </c>
      <c r="E6069">
        <v>0</v>
      </c>
      <c r="F6069">
        <v>20</v>
      </c>
      <c r="G6069">
        <v>1731</v>
      </c>
    </row>
    <row r="6070" spans="1:7" x14ac:dyDescent="0.35">
      <c r="A6070" t="s">
        <v>227</v>
      </c>
      <c r="B6070" t="s">
        <v>241</v>
      </c>
      <c r="C6070">
        <v>1.39</v>
      </c>
      <c r="D6070">
        <v>0</v>
      </c>
      <c r="E6070">
        <v>0</v>
      </c>
      <c r="F6070">
        <v>24</v>
      </c>
      <c r="G6070">
        <v>881</v>
      </c>
    </row>
    <row r="6071" spans="1:7" x14ac:dyDescent="0.35">
      <c r="A6071" t="s">
        <v>227</v>
      </c>
      <c r="B6071" t="s">
        <v>242</v>
      </c>
      <c r="C6071">
        <v>2.38</v>
      </c>
      <c r="D6071">
        <v>1</v>
      </c>
      <c r="E6071">
        <v>0</v>
      </c>
      <c r="F6071">
        <v>20</v>
      </c>
      <c r="G6071">
        <v>160</v>
      </c>
    </row>
    <row r="6072" spans="1:7" x14ac:dyDescent="0.35">
      <c r="A6072" t="s">
        <v>228</v>
      </c>
      <c r="B6072" t="s">
        <v>228</v>
      </c>
      <c r="C6072">
        <v>1.66</v>
      </c>
      <c r="D6072">
        <v>0</v>
      </c>
      <c r="E6072">
        <v>0</v>
      </c>
      <c r="F6072">
        <v>24</v>
      </c>
      <c r="G6072">
        <v>2772</v>
      </c>
    </row>
    <row r="6074" spans="1:7" x14ac:dyDescent="0.35">
      <c r="A6074" s="1" t="s">
        <v>1650</v>
      </c>
    </row>
    <row r="6075" spans="1:7" x14ac:dyDescent="0.35">
      <c r="A6075" t="s">
        <v>219</v>
      </c>
      <c r="B6075" t="s">
        <v>301</v>
      </c>
      <c r="C6075" t="s">
        <v>524</v>
      </c>
      <c r="D6075" t="s">
        <v>525</v>
      </c>
      <c r="E6075" t="s">
        <v>526</v>
      </c>
      <c r="F6075" t="s">
        <v>527</v>
      </c>
      <c r="G6075" t="s">
        <v>226</v>
      </c>
    </row>
    <row r="6076" spans="1:7" x14ac:dyDescent="0.35">
      <c r="A6076" t="s">
        <v>227</v>
      </c>
      <c r="B6076" t="s">
        <v>334</v>
      </c>
      <c r="C6076">
        <v>1.44</v>
      </c>
      <c r="D6076">
        <v>0</v>
      </c>
      <c r="E6076">
        <v>0</v>
      </c>
      <c r="F6076">
        <v>15</v>
      </c>
      <c r="G6076">
        <v>614</v>
      </c>
    </row>
    <row r="6077" spans="1:7" x14ac:dyDescent="0.35">
      <c r="A6077" t="s">
        <v>227</v>
      </c>
      <c r="B6077" t="s">
        <v>335</v>
      </c>
      <c r="C6077">
        <v>1.76</v>
      </c>
      <c r="D6077">
        <v>0</v>
      </c>
      <c r="E6077">
        <v>0</v>
      </c>
      <c r="F6077">
        <v>24</v>
      </c>
      <c r="G6077">
        <v>617</v>
      </c>
    </row>
    <row r="6078" spans="1:7" x14ac:dyDescent="0.35">
      <c r="A6078" t="s">
        <v>227</v>
      </c>
      <c r="B6078" t="s">
        <v>336</v>
      </c>
      <c r="C6078">
        <v>1.57</v>
      </c>
      <c r="D6078">
        <v>0</v>
      </c>
      <c r="E6078">
        <v>0</v>
      </c>
      <c r="F6078">
        <v>20</v>
      </c>
      <c r="G6078">
        <v>617</v>
      </c>
    </row>
    <row r="6079" spans="1:7" x14ac:dyDescent="0.35">
      <c r="A6079" t="s">
        <v>227</v>
      </c>
      <c r="B6079" t="s">
        <v>337</v>
      </c>
      <c r="C6079">
        <v>1.58</v>
      </c>
      <c r="D6079">
        <v>0</v>
      </c>
      <c r="E6079">
        <v>0</v>
      </c>
      <c r="F6079">
        <v>20</v>
      </c>
      <c r="G6079">
        <v>593</v>
      </c>
    </row>
    <row r="6080" spans="1:7" x14ac:dyDescent="0.35">
      <c r="A6080" t="s">
        <v>228</v>
      </c>
      <c r="B6080" t="s">
        <v>228</v>
      </c>
      <c r="C6080">
        <v>1.66</v>
      </c>
      <c r="D6080">
        <v>0</v>
      </c>
      <c r="E6080">
        <v>0</v>
      </c>
      <c r="F6080">
        <v>24</v>
      </c>
      <c r="G6080">
        <v>2772</v>
      </c>
    </row>
    <row r="6082" spans="1:7" x14ac:dyDescent="0.35">
      <c r="A6082" s="1" t="s">
        <v>1651</v>
      </c>
    </row>
    <row r="6083" spans="1:7" x14ac:dyDescent="0.35">
      <c r="A6083" t="s">
        <v>219</v>
      </c>
      <c r="B6083" t="s">
        <v>301</v>
      </c>
      <c r="C6083" t="s">
        <v>524</v>
      </c>
      <c r="D6083" t="s">
        <v>525</v>
      </c>
      <c r="E6083" t="s">
        <v>526</v>
      </c>
      <c r="F6083" t="s">
        <v>527</v>
      </c>
      <c r="G6083" t="s">
        <v>226</v>
      </c>
    </row>
    <row r="6084" spans="1:7" x14ac:dyDescent="0.35">
      <c r="A6084" t="s">
        <v>227</v>
      </c>
      <c r="B6084" t="s">
        <v>263</v>
      </c>
      <c r="C6084">
        <v>1.46</v>
      </c>
      <c r="D6084">
        <v>0</v>
      </c>
      <c r="E6084">
        <v>0</v>
      </c>
      <c r="F6084">
        <v>20</v>
      </c>
      <c r="G6084">
        <v>581</v>
      </c>
    </row>
    <row r="6085" spans="1:7" x14ac:dyDescent="0.35">
      <c r="A6085" t="s">
        <v>227</v>
      </c>
      <c r="B6085" t="s">
        <v>262</v>
      </c>
      <c r="C6085">
        <v>1.69</v>
      </c>
      <c r="D6085">
        <v>0</v>
      </c>
      <c r="E6085">
        <v>0</v>
      </c>
      <c r="F6085">
        <v>24</v>
      </c>
      <c r="G6085">
        <v>1146</v>
      </c>
    </row>
    <row r="6086" spans="1:7" x14ac:dyDescent="0.35">
      <c r="A6086" t="s">
        <v>227</v>
      </c>
      <c r="B6086" t="s">
        <v>261</v>
      </c>
      <c r="C6086">
        <v>1.73</v>
      </c>
      <c r="D6086">
        <v>0</v>
      </c>
      <c r="E6086">
        <v>0</v>
      </c>
      <c r="F6086">
        <v>20</v>
      </c>
      <c r="G6086">
        <v>1043</v>
      </c>
    </row>
    <row r="6087" spans="1:7" x14ac:dyDescent="0.35">
      <c r="A6087" s="3" t="s">
        <v>227</v>
      </c>
      <c r="B6087" s="3" t="s">
        <v>232</v>
      </c>
      <c r="C6087" s="5">
        <v>1</v>
      </c>
      <c r="D6087" s="5">
        <v>0</v>
      </c>
      <c r="E6087" s="5">
        <v>0</v>
      </c>
      <c r="F6087" s="5">
        <v>2</v>
      </c>
      <c r="G6087" s="5">
        <v>2</v>
      </c>
    </row>
    <row r="6088" spans="1:7" x14ac:dyDescent="0.35">
      <c r="A6088" t="s">
        <v>228</v>
      </c>
      <c r="B6088" t="s">
        <v>228</v>
      </c>
      <c r="C6088">
        <v>1.66</v>
      </c>
      <c r="D6088">
        <v>0</v>
      </c>
      <c r="E6088">
        <v>0</v>
      </c>
      <c r="F6088">
        <v>24</v>
      </c>
      <c r="G6088">
        <v>2772</v>
      </c>
    </row>
    <row r="6090" spans="1:7" x14ac:dyDescent="0.35">
      <c r="A6090" s="1" t="s">
        <v>1652</v>
      </c>
    </row>
    <row r="6091" spans="1:7" x14ac:dyDescent="0.35">
      <c r="A6091" t="s">
        <v>219</v>
      </c>
      <c r="B6091" t="s">
        <v>301</v>
      </c>
      <c r="C6091" t="s">
        <v>524</v>
      </c>
      <c r="D6091" t="s">
        <v>525</v>
      </c>
      <c r="E6091" t="s">
        <v>526</v>
      </c>
      <c r="F6091" t="s">
        <v>527</v>
      </c>
      <c r="G6091" t="s">
        <v>226</v>
      </c>
    </row>
    <row r="6092" spans="1:7" x14ac:dyDescent="0.35">
      <c r="A6092" t="s">
        <v>227</v>
      </c>
      <c r="B6092" t="s">
        <v>248</v>
      </c>
      <c r="C6092">
        <v>1.2</v>
      </c>
      <c r="D6092">
        <v>0</v>
      </c>
      <c r="E6092">
        <v>0</v>
      </c>
      <c r="F6092">
        <v>24</v>
      </c>
      <c r="G6092">
        <v>787</v>
      </c>
    </row>
    <row r="6093" spans="1:7" x14ac:dyDescent="0.35">
      <c r="A6093" t="s">
        <v>227</v>
      </c>
      <c r="B6093" t="s">
        <v>249</v>
      </c>
      <c r="C6093">
        <v>1.69</v>
      </c>
      <c r="D6093">
        <v>0</v>
      </c>
      <c r="E6093">
        <v>0</v>
      </c>
      <c r="F6093">
        <v>20</v>
      </c>
      <c r="G6093">
        <v>532</v>
      </c>
    </row>
    <row r="6094" spans="1:7" x14ac:dyDescent="0.35">
      <c r="A6094" t="s">
        <v>227</v>
      </c>
      <c r="B6094" t="s">
        <v>247</v>
      </c>
      <c r="C6094">
        <v>1.89</v>
      </c>
      <c r="D6094">
        <v>0</v>
      </c>
      <c r="E6094">
        <v>0</v>
      </c>
      <c r="F6094">
        <v>20</v>
      </c>
      <c r="G6094">
        <v>1453</v>
      </c>
    </row>
    <row r="6095" spans="1:7" x14ac:dyDescent="0.35">
      <c r="A6095" t="s">
        <v>228</v>
      </c>
      <c r="B6095" t="s">
        <v>228</v>
      </c>
      <c r="C6095">
        <v>1.66</v>
      </c>
      <c r="D6095">
        <v>0</v>
      </c>
      <c r="E6095">
        <v>0</v>
      </c>
      <c r="F6095">
        <v>24</v>
      </c>
      <c r="G6095">
        <v>2772</v>
      </c>
    </row>
    <row r="6097" spans="1:7" x14ac:dyDescent="0.35">
      <c r="A6097" s="1" t="s">
        <v>1653</v>
      </c>
    </row>
    <row r="6098" spans="1:7" x14ac:dyDescent="0.35">
      <c r="A6098" t="s">
        <v>219</v>
      </c>
      <c r="B6098" t="s">
        <v>301</v>
      </c>
      <c r="C6098" t="s">
        <v>524</v>
      </c>
      <c r="D6098" t="s">
        <v>525</v>
      </c>
      <c r="E6098" t="s">
        <v>526</v>
      </c>
      <c r="F6098" t="s">
        <v>527</v>
      </c>
      <c r="G6098" t="s">
        <v>226</v>
      </c>
    </row>
    <row r="6099" spans="1:7" x14ac:dyDescent="0.35">
      <c r="A6099" t="s">
        <v>227</v>
      </c>
      <c r="B6099" t="s">
        <v>245</v>
      </c>
      <c r="C6099">
        <v>2.5</v>
      </c>
      <c r="D6099">
        <v>1</v>
      </c>
      <c r="E6099">
        <v>0</v>
      </c>
      <c r="F6099">
        <v>20</v>
      </c>
      <c r="G6099">
        <v>766</v>
      </c>
    </row>
    <row r="6100" spans="1:7" x14ac:dyDescent="0.35">
      <c r="A6100" t="s">
        <v>227</v>
      </c>
      <c r="B6100" t="s">
        <v>244</v>
      </c>
      <c r="C6100">
        <v>1.34</v>
      </c>
      <c r="D6100">
        <v>0</v>
      </c>
      <c r="E6100">
        <v>0</v>
      </c>
      <c r="F6100">
        <v>24</v>
      </c>
      <c r="G6100">
        <v>2006</v>
      </c>
    </row>
    <row r="6101" spans="1:7" x14ac:dyDescent="0.35">
      <c r="A6101" t="s">
        <v>228</v>
      </c>
      <c r="B6101" t="s">
        <v>228</v>
      </c>
      <c r="C6101">
        <v>1.66</v>
      </c>
      <c r="D6101">
        <v>0</v>
      </c>
      <c r="E6101">
        <v>0</v>
      </c>
      <c r="F6101">
        <v>24</v>
      </c>
      <c r="G6101">
        <v>2772</v>
      </c>
    </row>
    <row r="6103" spans="1:7" x14ac:dyDescent="0.35">
      <c r="A6103" s="1" t="s">
        <v>1654</v>
      </c>
    </row>
    <row r="6104" spans="1:7" x14ac:dyDescent="0.35">
      <c r="A6104" t="s">
        <v>219</v>
      </c>
      <c r="B6104" t="s">
        <v>301</v>
      </c>
      <c r="C6104" t="s">
        <v>524</v>
      </c>
      <c r="D6104" t="s">
        <v>525</v>
      </c>
      <c r="E6104" t="s">
        <v>526</v>
      </c>
      <c r="F6104" t="s">
        <v>527</v>
      </c>
      <c r="G6104" t="s">
        <v>226</v>
      </c>
    </row>
    <row r="6105" spans="1:7" x14ac:dyDescent="0.35">
      <c r="A6105" t="s">
        <v>227</v>
      </c>
      <c r="B6105" t="s">
        <v>259</v>
      </c>
      <c r="C6105">
        <v>2.14</v>
      </c>
      <c r="D6105">
        <v>1</v>
      </c>
      <c r="E6105">
        <v>0</v>
      </c>
      <c r="F6105">
        <v>20</v>
      </c>
      <c r="G6105">
        <v>68</v>
      </c>
    </row>
    <row r="6106" spans="1:7" x14ac:dyDescent="0.35">
      <c r="A6106" t="s">
        <v>227</v>
      </c>
      <c r="B6106" t="s">
        <v>257</v>
      </c>
      <c r="C6106">
        <v>2.5099999999999998</v>
      </c>
      <c r="D6106">
        <v>1</v>
      </c>
      <c r="E6106">
        <v>0</v>
      </c>
      <c r="F6106">
        <v>24</v>
      </c>
      <c r="G6106">
        <v>399</v>
      </c>
    </row>
    <row r="6107" spans="1:7" x14ac:dyDescent="0.35">
      <c r="A6107" t="s">
        <v>227</v>
      </c>
      <c r="B6107" t="s">
        <v>256</v>
      </c>
      <c r="C6107">
        <v>1.42</v>
      </c>
      <c r="D6107">
        <v>0</v>
      </c>
      <c r="E6107">
        <v>0</v>
      </c>
      <c r="F6107">
        <v>20</v>
      </c>
      <c r="G6107">
        <v>1776</v>
      </c>
    </row>
    <row r="6108" spans="1:7" x14ac:dyDescent="0.35">
      <c r="A6108" s="3" t="s">
        <v>227</v>
      </c>
      <c r="B6108" s="3" t="s">
        <v>232</v>
      </c>
      <c r="C6108" s="5">
        <v>2.56</v>
      </c>
      <c r="D6108" s="5">
        <v>4</v>
      </c>
      <c r="E6108" s="5">
        <v>0</v>
      </c>
      <c r="F6108" s="5">
        <v>6</v>
      </c>
      <c r="G6108" s="5">
        <v>11</v>
      </c>
    </row>
    <row r="6109" spans="1:7" x14ac:dyDescent="0.35">
      <c r="A6109" t="s">
        <v>227</v>
      </c>
      <c r="B6109" t="s">
        <v>258</v>
      </c>
      <c r="C6109">
        <v>1.67</v>
      </c>
      <c r="D6109">
        <v>0</v>
      </c>
      <c r="E6109">
        <v>0</v>
      </c>
      <c r="F6109">
        <v>20</v>
      </c>
      <c r="G6109">
        <v>518</v>
      </c>
    </row>
    <row r="6110" spans="1:7" x14ac:dyDescent="0.35">
      <c r="A6110" t="s">
        <v>228</v>
      </c>
      <c r="B6110" t="s">
        <v>228</v>
      </c>
      <c r="C6110">
        <v>1.66</v>
      </c>
      <c r="D6110">
        <v>0</v>
      </c>
      <c r="E6110">
        <v>0</v>
      </c>
      <c r="F6110">
        <v>24</v>
      </c>
      <c r="G6110">
        <v>2772</v>
      </c>
    </row>
    <row r="6112" spans="1:7" x14ac:dyDescent="0.35">
      <c r="A6112" s="1" t="s">
        <v>1655</v>
      </c>
    </row>
    <row r="6113" spans="1:7" x14ac:dyDescent="0.35">
      <c r="A6113" t="s">
        <v>219</v>
      </c>
      <c r="B6113" t="s">
        <v>301</v>
      </c>
      <c r="C6113" t="s">
        <v>524</v>
      </c>
      <c r="D6113" t="s">
        <v>525</v>
      </c>
      <c r="E6113" t="s">
        <v>526</v>
      </c>
      <c r="F6113" t="s">
        <v>527</v>
      </c>
      <c r="G6113" t="s">
        <v>226</v>
      </c>
    </row>
    <row r="6114" spans="1:7" x14ac:dyDescent="0.35">
      <c r="A6114" t="s">
        <v>227</v>
      </c>
      <c r="B6114" t="s">
        <v>343</v>
      </c>
      <c r="C6114">
        <v>2.5099999999999998</v>
      </c>
      <c r="D6114">
        <v>1</v>
      </c>
      <c r="E6114">
        <v>0</v>
      </c>
      <c r="F6114">
        <v>24</v>
      </c>
      <c r="G6114">
        <v>399</v>
      </c>
    </row>
    <row r="6115" spans="1:7" x14ac:dyDescent="0.35">
      <c r="A6115" t="s">
        <v>227</v>
      </c>
      <c r="B6115" t="s">
        <v>344</v>
      </c>
      <c r="C6115">
        <v>1.48</v>
      </c>
      <c r="D6115">
        <v>0</v>
      </c>
      <c r="E6115">
        <v>0</v>
      </c>
      <c r="F6115">
        <v>20</v>
      </c>
      <c r="G6115">
        <v>2373</v>
      </c>
    </row>
    <row r="6116" spans="1:7" x14ac:dyDescent="0.35">
      <c r="A6116" t="s">
        <v>228</v>
      </c>
      <c r="B6116" t="s">
        <v>228</v>
      </c>
      <c r="C6116">
        <v>1.66</v>
      </c>
      <c r="D6116">
        <v>0</v>
      </c>
      <c r="E6116">
        <v>0</v>
      </c>
      <c r="F6116">
        <v>24</v>
      </c>
      <c r="G6116">
        <v>2772</v>
      </c>
    </row>
    <row r="6118" spans="1:7" x14ac:dyDescent="0.35">
      <c r="A6118" s="1" t="s">
        <v>1656</v>
      </c>
    </row>
    <row r="6119" spans="1:7" x14ac:dyDescent="0.35">
      <c r="A6119" t="s">
        <v>219</v>
      </c>
      <c r="B6119" t="s">
        <v>301</v>
      </c>
      <c r="C6119" t="s">
        <v>524</v>
      </c>
      <c r="D6119" t="s">
        <v>525</v>
      </c>
      <c r="E6119" t="s">
        <v>526</v>
      </c>
      <c r="F6119" t="s">
        <v>527</v>
      </c>
      <c r="G6119" t="s">
        <v>226</v>
      </c>
    </row>
    <row r="6120" spans="1:7" x14ac:dyDescent="0.35">
      <c r="A6120" t="s">
        <v>227</v>
      </c>
      <c r="B6120" t="s">
        <v>346</v>
      </c>
      <c r="C6120">
        <v>1.62</v>
      </c>
      <c r="D6120">
        <v>0</v>
      </c>
      <c r="E6120">
        <v>0</v>
      </c>
      <c r="F6120">
        <v>24</v>
      </c>
      <c r="G6120">
        <v>1436</v>
      </c>
    </row>
    <row r="6121" spans="1:7" x14ac:dyDescent="0.35">
      <c r="A6121" t="s">
        <v>227</v>
      </c>
      <c r="B6121" t="s">
        <v>347</v>
      </c>
      <c r="C6121">
        <v>2.13</v>
      </c>
      <c r="D6121">
        <v>1</v>
      </c>
      <c r="E6121">
        <v>0</v>
      </c>
      <c r="F6121">
        <v>20</v>
      </c>
      <c r="G6121">
        <v>580</v>
      </c>
    </row>
    <row r="6122" spans="1:7" x14ac:dyDescent="0.35">
      <c r="A6122" t="s">
        <v>227</v>
      </c>
      <c r="B6122" t="s">
        <v>348</v>
      </c>
      <c r="C6122">
        <v>1.79</v>
      </c>
      <c r="D6122">
        <v>1</v>
      </c>
      <c r="E6122">
        <v>0</v>
      </c>
      <c r="F6122">
        <v>20</v>
      </c>
      <c r="G6122">
        <v>756</v>
      </c>
    </row>
    <row r="6123" spans="1:7" x14ac:dyDescent="0.35">
      <c r="A6123" t="s">
        <v>228</v>
      </c>
      <c r="B6123" t="s">
        <v>228</v>
      </c>
      <c r="C6123">
        <v>1.66</v>
      </c>
      <c r="D6123">
        <v>0</v>
      </c>
      <c r="E6123">
        <v>0</v>
      </c>
      <c r="F6123">
        <v>24</v>
      </c>
      <c r="G6123">
        <v>2772</v>
      </c>
    </row>
    <row r="6125" spans="1:7" x14ac:dyDescent="0.35">
      <c r="A6125" s="1" t="s">
        <v>1657</v>
      </c>
    </row>
    <row r="6126" spans="1:7" x14ac:dyDescent="0.35">
      <c r="A6126" t="s">
        <v>219</v>
      </c>
      <c r="B6126" t="s">
        <v>301</v>
      </c>
      <c r="C6126" t="s">
        <v>524</v>
      </c>
      <c r="D6126" t="s">
        <v>525</v>
      </c>
      <c r="E6126" t="s">
        <v>526</v>
      </c>
      <c r="F6126" t="s">
        <v>527</v>
      </c>
      <c r="G6126" t="s">
        <v>226</v>
      </c>
    </row>
    <row r="6127" spans="1:7" x14ac:dyDescent="0.35">
      <c r="A6127" t="s">
        <v>227</v>
      </c>
      <c r="B6127" t="s">
        <v>251</v>
      </c>
      <c r="C6127">
        <v>1.34</v>
      </c>
      <c r="D6127">
        <v>0</v>
      </c>
      <c r="E6127">
        <v>0</v>
      </c>
      <c r="F6127">
        <v>24</v>
      </c>
      <c r="G6127">
        <v>2006</v>
      </c>
    </row>
    <row r="6128" spans="1:7" x14ac:dyDescent="0.35">
      <c r="A6128" t="s">
        <v>227</v>
      </c>
      <c r="B6128" t="s">
        <v>252</v>
      </c>
      <c r="C6128">
        <v>2.23</v>
      </c>
      <c r="D6128">
        <v>1</v>
      </c>
      <c r="E6128">
        <v>0</v>
      </c>
      <c r="F6128">
        <v>20</v>
      </c>
      <c r="G6128">
        <v>607</v>
      </c>
    </row>
    <row r="6129" spans="1:7" x14ac:dyDescent="0.35">
      <c r="A6129" t="s">
        <v>227</v>
      </c>
      <c r="B6129" t="s">
        <v>253</v>
      </c>
      <c r="C6129">
        <v>3.68</v>
      </c>
      <c r="D6129">
        <v>2</v>
      </c>
      <c r="E6129">
        <v>0</v>
      </c>
      <c r="F6129">
        <v>20</v>
      </c>
      <c r="G6129">
        <v>150</v>
      </c>
    </row>
    <row r="6130" spans="1:7" x14ac:dyDescent="0.35">
      <c r="A6130" s="3" t="s">
        <v>227</v>
      </c>
      <c r="B6130" s="3" t="s">
        <v>254</v>
      </c>
      <c r="C6130" s="5">
        <v>1.58</v>
      </c>
      <c r="D6130" s="5">
        <v>1</v>
      </c>
      <c r="E6130" s="5">
        <v>0</v>
      </c>
      <c r="F6130" s="5">
        <v>10</v>
      </c>
      <c r="G6130" s="5">
        <v>9</v>
      </c>
    </row>
    <row r="6131" spans="1:7" x14ac:dyDescent="0.35">
      <c r="A6131" t="s">
        <v>228</v>
      </c>
      <c r="B6131" t="s">
        <v>228</v>
      </c>
      <c r="C6131">
        <v>1.66</v>
      </c>
      <c r="D6131">
        <v>0</v>
      </c>
      <c r="E6131">
        <v>0</v>
      </c>
      <c r="F6131">
        <v>24</v>
      </c>
      <c r="G6131">
        <v>2772</v>
      </c>
    </row>
    <row r="6133" spans="1:7" x14ac:dyDescent="0.35">
      <c r="A6133" s="1" t="s">
        <v>1658</v>
      </c>
    </row>
    <row r="6134" spans="1:7" x14ac:dyDescent="0.35">
      <c r="A6134" t="s">
        <v>219</v>
      </c>
      <c r="B6134" t="s">
        <v>301</v>
      </c>
      <c r="C6134" t="s">
        <v>524</v>
      </c>
      <c r="D6134" t="s">
        <v>525</v>
      </c>
      <c r="E6134" t="s">
        <v>526</v>
      </c>
      <c r="F6134" t="s">
        <v>527</v>
      </c>
      <c r="G6134" t="s">
        <v>226</v>
      </c>
    </row>
    <row r="6135" spans="1:7" x14ac:dyDescent="0.35">
      <c r="A6135" t="s">
        <v>227</v>
      </c>
      <c r="B6135" t="s">
        <v>1335</v>
      </c>
      <c r="C6135">
        <v>1.37</v>
      </c>
      <c r="D6135">
        <v>0</v>
      </c>
      <c r="E6135">
        <v>0</v>
      </c>
      <c r="F6135">
        <v>20</v>
      </c>
      <c r="G6135">
        <v>832</v>
      </c>
    </row>
    <row r="6136" spans="1:7" x14ac:dyDescent="0.35">
      <c r="A6136" s="3" t="s">
        <v>227</v>
      </c>
      <c r="B6136" s="3" t="s">
        <v>1336</v>
      </c>
      <c r="C6136" s="5">
        <v>1.41</v>
      </c>
      <c r="D6136" s="5">
        <v>1</v>
      </c>
      <c r="E6136" s="5">
        <v>1</v>
      </c>
      <c r="F6136" s="5">
        <v>2</v>
      </c>
      <c r="G6136" s="5">
        <v>2</v>
      </c>
    </row>
    <row r="6137" spans="1:7" x14ac:dyDescent="0.35">
      <c r="A6137" t="s">
        <v>227</v>
      </c>
      <c r="B6137" t="s">
        <v>1337</v>
      </c>
      <c r="C6137">
        <v>1.8</v>
      </c>
      <c r="D6137">
        <v>0</v>
      </c>
      <c r="E6137">
        <v>0</v>
      </c>
      <c r="F6137">
        <v>24</v>
      </c>
      <c r="G6137">
        <v>1938</v>
      </c>
    </row>
    <row r="6138" spans="1:7" x14ac:dyDescent="0.35">
      <c r="A6138" t="s">
        <v>228</v>
      </c>
      <c r="B6138" t="s">
        <v>228</v>
      </c>
      <c r="C6138">
        <v>1.66</v>
      </c>
      <c r="D6138">
        <v>0</v>
      </c>
      <c r="E6138">
        <v>0</v>
      </c>
      <c r="F6138">
        <v>24</v>
      </c>
      <c r="G6138">
        <v>2772</v>
      </c>
    </row>
    <row r="6140" spans="1:7" x14ac:dyDescent="0.35">
      <c r="A6140" s="1" t="s">
        <v>1659</v>
      </c>
    </row>
    <row r="6141" spans="1:7" x14ac:dyDescent="0.35">
      <c r="A6141" t="s">
        <v>219</v>
      </c>
      <c r="B6141" t="s">
        <v>301</v>
      </c>
      <c r="C6141" t="s">
        <v>524</v>
      </c>
      <c r="D6141" t="s">
        <v>525</v>
      </c>
      <c r="E6141" t="s">
        <v>526</v>
      </c>
      <c r="F6141" t="s">
        <v>527</v>
      </c>
      <c r="G6141" t="s">
        <v>226</v>
      </c>
    </row>
    <row r="6142" spans="1:7" x14ac:dyDescent="0.35">
      <c r="A6142" t="s">
        <v>227</v>
      </c>
      <c r="B6142" t="s">
        <v>1339</v>
      </c>
      <c r="C6142">
        <v>2.17</v>
      </c>
      <c r="D6142">
        <v>1</v>
      </c>
      <c r="E6142">
        <v>0</v>
      </c>
      <c r="F6142">
        <v>10</v>
      </c>
      <c r="G6142">
        <v>50</v>
      </c>
    </row>
    <row r="6143" spans="1:7" x14ac:dyDescent="0.35">
      <c r="A6143" t="s">
        <v>227</v>
      </c>
      <c r="B6143" t="s">
        <v>1340</v>
      </c>
      <c r="C6143">
        <v>1.9</v>
      </c>
      <c r="D6143">
        <v>1</v>
      </c>
      <c r="E6143">
        <v>0</v>
      </c>
      <c r="F6143">
        <v>20</v>
      </c>
      <c r="G6143">
        <v>716</v>
      </c>
    </row>
    <row r="6144" spans="1:7" x14ac:dyDescent="0.35">
      <c r="A6144" t="s">
        <v>227</v>
      </c>
      <c r="B6144" t="s">
        <v>1341</v>
      </c>
      <c r="C6144">
        <v>1.64</v>
      </c>
      <c r="D6144">
        <v>0</v>
      </c>
      <c r="E6144">
        <v>0</v>
      </c>
      <c r="F6144">
        <v>20</v>
      </c>
      <c r="G6144">
        <v>1327</v>
      </c>
    </row>
    <row r="6145" spans="1:8" x14ac:dyDescent="0.35">
      <c r="A6145" t="s">
        <v>227</v>
      </c>
      <c r="B6145" t="s">
        <v>1342</v>
      </c>
      <c r="C6145">
        <v>1.4</v>
      </c>
      <c r="D6145">
        <v>0</v>
      </c>
      <c r="E6145">
        <v>0</v>
      </c>
      <c r="F6145">
        <v>24</v>
      </c>
      <c r="G6145">
        <v>679</v>
      </c>
    </row>
    <row r="6146" spans="1:8" x14ac:dyDescent="0.35">
      <c r="A6146" t="s">
        <v>228</v>
      </c>
      <c r="B6146" t="s">
        <v>228</v>
      </c>
      <c r="C6146">
        <v>1.66</v>
      </c>
      <c r="D6146">
        <v>0</v>
      </c>
      <c r="E6146">
        <v>0</v>
      </c>
      <c r="F6146">
        <v>24</v>
      </c>
      <c r="G6146">
        <v>2772</v>
      </c>
    </row>
    <row r="6148" spans="1:8" x14ac:dyDescent="0.35">
      <c r="A6148" s="1" t="s">
        <v>1660</v>
      </c>
    </row>
    <row r="6149" spans="1:8" x14ac:dyDescent="0.35">
      <c r="A6149" t="s">
        <v>219</v>
      </c>
      <c r="B6149" t="s">
        <v>301</v>
      </c>
      <c r="C6149" t="s">
        <v>325</v>
      </c>
      <c r="D6149" t="s">
        <v>524</v>
      </c>
      <c r="E6149" t="s">
        <v>525</v>
      </c>
      <c r="F6149" t="s">
        <v>526</v>
      </c>
      <c r="G6149" t="s">
        <v>527</v>
      </c>
      <c r="H6149" t="s">
        <v>226</v>
      </c>
    </row>
    <row r="6150" spans="1:8" x14ac:dyDescent="0.35">
      <c r="A6150" s="3" t="s">
        <v>227</v>
      </c>
      <c r="B6150" s="3" t="s">
        <v>1335</v>
      </c>
      <c r="C6150" s="3" t="s">
        <v>1339</v>
      </c>
      <c r="D6150" s="5">
        <v>2.2400000000000002</v>
      </c>
      <c r="E6150" s="5">
        <v>2</v>
      </c>
      <c r="F6150" s="5">
        <v>0</v>
      </c>
      <c r="G6150" s="5">
        <v>10</v>
      </c>
      <c r="H6150" s="5">
        <v>20</v>
      </c>
    </row>
    <row r="6151" spans="1:8" x14ac:dyDescent="0.35">
      <c r="A6151" t="s">
        <v>227</v>
      </c>
      <c r="B6151" t="s">
        <v>1335</v>
      </c>
      <c r="C6151" t="s">
        <v>1340</v>
      </c>
      <c r="D6151">
        <v>1.64</v>
      </c>
      <c r="E6151">
        <v>0</v>
      </c>
      <c r="F6151">
        <v>0</v>
      </c>
      <c r="G6151">
        <v>20</v>
      </c>
      <c r="H6151">
        <v>246</v>
      </c>
    </row>
    <row r="6152" spans="1:8" x14ac:dyDescent="0.35">
      <c r="A6152" t="s">
        <v>227</v>
      </c>
      <c r="B6152" t="s">
        <v>1335</v>
      </c>
      <c r="C6152" t="s">
        <v>1341</v>
      </c>
      <c r="D6152">
        <v>1.43</v>
      </c>
      <c r="E6152">
        <v>0</v>
      </c>
      <c r="F6152">
        <v>0</v>
      </c>
      <c r="G6152">
        <v>20</v>
      </c>
      <c r="H6152">
        <v>414</v>
      </c>
    </row>
    <row r="6153" spans="1:8" x14ac:dyDescent="0.35">
      <c r="A6153" t="s">
        <v>227</v>
      </c>
      <c r="B6153" t="s">
        <v>1335</v>
      </c>
      <c r="C6153" t="s">
        <v>1342</v>
      </c>
      <c r="D6153">
        <v>0.74</v>
      </c>
      <c r="E6153">
        <v>0</v>
      </c>
      <c r="F6153">
        <v>0</v>
      </c>
      <c r="G6153">
        <v>15</v>
      </c>
      <c r="H6153">
        <v>152</v>
      </c>
    </row>
    <row r="6154" spans="1:8" x14ac:dyDescent="0.35">
      <c r="A6154" s="3" t="s">
        <v>227</v>
      </c>
      <c r="B6154" s="3" t="s">
        <v>1336</v>
      </c>
      <c r="C6154" s="3" t="s">
        <v>1341</v>
      </c>
      <c r="D6154" s="5">
        <v>1.41</v>
      </c>
      <c r="E6154" s="5">
        <v>1</v>
      </c>
      <c r="F6154" s="5">
        <v>1</v>
      </c>
      <c r="G6154" s="5">
        <v>2</v>
      </c>
      <c r="H6154" s="5">
        <v>2</v>
      </c>
    </row>
    <row r="6155" spans="1:8" x14ac:dyDescent="0.35">
      <c r="A6155" t="s">
        <v>227</v>
      </c>
      <c r="B6155" t="s">
        <v>1337</v>
      </c>
      <c r="C6155" t="s">
        <v>1339</v>
      </c>
      <c r="D6155">
        <v>2.12</v>
      </c>
      <c r="E6155">
        <v>1</v>
      </c>
      <c r="F6155">
        <v>0</v>
      </c>
      <c r="G6155">
        <v>10</v>
      </c>
      <c r="H6155">
        <v>30</v>
      </c>
    </row>
    <row r="6156" spans="1:8" x14ac:dyDescent="0.35">
      <c r="A6156" t="s">
        <v>227</v>
      </c>
      <c r="B6156" t="s">
        <v>1337</v>
      </c>
      <c r="C6156" t="s">
        <v>1340</v>
      </c>
      <c r="D6156">
        <v>2.04</v>
      </c>
      <c r="E6156">
        <v>1</v>
      </c>
      <c r="F6156">
        <v>0</v>
      </c>
      <c r="G6156">
        <v>20</v>
      </c>
      <c r="H6156">
        <v>470</v>
      </c>
    </row>
    <row r="6157" spans="1:8" x14ac:dyDescent="0.35">
      <c r="A6157" t="s">
        <v>227</v>
      </c>
      <c r="B6157" t="s">
        <v>1337</v>
      </c>
      <c r="C6157" t="s">
        <v>1341</v>
      </c>
      <c r="D6157">
        <v>1.76</v>
      </c>
      <c r="E6157">
        <v>0</v>
      </c>
      <c r="F6157">
        <v>0</v>
      </c>
      <c r="G6157">
        <v>20</v>
      </c>
      <c r="H6157">
        <v>911</v>
      </c>
    </row>
    <row r="6158" spans="1:8" x14ac:dyDescent="0.35">
      <c r="A6158" t="s">
        <v>227</v>
      </c>
      <c r="B6158" t="s">
        <v>1337</v>
      </c>
      <c r="C6158" t="s">
        <v>1342</v>
      </c>
      <c r="D6158">
        <v>1.65</v>
      </c>
      <c r="E6158">
        <v>0</v>
      </c>
      <c r="F6158">
        <v>0</v>
      </c>
      <c r="G6158">
        <v>24</v>
      </c>
      <c r="H6158">
        <v>527</v>
      </c>
    </row>
    <row r="6159" spans="1:8" x14ac:dyDescent="0.35">
      <c r="A6159" t="s">
        <v>228</v>
      </c>
      <c r="B6159" t="s">
        <v>228</v>
      </c>
      <c r="C6159" t="s">
        <v>228</v>
      </c>
      <c r="D6159">
        <v>1.66</v>
      </c>
      <c r="E6159">
        <v>0</v>
      </c>
      <c r="F6159">
        <v>0</v>
      </c>
      <c r="G6159">
        <v>24</v>
      </c>
      <c r="H6159">
        <v>2772</v>
      </c>
    </row>
    <row r="6161" spans="1:10" x14ac:dyDescent="0.35">
      <c r="A6161" s="1" t="s">
        <v>1661</v>
      </c>
    </row>
    <row r="6162" spans="1:10" x14ac:dyDescent="0.35">
      <c r="A6162" t="s">
        <v>219</v>
      </c>
      <c r="B6162" t="s">
        <v>1662</v>
      </c>
      <c r="C6162" t="s">
        <v>1663</v>
      </c>
      <c r="D6162" t="s">
        <v>1664</v>
      </c>
      <c r="E6162" t="s">
        <v>1665</v>
      </c>
      <c r="F6162" t="s">
        <v>1666</v>
      </c>
      <c r="G6162" t="s">
        <v>282</v>
      </c>
      <c r="H6162" t="s">
        <v>277</v>
      </c>
      <c r="I6162" t="s">
        <v>226</v>
      </c>
    </row>
    <row r="6163" spans="1:10" x14ac:dyDescent="0.35">
      <c r="A6163" t="s">
        <v>227</v>
      </c>
      <c r="B6163" s="2">
        <v>0.89359999999999995</v>
      </c>
      <c r="C6163" s="2">
        <v>4.36E-2</v>
      </c>
      <c r="D6163" s="2">
        <v>4.1700000000000001E-2</v>
      </c>
      <c r="E6163" s="2">
        <v>1.3299999999999999E-2</v>
      </c>
      <c r="F6163" s="2">
        <v>6.8999999999999999E-3</v>
      </c>
      <c r="G6163" s="2">
        <v>8.9999999999999998E-4</v>
      </c>
      <c r="H6163" s="2">
        <v>1E-4</v>
      </c>
      <c r="I6163">
        <v>2813</v>
      </c>
    </row>
    <row r="6164" spans="1:10" x14ac:dyDescent="0.35">
      <c r="A6164" t="s">
        <v>228</v>
      </c>
      <c r="B6164" s="2">
        <v>0.89359999999999995</v>
      </c>
      <c r="C6164" s="2">
        <v>4.36E-2</v>
      </c>
      <c r="D6164" s="2">
        <v>4.1700000000000001E-2</v>
      </c>
      <c r="E6164" s="2">
        <v>1.3299999999999999E-2</v>
      </c>
      <c r="F6164" s="2">
        <v>6.8999999999999999E-3</v>
      </c>
      <c r="G6164" s="2">
        <v>8.9999999999999998E-4</v>
      </c>
      <c r="H6164" s="2">
        <v>1E-4</v>
      </c>
      <c r="I6164">
        <v>2813</v>
      </c>
    </row>
    <row r="6166" spans="1:10" x14ac:dyDescent="0.35">
      <c r="A6166" s="1" t="s">
        <v>1667</v>
      </c>
    </row>
    <row r="6167" spans="1:10" x14ac:dyDescent="0.35">
      <c r="A6167" t="s">
        <v>219</v>
      </c>
      <c r="B6167" t="s">
        <v>301</v>
      </c>
      <c r="C6167" t="s">
        <v>1662</v>
      </c>
      <c r="D6167" t="s">
        <v>1663</v>
      </c>
      <c r="E6167" t="s">
        <v>1664</v>
      </c>
      <c r="F6167" t="s">
        <v>1665</v>
      </c>
      <c r="G6167" t="s">
        <v>1666</v>
      </c>
      <c r="H6167" t="s">
        <v>282</v>
      </c>
      <c r="I6167" t="s">
        <v>277</v>
      </c>
      <c r="J6167" t="s">
        <v>226</v>
      </c>
    </row>
    <row r="6168" spans="1:10" x14ac:dyDescent="0.35">
      <c r="A6168" t="s">
        <v>227</v>
      </c>
      <c r="B6168" t="s">
        <v>238</v>
      </c>
      <c r="C6168" s="2">
        <v>0.88929999999999998</v>
      </c>
      <c r="D6168" s="2">
        <v>4.4999999999999998E-2</v>
      </c>
      <c r="E6168" s="2">
        <v>4.2500000000000003E-2</v>
      </c>
      <c r="F6168" s="2">
        <v>2.0500000000000001E-2</v>
      </c>
      <c r="G6168" s="2">
        <v>2.9999999999999997E-4</v>
      </c>
      <c r="H6168" s="2">
        <v>2.3E-3</v>
      </c>
      <c r="I6168" s="2">
        <v>2.0000000000000001E-4</v>
      </c>
      <c r="J6168">
        <v>1005</v>
      </c>
    </row>
    <row r="6169" spans="1:10" x14ac:dyDescent="0.35">
      <c r="A6169" t="s">
        <v>227</v>
      </c>
      <c r="B6169" t="s">
        <v>237</v>
      </c>
      <c r="C6169" s="2">
        <v>0.89600000000000002</v>
      </c>
      <c r="D6169" s="2">
        <v>4.2700000000000002E-2</v>
      </c>
      <c r="E6169" s="2">
        <v>4.1300000000000003E-2</v>
      </c>
      <c r="F6169" s="2">
        <v>9.1000000000000004E-3</v>
      </c>
      <c r="G6169" s="2">
        <v>1.0699999999999999E-2</v>
      </c>
      <c r="H6169" s="2">
        <v>1E-4</v>
      </c>
      <c r="J6169">
        <v>1808</v>
      </c>
    </row>
    <row r="6170" spans="1:10" x14ac:dyDescent="0.35">
      <c r="A6170" t="s">
        <v>228</v>
      </c>
      <c r="B6170" t="s">
        <v>228</v>
      </c>
      <c r="C6170" s="2">
        <v>0.89359999999999995</v>
      </c>
      <c r="D6170" s="2">
        <v>4.36E-2</v>
      </c>
      <c r="E6170" s="2">
        <v>4.1700000000000001E-2</v>
      </c>
      <c r="F6170" s="2">
        <v>1.3299999999999999E-2</v>
      </c>
      <c r="G6170" s="2">
        <v>6.8999999999999999E-3</v>
      </c>
      <c r="H6170" s="2">
        <v>8.9999999999999998E-4</v>
      </c>
      <c r="I6170" s="2">
        <v>1E-4</v>
      </c>
      <c r="J6170">
        <v>2813</v>
      </c>
    </row>
    <row r="6172" spans="1:10" x14ac:dyDescent="0.35">
      <c r="A6172" s="1" t="s">
        <v>1668</v>
      </c>
    </row>
    <row r="6173" spans="1:10" x14ac:dyDescent="0.35">
      <c r="A6173" t="s">
        <v>219</v>
      </c>
      <c r="B6173" t="s">
        <v>301</v>
      </c>
      <c r="C6173" t="s">
        <v>1662</v>
      </c>
      <c r="D6173" t="s">
        <v>1663</v>
      </c>
      <c r="E6173" t="s">
        <v>1664</v>
      </c>
      <c r="F6173" t="s">
        <v>1665</v>
      </c>
      <c r="G6173" t="s">
        <v>1666</v>
      </c>
      <c r="H6173" t="s">
        <v>282</v>
      </c>
      <c r="I6173" t="s">
        <v>277</v>
      </c>
      <c r="J6173" t="s">
        <v>226</v>
      </c>
    </row>
    <row r="6174" spans="1:10" x14ac:dyDescent="0.35">
      <c r="A6174" t="s">
        <v>227</v>
      </c>
      <c r="B6174" t="s">
        <v>235</v>
      </c>
      <c r="C6174" s="2">
        <v>0.89929999999999999</v>
      </c>
      <c r="D6174" s="2">
        <v>2.8899999999999999E-2</v>
      </c>
      <c r="E6174" s="2">
        <v>5.0200000000000002E-2</v>
      </c>
      <c r="F6174" s="2">
        <v>1.34E-2</v>
      </c>
      <c r="G6174" s="2">
        <v>8.3000000000000001E-3</v>
      </c>
      <c r="J6174">
        <v>992</v>
      </c>
    </row>
    <row r="6175" spans="1:10" x14ac:dyDescent="0.35">
      <c r="A6175" t="s">
        <v>227</v>
      </c>
      <c r="B6175" t="s">
        <v>234</v>
      </c>
      <c r="C6175" s="2">
        <v>0.89119999999999999</v>
      </c>
      <c r="D6175" s="2">
        <v>4.9700000000000001E-2</v>
      </c>
      <c r="E6175" s="2">
        <v>3.8199999999999998E-2</v>
      </c>
      <c r="F6175" s="2">
        <v>1.3299999999999999E-2</v>
      </c>
      <c r="G6175" s="2">
        <v>6.3E-3</v>
      </c>
      <c r="H6175" s="2">
        <v>1.2999999999999999E-3</v>
      </c>
      <c r="I6175" s="2">
        <v>1E-4</v>
      </c>
      <c r="J6175">
        <v>1821</v>
      </c>
    </row>
    <row r="6176" spans="1:10" x14ac:dyDescent="0.35">
      <c r="A6176" t="s">
        <v>228</v>
      </c>
      <c r="B6176" t="s">
        <v>228</v>
      </c>
      <c r="C6176" s="2">
        <v>0.89359999999999995</v>
      </c>
      <c r="D6176" s="2">
        <v>4.36E-2</v>
      </c>
      <c r="E6176" s="2">
        <v>4.1700000000000001E-2</v>
      </c>
      <c r="F6176" s="2">
        <v>1.3299999999999999E-2</v>
      </c>
      <c r="G6176" s="2">
        <v>6.8999999999999999E-3</v>
      </c>
      <c r="H6176" s="2">
        <v>8.9999999999999998E-4</v>
      </c>
      <c r="I6176" s="2">
        <v>1E-4</v>
      </c>
      <c r="J6176">
        <v>2813</v>
      </c>
    </row>
    <row r="6178" spans="1:10" x14ac:dyDescent="0.35">
      <c r="A6178" s="1" t="s">
        <v>1669</v>
      </c>
    </row>
    <row r="6179" spans="1:10" x14ac:dyDescent="0.35">
      <c r="A6179" t="s">
        <v>219</v>
      </c>
      <c r="B6179" t="s">
        <v>301</v>
      </c>
      <c r="C6179" t="s">
        <v>1662</v>
      </c>
      <c r="D6179" t="s">
        <v>1663</v>
      </c>
      <c r="E6179" t="s">
        <v>1664</v>
      </c>
      <c r="F6179" t="s">
        <v>1665</v>
      </c>
      <c r="G6179" t="s">
        <v>1666</v>
      </c>
      <c r="H6179" t="s">
        <v>282</v>
      </c>
      <c r="I6179" t="s">
        <v>277</v>
      </c>
      <c r="J6179" t="s">
        <v>226</v>
      </c>
    </row>
    <row r="6180" spans="1:10" x14ac:dyDescent="0.35">
      <c r="A6180" t="s">
        <v>227</v>
      </c>
      <c r="B6180" t="s">
        <v>240</v>
      </c>
      <c r="C6180" s="2">
        <v>0.90629999999999999</v>
      </c>
      <c r="D6180" s="2">
        <v>3.7900000000000003E-2</v>
      </c>
      <c r="E6180" s="2">
        <v>4.0500000000000001E-2</v>
      </c>
      <c r="F6180" s="2">
        <v>1.12E-2</v>
      </c>
      <c r="G6180" s="2">
        <v>2.5999999999999999E-3</v>
      </c>
      <c r="H6180" s="2">
        <v>1.5E-3</v>
      </c>
      <c r="J6180">
        <v>1756</v>
      </c>
    </row>
    <row r="6181" spans="1:10" x14ac:dyDescent="0.35">
      <c r="A6181" t="s">
        <v>227</v>
      </c>
      <c r="B6181" t="s">
        <v>241</v>
      </c>
      <c r="C6181" s="2">
        <v>0.86519999999999997</v>
      </c>
      <c r="D6181" s="2">
        <v>5.8200000000000002E-2</v>
      </c>
      <c r="E6181" s="2">
        <v>4.5400000000000003E-2</v>
      </c>
      <c r="F6181" s="2">
        <v>1.34E-2</v>
      </c>
      <c r="G6181" s="2">
        <v>1.7600000000000001E-2</v>
      </c>
      <c r="I6181" s="2">
        <v>2.0000000000000001E-4</v>
      </c>
      <c r="J6181">
        <v>891</v>
      </c>
    </row>
    <row r="6182" spans="1:10" x14ac:dyDescent="0.35">
      <c r="A6182" t="s">
        <v>227</v>
      </c>
      <c r="B6182" t="s">
        <v>242</v>
      </c>
      <c r="C6182" s="2">
        <v>0.89710000000000001</v>
      </c>
      <c r="D6182" s="2">
        <v>3.3000000000000002E-2</v>
      </c>
      <c r="E6182" s="2">
        <v>3.7400000000000003E-2</v>
      </c>
      <c r="F6182" s="2">
        <v>3.2500000000000001E-2</v>
      </c>
      <c r="J6182">
        <v>166</v>
      </c>
    </row>
    <row r="6183" spans="1:10" x14ac:dyDescent="0.35">
      <c r="A6183" t="s">
        <v>228</v>
      </c>
      <c r="B6183" t="s">
        <v>228</v>
      </c>
      <c r="C6183" s="2">
        <v>0.89359999999999995</v>
      </c>
      <c r="D6183" s="2">
        <v>4.36E-2</v>
      </c>
      <c r="E6183" s="2">
        <v>4.1700000000000001E-2</v>
      </c>
      <c r="F6183" s="2">
        <v>1.3299999999999999E-2</v>
      </c>
      <c r="G6183" s="2">
        <v>6.8999999999999999E-3</v>
      </c>
      <c r="H6183" s="2">
        <v>8.9999999999999998E-4</v>
      </c>
      <c r="I6183" s="2">
        <v>1E-4</v>
      </c>
      <c r="J6183">
        <v>2813</v>
      </c>
    </row>
    <row r="6185" spans="1:10" x14ac:dyDescent="0.35">
      <c r="A6185" s="1" t="s">
        <v>1670</v>
      </c>
    </row>
    <row r="6186" spans="1:10" x14ac:dyDescent="0.35">
      <c r="A6186" t="s">
        <v>219</v>
      </c>
      <c r="B6186" t="s">
        <v>301</v>
      </c>
      <c r="C6186" t="s">
        <v>1662</v>
      </c>
      <c r="D6186" t="s">
        <v>1663</v>
      </c>
      <c r="E6186" t="s">
        <v>1664</v>
      </c>
      <c r="F6186" t="s">
        <v>1665</v>
      </c>
      <c r="G6186" t="s">
        <v>1666</v>
      </c>
      <c r="H6186" t="s">
        <v>282</v>
      </c>
      <c r="I6186" t="s">
        <v>277</v>
      </c>
      <c r="J6186" t="s">
        <v>226</v>
      </c>
    </row>
    <row r="6187" spans="1:10" x14ac:dyDescent="0.35">
      <c r="A6187" t="s">
        <v>227</v>
      </c>
      <c r="B6187" t="s">
        <v>334</v>
      </c>
      <c r="C6187" s="2">
        <v>0.89710000000000001</v>
      </c>
      <c r="D6187" s="2">
        <v>2.4299999999999999E-2</v>
      </c>
      <c r="E6187" s="2">
        <v>0.04</v>
      </c>
      <c r="F6187" s="2">
        <v>3.7699999999999997E-2</v>
      </c>
      <c r="G6187" s="2">
        <v>5.9999999999999995E-4</v>
      </c>
      <c r="I6187" s="2">
        <v>2.9999999999999997E-4</v>
      </c>
      <c r="J6187">
        <v>625</v>
      </c>
    </row>
    <row r="6188" spans="1:10" x14ac:dyDescent="0.35">
      <c r="A6188" t="s">
        <v>227</v>
      </c>
      <c r="B6188" t="s">
        <v>335</v>
      </c>
      <c r="C6188" s="2">
        <v>0.90559999999999996</v>
      </c>
      <c r="D6188" s="2">
        <v>4.53E-2</v>
      </c>
      <c r="E6188" s="2">
        <v>3.3300000000000003E-2</v>
      </c>
      <c r="F6188" s="2">
        <v>6.7999999999999996E-3</v>
      </c>
      <c r="G6188" s="2">
        <v>8.8999999999999999E-3</v>
      </c>
      <c r="J6188">
        <v>628</v>
      </c>
    </row>
    <row r="6189" spans="1:10" x14ac:dyDescent="0.35">
      <c r="A6189" t="s">
        <v>227</v>
      </c>
      <c r="B6189" t="s">
        <v>336</v>
      </c>
      <c r="C6189" s="2">
        <v>0.89270000000000005</v>
      </c>
      <c r="D6189" s="2">
        <v>4.2700000000000002E-2</v>
      </c>
      <c r="E6189" s="2">
        <v>5.11E-2</v>
      </c>
      <c r="F6189" s="2">
        <v>4.4999999999999997E-3</v>
      </c>
      <c r="G6189" s="2">
        <v>8.8999999999999999E-3</v>
      </c>
      <c r="J6189">
        <v>621</v>
      </c>
    </row>
    <row r="6190" spans="1:10" x14ac:dyDescent="0.35">
      <c r="A6190" t="s">
        <v>227</v>
      </c>
      <c r="B6190" t="s">
        <v>337</v>
      </c>
      <c r="C6190" s="2">
        <v>0.87990000000000002</v>
      </c>
      <c r="D6190" s="2">
        <v>6.0400000000000002E-2</v>
      </c>
      <c r="E6190" s="2">
        <v>3.6999999999999998E-2</v>
      </c>
      <c r="F6190" s="2">
        <v>1.0699999999999999E-2</v>
      </c>
      <c r="G6190" s="2">
        <v>7.7999999999999996E-3</v>
      </c>
      <c r="H6190" s="2">
        <v>4.1000000000000003E-3</v>
      </c>
      <c r="J6190">
        <v>602</v>
      </c>
    </row>
    <row r="6191" spans="1:10" x14ac:dyDescent="0.35">
      <c r="A6191" t="s">
        <v>228</v>
      </c>
      <c r="B6191" t="s">
        <v>228</v>
      </c>
      <c r="C6191" s="2">
        <v>0.89359999999999995</v>
      </c>
      <c r="D6191" s="2">
        <v>4.36E-2</v>
      </c>
      <c r="E6191" s="2">
        <v>4.1700000000000001E-2</v>
      </c>
      <c r="F6191" s="2">
        <v>1.3299999999999999E-2</v>
      </c>
      <c r="G6191" s="2">
        <v>6.8999999999999999E-3</v>
      </c>
      <c r="H6191" s="2">
        <v>8.9999999999999998E-4</v>
      </c>
      <c r="I6191" s="2">
        <v>1E-4</v>
      </c>
      <c r="J6191">
        <v>2476</v>
      </c>
    </row>
    <row r="6193" spans="1:10" x14ac:dyDescent="0.35">
      <c r="A6193" s="1" t="s">
        <v>1671</v>
      </c>
    </row>
    <row r="6194" spans="1:10" x14ac:dyDescent="0.35">
      <c r="A6194" t="s">
        <v>219</v>
      </c>
      <c r="B6194" t="s">
        <v>301</v>
      </c>
      <c r="C6194" t="s">
        <v>1662</v>
      </c>
      <c r="D6194" t="s">
        <v>1663</v>
      </c>
      <c r="E6194" t="s">
        <v>1664</v>
      </c>
      <c r="F6194" t="s">
        <v>1665</v>
      </c>
      <c r="G6194" t="s">
        <v>1666</v>
      </c>
      <c r="H6194" t="s">
        <v>282</v>
      </c>
      <c r="I6194" t="s">
        <v>277</v>
      </c>
      <c r="J6194" t="s">
        <v>226</v>
      </c>
    </row>
    <row r="6195" spans="1:10" x14ac:dyDescent="0.35">
      <c r="A6195" t="s">
        <v>227</v>
      </c>
      <c r="B6195" t="s">
        <v>263</v>
      </c>
      <c r="C6195" s="2">
        <v>0.87849999999999995</v>
      </c>
      <c r="D6195" s="2">
        <v>5.2600000000000001E-2</v>
      </c>
      <c r="E6195" s="2">
        <v>4.65E-2</v>
      </c>
      <c r="F6195" s="2">
        <v>7.3000000000000001E-3</v>
      </c>
      <c r="G6195" s="2">
        <v>1.5100000000000001E-2</v>
      </c>
      <c r="J6195">
        <v>589</v>
      </c>
    </row>
    <row r="6196" spans="1:10" x14ac:dyDescent="0.35">
      <c r="A6196" t="s">
        <v>227</v>
      </c>
      <c r="B6196" t="s">
        <v>262</v>
      </c>
      <c r="C6196" s="2">
        <v>0.88129999999999997</v>
      </c>
      <c r="D6196" s="2">
        <v>5.1400000000000001E-2</v>
      </c>
      <c r="E6196" s="2">
        <v>4.3299999999999998E-2</v>
      </c>
      <c r="F6196" s="2">
        <v>1.3899999999999999E-2</v>
      </c>
      <c r="G6196" s="2">
        <v>7.6E-3</v>
      </c>
      <c r="H6196" s="2">
        <v>2.3E-3</v>
      </c>
      <c r="I6196" s="2">
        <v>2.0000000000000001E-4</v>
      </c>
      <c r="J6196">
        <v>1160</v>
      </c>
    </row>
    <row r="6197" spans="1:10" x14ac:dyDescent="0.35">
      <c r="A6197" t="s">
        <v>227</v>
      </c>
      <c r="B6197" t="s">
        <v>261</v>
      </c>
      <c r="C6197" s="2">
        <v>0.91120000000000001</v>
      </c>
      <c r="D6197" s="2">
        <v>3.2500000000000001E-2</v>
      </c>
      <c r="E6197" s="2">
        <v>3.8100000000000002E-2</v>
      </c>
      <c r="F6197" s="2">
        <v>1.5699999999999999E-2</v>
      </c>
      <c r="G6197" s="2">
        <v>2.2000000000000001E-3</v>
      </c>
      <c r="H6197" s="2">
        <v>2.0000000000000001E-4</v>
      </c>
      <c r="J6197">
        <v>1062</v>
      </c>
    </row>
    <row r="6198" spans="1:10" x14ac:dyDescent="0.35">
      <c r="A6198" s="3" t="s">
        <v>227</v>
      </c>
      <c r="B6198" s="3" t="s">
        <v>232</v>
      </c>
      <c r="C6198" s="4">
        <v>1</v>
      </c>
      <c r="D6198" s="5"/>
      <c r="E6198" s="5"/>
      <c r="F6198" s="5"/>
      <c r="G6198" s="5"/>
      <c r="H6198" s="5"/>
      <c r="I6198" s="5"/>
      <c r="J6198" s="5" t="s">
        <v>434</v>
      </c>
    </row>
    <row r="6199" spans="1:10" x14ac:dyDescent="0.35">
      <c r="A6199" t="s">
        <v>228</v>
      </c>
      <c r="B6199" t="s">
        <v>228</v>
      </c>
      <c r="C6199" s="2">
        <v>0.89359999999999995</v>
      </c>
      <c r="D6199" s="2">
        <v>4.36E-2</v>
      </c>
      <c r="E6199" s="2">
        <v>4.1700000000000001E-2</v>
      </c>
      <c r="F6199" s="2">
        <v>1.3299999999999999E-2</v>
      </c>
      <c r="G6199" s="2">
        <v>6.8999999999999999E-3</v>
      </c>
      <c r="H6199" s="2">
        <v>8.9999999999999998E-4</v>
      </c>
      <c r="I6199" s="2">
        <v>1E-4</v>
      </c>
      <c r="J6199">
        <v>2813</v>
      </c>
    </row>
    <row r="6201" spans="1:10" x14ac:dyDescent="0.35">
      <c r="A6201" s="1" t="s">
        <v>1672</v>
      </c>
    </row>
    <row r="6202" spans="1:10" x14ac:dyDescent="0.35">
      <c r="A6202" t="s">
        <v>219</v>
      </c>
      <c r="B6202" t="s">
        <v>301</v>
      </c>
      <c r="C6202" t="s">
        <v>1662</v>
      </c>
      <c r="D6202" t="s">
        <v>1663</v>
      </c>
      <c r="E6202" t="s">
        <v>1664</v>
      </c>
      <c r="F6202" t="s">
        <v>1665</v>
      </c>
      <c r="G6202" t="s">
        <v>1666</v>
      </c>
      <c r="H6202" t="s">
        <v>282</v>
      </c>
      <c r="I6202" t="s">
        <v>277</v>
      </c>
      <c r="J6202" t="s">
        <v>226</v>
      </c>
    </row>
    <row r="6203" spans="1:10" x14ac:dyDescent="0.35">
      <c r="A6203" t="s">
        <v>227</v>
      </c>
      <c r="B6203" t="s">
        <v>248</v>
      </c>
      <c r="C6203" s="2">
        <v>0.87480000000000002</v>
      </c>
      <c r="D6203" s="2">
        <v>4.2099999999999999E-2</v>
      </c>
      <c r="E6203" s="2">
        <v>5.5399999999999998E-2</v>
      </c>
      <c r="F6203" s="2">
        <v>1.44E-2</v>
      </c>
      <c r="G6203" s="2">
        <v>1.2999999999999999E-2</v>
      </c>
      <c r="I6203" s="2">
        <v>2.9999999999999997E-4</v>
      </c>
      <c r="J6203">
        <v>796</v>
      </c>
    </row>
    <row r="6204" spans="1:10" x14ac:dyDescent="0.35">
      <c r="A6204" t="s">
        <v>227</v>
      </c>
      <c r="B6204" t="s">
        <v>249</v>
      </c>
      <c r="C6204" s="2">
        <v>0.91120000000000001</v>
      </c>
      <c r="D6204" s="2">
        <v>3.56E-2</v>
      </c>
      <c r="E6204" s="2">
        <v>2.4199999999999999E-2</v>
      </c>
      <c r="F6204" s="2">
        <v>2.81E-2</v>
      </c>
      <c r="G6204" s="2">
        <v>1E-3</v>
      </c>
      <c r="J6204">
        <v>541</v>
      </c>
    </row>
    <row r="6205" spans="1:10" x14ac:dyDescent="0.35">
      <c r="A6205" t="s">
        <v>227</v>
      </c>
      <c r="B6205" t="s">
        <v>247</v>
      </c>
      <c r="C6205" s="2">
        <v>0.89680000000000004</v>
      </c>
      <c r="D6205" s="2">
        <v>4.7199999999999999E-2</v>
      </c>
      <c r="E6205" s="2">
        <v>4.1000000000000002E-2</v>
      </c>
      <c r="F6205" s="2">
        <v>7.3000000000000001E-3</v>
      </c>
      <c r="G6205" s="2">
        <v>5.7999999999999996E-3</v>
      </c>
      <c r="H6205" s="2">
        <v>1.8E-3</v>
      </c>
      <c r="J6205">
        <v>1476</v>
      </c>
    </row>
    <row r="6206" spans="1:10" x14ac:dyDescent="0.35">
      <c r="A6206" t="s">
        <v>228</v>
      </c>
      <c r="B6206" t="s">
        <v>228</v>
      </c>
      <c r="C6206" s="2">
        <v>0.89359999999999995</v>
      </c>
      <c r="D6206" s="2">
        <v>4.36E-2</v>
      </c>
      <c r="E6206" s="2">
        <v>4.1700000000000001E-2</v>
      </c>
      <c r="F6206" s="2">
        <v>1.3299999999999999E-2</v>
      </c>
      <c r="G6206" s="2">
        <v>6.8999999999999999E-3</v>
      </c>
      <c r="H6206" s="2">
        <v>8.9999999999999998E-4</v>
      </c>
      <c r="I6206" s="2">
        <v>1E-4</v>
      </c>
      <c r="J6206">
        <v>2813</v>
      </c>
    </row>
    <row r="6208" spans="1:10" x14ac:dyDescent="0.35">
      <c r="A6208" s="1" t="s">
        <v>1673</v>
      </c>
    </row>
    <row r="6209" spans="1:10" x14ac:dyDescent="0.35">
      <c r="A6209" t="s">
        <v>219</v>
      </c>
      <c r="B6209" t="s">
        <v>301</v>
      </c>
      <c r="C6209" t="s">
        <v>1662</v>
      </c>
      <c r="D6209" t="s">
        <v>1663</v>
      </c>
      <c r="E6209" t="s">
        <v>1664</v>
      </c>
      <c r="F6209" t="s">
        <v>1665</v>
      </c>
      <c r="G6209" t="s">
        <v>1666</v>
      </c>
      <c r="H6209" t="s">
        <v>282</v>
      </c>
      <c r="I6209" t="s">
        <v>277</v>
      </c>
      <c r="J6209" t="s">
        <v>226</v>
      </c>
    </row>
    <row r="6210" spans="1:10" x14ac:dyDescent="0.35">
      <c r="A6210" t="s">
        <v>227</v>
      </c>
      <c r="B6210" t="s">
        <v>245</v>
      </c>
      <c r="C6210" s="2">
        <v>0.91349999999999998</v>
      </c>
      <c r="D6210" s="2">
        <v>4.1599999999999998E-2</v>
      </c>
      <c r="E6210" s="2">
        <v>3.04E-2</v>
      </c>
      <c r="F6210" s="2">
        <v>1.12E-2</v>
      </c>
      <c r="G6210" s="2">
        <v>3.3E-3</v>
      </c>
      <c r="J6210">
        <v>783</v>
      </c>
    </row>
    <row r="6211" spans="1:10" x14ac:dyDescent="0.35">
      <c r="A6211" t="s">
        <v>227</v>
      </c>
      <c r="B6211" t="s">
        <v>244</v>
      </c>
      <c r="C6211" s="2">
        <v>0.88560000000000005</v>
      </c>
      <c r="D6211" s="2">
        <v>4.4299999999999999E-2</v>
      </c>
      <c r="E6211" s="2">
        <v>4.6199999999999998E-2</v>
      </c>
      <c r="F6211" s="2">
        <v>1.41E-2</v>
      </c>
      <c r="G6211" s="2">
        <v>8.3000000000000001E-3</v>
      </c>
      <c r="H6211" s="2">
        <v>1.2999999999999999E-3</v>
      </c>
      <c r="I6211" s="2">
        <v>1E-4</v>
      </c>
      <c r="J6211">
        <v>2030</v>
      </c>
    </row>
    <row r="6212" spans="1:10" x14ac:dyDescent="0.35">
      <c r="A6212" t="s">
        <v>228</v>
      </c>
      <c r="B6212" t="s">
        <v>228</v>
      </c>
      <c r="C6212" s="2">
        <v>0.89359999999999995</v>
      </c>
      <c r="D6212" s="2">
        <v>4.36E-2</v>
      </c>
      <c r="E6212" s="2">
        <v>4.1700000000000001E-2</v>
      </c>
      <c r="F6212" s="2">
        <v>1.3299999999999999E-2</v>
      </c>
      <c r="G6212" s="2">
        <v>6.8999999999999999E-3</v>
      </c>
      <c r="H6212" s="2">
        <v>8.9999999999999998E-4</v>
      </c>
      <c r="I6212" s="2">
        <v>1E-4</v>
      </c>
      <c r="J6212">
        <v>2813</v>
      </c>
    </row>
    <row r="6214" spans="1:10" x14ac:dyDescent="0.35">
      <c r="A6214" s="1" t="s">
        <v>1674</v>
      </c>
    </row>
    <row r="6215" spans="1:10" x14ac:dyDescent="0.35">
      <c r="A6215" t="s">
        <v>219</v>
      </c>
      <c r="B6215" t="s">
        <v>301</v>
      </c>
      <c r="C6215" t="s">
        <v>1662</v>
      </c>
      <c r="D6215" t="s">
        <v>1663</v>
      </c>
      <c r="E6215" t="s">
        <v>1664</v>
      </c>
      <c r="F6215" t="s">
        <v>1665</v>
      </c>
      <c r="G6215" t="s">
        <v>1666</v>
      </c>
      <c r="H6215" t="s">
        <v>282</v>
      </c>
      <c r="I6215" t="s">
        <v>277</v>
      </c>
      <c r="J6215" t="s">
        <v>226</v>
      </c>
    </row>
    <row r="6216" spans="1:10" x14ac:dyDescent="0.35">
      <c r="A6216" t="s">
        <v>227</v>
      </c>
      <c r="B6216" t="s">
        <v>259</v>
      </c>
      <c r="C6216" s="2">
        <v>0.97199999999999998</v>
      </c>
      <c r="D6216" s="2">
        <v>1.04E-2</v>
      </c>
      <c r="F6216" s="2">
        <v>6.1999999999999998E-3</v>
      </c>
      <c r="G6216" s="2">
        <v>1.1299999999999999E-2</v>
      </c>
      <c r="J6216">
        <v>69</v>
      </c>
    </row>
    <row r="6217" spans="1:10" x14ac:dyDescent="0.35">
      <c r="A6217" t="s">
        <v>227</v>
      </c>
      <c r="B6217" t="s">
        <v>257</v>
      </c>
      <c r="C6217" s="2">
        <v>0.62290000000000001</v>
      </c>
      <c r="D6217" s="2">
        <v>0.1169</v>
      </c>
      <c r="E6217" s="2">
        <v>0.20380000000000001</v>
      </c>
      <c r="F6217" s="2">
        <v>4.6300000000000001E-2</v>
      </c>
      <c r="G6217" s="2">
        <v>1.01E-2</v>
      </c>
      <c r="J6217">
        <v>405</v>
      </c>
    </row>
    <row r="6218" spans="1:10" x14ac:dyDescent="0.35">
      <c r="A6218" t="s">
        <v>227</v>
      </c>
      <c r="B6218" t="s">
        <v>256</v>
      </c>
      <c r="C6218" s="2">
        <v>0.95579999999999998</v>
      </c>
      <c r="D6218" s="2">
        <v>2.5499999999999998E-2</v>
      </c>
      <c r="E6218" s="2">
        <v>4.4999999999999997E-3</v>
      </c>
      <c r="F6218" s="2">
        <v>6.7000000000000002E-3</v>
      </c>
      <c r="G6218" s="2">
        <v>7.4000000000000003E-3</v>
      </c>
      <c r="J6218">
        <v>1803</v>
      </c>
    </row>
    <row r="6219" spans="1:10" x14ac:dyDescent="0.35">
      <c r="A6219" s="3" t="s">
        <v>227</v>
      </c>
      <c r="B6219" s="3" t="s">
        <v>232</v>
      </c>
      <c r="C6219" s="4">
        <v>0.73780000000000001</v>
      </c>
      <c r="D6219" s="5"/>
      <c r="E6219" s="5"/>
      <c r="F6219" s="4">
        <v>0.26219999999999999</v>
      </c>
      <c r="G6219" s="5"/>
      <c r="H6219" s="5"/>
      <c r="I6219" s="5"/>
      <c r="J6219" s="5" t="s">
        <v>307</v>
      </c>
    </row>
    <row r="6220" spans="1:10" x14ac:dyDescent="0.35">
      <c r="A6220" t="s">
        <v>227</v>
      </c>
      <c r="B6220" t="s">
        <v>258</v>
      </c>
      <c r="C6220" s="2">
        <v>0.91610000000000003</v>
      </c>
      <c r="D6220" s="2">
        <v>4.5100000000000001E-2</v>
      </c>
      <c r="E6220" s="2">
        <v>2.9000000000000001E-2</v>
      </c>
      <c r="F6220" s="2">
        <v>2.7000000000000001E-3</v>
      </c>
      <c r="G6220" s="2">
        <v>2.0000000000000001E-4</v>
      </c>
      <c r="H6220" s="2">
        <v>6.4000000000000003E-3</v>
      </c>
      <c r="I6220" s="2">
        <v>5.0000000000000001E-4</v>
      </c>
      <c r="J6220">
        <v>525</v>
      </c>
    </row>
    <row r="6221" spans="1:10" x14ac:dyDescent="0.35">
      <c r="A6221" t="s">
        <v>228</v>
      </c>
      <c r="B6221" t="s">
        <v>228</v>
      </c>
      <c r="C6221" s="2">
        <v>0.89359999999999995</v>
      </c>
      <c r="D6221" s="2">
        <v>4.36E-2</v>
      </c>
      <c r="E6221" s="2">
        <v>4.1700000000000001E-2</v>
      </c>
      <c r="F6221" s="2">
        <v>1.3299999999999999E-2</v>
      </c>
      <c r="G6221" s="2">
        <v>6.8999999999999999E-3</v>
      </c>
      <c r="H6221" s="2">
        <v>8.9999999999999998E-4</v>
      </c>
      <c r="I6221" s="2">
        <v>1E-4</v>
      </c>
      <c r="J6221">
        <v>2813</v>
      </c>
    </row>
    <row r="6223" spans="1:10" x14ac:dyDescent="0.35">
      <c r="A6223" s="1" t="s">
        <v>1675</v>
      </c>
    </row>
    <row r="6224" spans="1:10" x14ac:dyDescent="0.35">
      <c r="A6224" t="s">
        <v>219</v>
      </c>
      <c r="B6224" t="s">
        <v>301</v>
      </c>
      <c r="C6224" t="s">
        <v>1662</v>
      </c>
      <c r="D6224" t="s">
        <v>1663</v>
      </c>
      <c r="E6224" t="s">
        <v>1664</v>
      </c>
      <c r="F6224" t="s">
        <v>1665</v>
      </c>
      <c r="G6224" t="s">
        <v>1666</v>
      </c>
      <c r="H6224" t="s">
        <v>282</v>
      </c>
      <c r="I6224" t="s">
        <v>277</v>
      </c>
      <c r="J6224" t="s">
        <v>226</v>
      </c>
    </row>
    <row r="6225" spans="1:10" x14ac:dyDescent="0.35">
      <c r="A6225" t="s">
        <v>227</v>
      </c>
      <c r="B6225" t="s">
        <v>343</v>
      </c>
      <c r="C6225" s="2">
        <v>0.62290000000000001</v>
      </c>
      <c r="D6225" s="2">
        <v>0.1169</v>
      </c>
      <c r="E6225" s="2">
        <v>0.20380000000000001</v>
      </c>
      <c r="F6225" s="2">
        <v>4.6300000000000001E-2</v>
      </c>
      <c r="G6225" s="2">
        <v>1.01E-2</v>
      </c>
      <c r="J6225">
        <v>405</v>
      </c>
    </row>
    <row r="6226" spans="1:10" x14ac:dyDescent="0.35">
      <c r="A6226" t="s">
        <v>227</v>
      </c>
      <c r="B6226" t="s">
        <v>344</v>
      </c>
      <c r="C6226" s="2">
        <v>0.9486</v>
      </c>
      <c r="D6226" s="2">
        <v>2.86E-2</v>
      </c>
      <c r="E6226" s="2">
        <v>8.8000000000000005E-3</v>
      </c>
      <c r="F6226" s="2">
        <v>6.6E-3</v>
      </c>
      <c r="G6226" s="2">
        <v>6.1999999999999998E-3</v>
      </c>
      <c r="H6226" s="2">
        <v>1.1000000000000001E-3</v>
      </c>
      <c r="I6226" s="2">
        <v>1E-4</v>
      </c>
      <c r="J6226">
        <v>2408</v>
      </c>
    </row>
    <row r="6227" spans="1:10" x14ac:dyDescent="0.35">
      <c r="A6227" t="s">
        <v>228</v>
      </c>
      <c r="B6227" t="s">
        <v>228</v>
      </c>
      <c r="C6227" s="2">
        <v>0.89359999999999995</v>
      </c>
      <c r="D6227" s="2">
        <v>4.36E-2</v>
      </c>
      <c r="E6227" s="2">
        <v>4.1700000000000001E-2</v>
      </c>
      <c r="F6227" s="2">
        <v>1.3299999999999999E-2</v>
      </c>
      <c r="G6227" s="2">
        <v>6.8999999999999999E-3</v>
      </c>
      <c r="H6227" s="2">
        <v>8.9999999999999998E-4</v>
      </c>
      <c r="I6227" s="2">
        <v>1E-4</v>
      </c>
      <c r="J6227">
        <v>2813</v>
      </c>
    </row>
    <row r="6229" spans="1:10" x14ac:dyDescent="0.35">
      <c r="A6229" s="1" t="s">
        <v>1676</v>
      </c>
    </row>
    <row r="6230" spans="1:10" x14ac:dyDescent="0.35">
      <c r="A6230" t="s">
        <v>219</v>
      </c>
      <c r="B6230" t="s">
        <v>301</v>
      </c>
      <c r="C6230" t="s">
        <v>1662</v>
      </c>
      <c r="D6230" t="s">
        <v>1663</v>
      </c>
      <c r="E6230" t="s">
        <v>1664</v>
      </c>
      <c r="F6230" t="s">
        <v>1665</v>
      </c>
      <c r="G6230" t="s">
        <v>1666</v>
      </c>
      <c r="H6230" t="s">
        <v>282</v>
      </c>
      <c r="I6230" t="s">
        <v>277</v>
      </c>
      <c r="J6230" t="s">
        <v>226</v>
      </c>
    </row>
    <row r="6231" spans="1:10" x14ac:dyDescent="0.35">
      <c r="A6231" t="s">
        <v>227</v>
      </c>
      <c r="B6231" t="s">
        <v>346</v>
      </c>
      <c r="C6231" s="2">
        <v>0.89329999999999998</v>
      </c>
      <c r="D6231" s="2">
        <v>4.1000000000000002E-2</v>
      </c>
      <c r="E6231" s="2">
        <v>4.5199999999999997E-2</v>
      </c>
      <c r="F6231" s="2">
        <v>1.18E-2</v>
      </c>
      <c r="G6231" s="2">
        <v>7.7000000000000002E-3</v>
      </c>
      <c r="H6231" s="2">
        <v>1E-3</v>
      </c>
      <c r="I6231" s="2">
        <v>1E-4</v>
      </c>
      <c r="J6231">
        <v>1463</v>
      </c>
    </row>
    <row r="6232" spans="1:10" x14ac:dyDescent="0.35">
      <c r="A6232" t="s">
        <v>227</v>
      </c>
      <c r="B6232" t="s">
        <v>347</v>
      </c>
      <c r="C6232" s="2">
        <v>0.88849999999999996</v>
      </c>
      <c r="D6232" s="2">
        <v>5.7200000000000001E-2</v>
      </c>
      <c r="E6232" s="2">
        <v>1.46E-2</v>
      </c>
      <c r="F6232" s="2">
        <v>3.3700000000000001E-2</v>
      </c>
      <c r="G6232" s="2">
        <v>3.3E-3</v>
      </c>
      <c r="H6232" s="2">
        <v>2.5999999999999999E-3</v>
      </c>
      <c r="J6232">
        <v>585</v>
      </c>
    </row>
    <row r="6233" spans="1:10" x14ac:dyDescent="0.35">
      <c r="A6233" t="s">
        <v>227</v>
      </c>
      <c r="B6233" t="s">
        <v>348</v>
      </c>
      <c r="C6233" s="2">
        <v>0.89810000000000001</v>
      </c>
      <c r="D6233" s="2">
        <v>6.1400000000000003E-2</v>
      </c>
      <c r="E6233" s="2">
        <v>2.0500000000000001E-2</v>
      </c>
      <c r="F6233" s="2">
        <v>1.89E-2</v>
      </c>
      <c r="G6233" s="2">
        <v>1.1000000000000001E-3</v>
      </c>
      <c r="J6233">
        <v>765</v>
      </c>
    </row>
    <row r="6234" spans="1:10" x14ac:dyDescent="0.35">
      <c r="A6234" t="s">
        <v>228</v>
      </c>
      <c r="B6234" t="s">
        <v>228</v>
      </c>
      <c r="C6234" s="2">
        <v>0.89359999999999995</v>
      </c>
      <c r="D6234" s="2">
        <v>4.36E-2</v>
      </c>
      <c r="E6234" s="2">
        <v>4.1700000000000001E-2</v>
      </c>
      <c r="F6234" s="2">
        <v>1.3299999999999999E-2</v>
      </c>
      <c r="G6234" s="2">
        <v>6.8999999999999999E-3</v>
      </c>
      <c r="H6234" s="2">
        <v>8.9999999999999998E-4</v>
      </c>
      <c r="I6234" s="2">
        <v>1E-4</v>
      </c>
      <c r="J6234">
        <v>2813</v>
      </c>
    </row>
    <row r="6236" spans="1:10" x14ac:dyDescent="0.35">
      <c r="A6236" s="1" t="s">
        <v>1677</v>
      </c>
    </row>
    <row r="6237" spans="1:10" x14ac:dyDescent="0.35">
      <c r="A6237" t="s">
        <v>219</v>
      </c>
      <c r="B6237" t="s">
        <v>301</v>
      </c>
      <c r="C6237" t="s">
        <v>1662</v>
      </c>
      <c r="D6237" t="s">
        <v>1663</v>
      </c>
      <c r="E6237" t="s">
        <v>1664</v>
      </c>
      <c r="F6237" t="s">
        <v>1665</v>
      </c>
      <c r="G6237" t="s">
        <v>1666</v>
      </c>
      <c r="H6237" t="s">
        <v>282</v>
      </c>
      <c r="I6237" t="s">
        <v>277</v>
      </c>
      <c r="J6237" t="s">
        <v>226</v>
      </c>
    </row>
    <row r="6238" spans="1:10" x14ac:dyDescent="0.35">
      <c r="A6238" t="s">
        <v>227</v>
      </c>
      <c r="B6238" t="s">
        <v>251</v>
      </c>
      <c r="C6238" s="2">
        <v>0.88560000000000005</v>
      </c>
      <c r="D6238" s="2">
        <v>4.4299999999999999E-2</v>
      </c>
      <c r="E6238" s="2">
        <v>4.6199999999999998E-2</v>
      </c>
      <c r="F6238" s="2">
        <v>1.41E-2</v>
      </c>
      <c r="G6238" s="2">
        <v>8.3000000000000001E-3</v>
      </c>
      <c r="H6238" s="2">
        <v>1.2999999999999999E-3</v>
      </c>
      <c r="I6238" s="2">
        <v>1E-4</v>
      </c>
      <c r="J6238">
        <v>2030</v>
      </c>
    </row>
    <row r="6239" spans="1:10" x14ac:dyDescent="0.35">
      <c r="A6239" t="s">
        <v>227</v>
      </c>
      <c r="B6239" t="s">
        <v>252</v>
      </c>
      <c r="C6239" s="2">
        <v>0.92559999999999998</v>
      </c>
      <c r="D6239" s="2">
        <v>3.9199999999999999E-2</v>
      </c>
      <c r="E6239" s="2">
        <v>1.89E-2</v>
      </c>
      <c r="F6239" s="2">
        <v>1.23E-2</v>
      </c>
      <c r="G6239" s="2">
        <v>4.1000000000000003E-3</v>
      </c>
      <c r="J6239">
        <v>621</v>
      </c>
    </row>
    <row r="6240" spans="1:10" x14ac:dyDescent="0.35">
      <c r="A6240" t="s">
        <v>227</v>
      </c>
      <c r="B6240" t="s">
        <v>253</v>
      </c>
      <c r="C6240" s="2">
        <v>0.85980000000000001</v>
      </c>
      <c r="D6240" s="2">
        <v>5.1900000000000002E-2</v>
      </c>
      <c r="E6240" s="2">
        <v>8.1799999999999998E-2</v>
      </c>
      <c r="F6240" s="2">
        <v>6.4999999999999997E-3</v>
      </c>
      <c r="J6240">
        <v>153</v>
      </c>
    </row>
    <row r="6241" spans="1:10" x14ac:dyDescent="0.35">
      <c r="A6241" s="3" t="s">
        <v>227</v>
      </c>
      <c r="B6241" s="3" t="s">
        <v>254</v>
      </c>
      <c r="C6241" s="4">
        <v>0.94879999999999998</v>
      </c>
      <c r="D6241" s="4">
        <v>5.1200000000000002E-2</v>
      </c>
      <c r="E6241" s="5"/>
      <c r="F6241" s="5"/>
      <c r="G6241" s="5"/>
      <c r="H6241" s="5"/>
      <c r="I6241" s="5"/>
      <c r="J6241" s="5" t="s">
        <v>515</v>
      </c>
    </row>
    <row r="6242" spans="1:10" x14ac:dyDescent="0.35">
      <c r="A6242" t="s">
        <v>228</v>
      </c>
      <c r="B6242" t="s">
        <v>228</v>
      </c>
      <c r="C6242" s="2">
        <v>0.89359999999999995</v>
      </c>
      <c r="D6242" s="2">
        <v>4.36E-2</v>
      </c>
      <c r="E6242" s="2">
        <v>4.1700000000000001E-2</v>
      </c>
      <c r="F6242" s="2">
        <v>1.3299999999999999E-2</v>
      </c>
      <c r="G6242" s="2">
        <v>6.8999999999999999E-3</v>
      </c>
      <c r="H6242" s="2">
        <v>8.9999999999999998E-4</v>
      </c>
      <c r="I6242" s="2">
        <v>1E-4</v>
      </c>
      <c r="J6242">
        <v>2813</v>
      </c>
    </row>
    <row r="6244" spans="1:10" x14ac:dyDescent="0.35">
      <c r="A6244" s="1" t="s">
        <v>1678</v>
      </c>
    </row>
    <row r="6245" spans="1:10" x14ac:dyDescent="0.35">
      <c r="A6245" t="s">
        <v>219</v>
      </c>
      <c r="B6245" t="s">
        <v>1679</v>
      </c>
      <c r="C6245" t="s">
        <v>1680</v>
      </c>
      <c r="D6245" t="s">
        <v>1681</v>
      </c>
      <c r="E6245" t="s">
        <v>1682</v>
      </c>
      <c r="F6245" t="s">
        <v>282</v>
      </c>
      <c r="G6245" t="s">
        <v>277</v>
      </c>
      <c r="H6245" t="s">
        <v>226</v>
      </c>
    </row>
    <row r="6246" spans="1:10" x14ac:dyDescent="0.35">
      <c r="A6246" t="s">
        <v>227</v>
      </c>
      <c r="B6246" s="2">
        <v>0.52880000000000005</v>
      </c>
      <c r="C6246" s="2">
        <v>0.46100000000000002</v>
      </c>
      <c r="D6246" s="2">
        <v>9.9000000000000008E-3</v>
      </c>
      <c r="E6246" s="2">
        <v>2.0000000000000001E-4</v>
      </c>
      <c r="F6246" s="2">
        <v>1E-4</v>
      </c>
      <c r="G6246" s="2">
        <v>0</v>
      </c>
      <c r="H6246">
        <v>2748</v>
      </c>
    </row>
    <row r="6247" spans="1:10" x14ac:dyDescent="0.35">
      <c r="A6247" t="s">
        <v>228</v>
      </c>
      <c r="B6247" s="2">
        <v>0.52880000000000005</v>
      </c>
      <c r="C6247" s="2">
        <v>0.46100000000000002</v>
      </c>
      <c r="D6247" s="2">
        <v>9.9000000000000008E-3</v>
      </c>
      <c r="E6247" s="2">
        <v>2.0000000000000001E-4</v>
      </c>
      <c r="F6247" s="2">
        <v>1E-4</v>
      </c>
      <c r="G6247" s="2">
        <v>0</v>
      </c>
      <c r="H6247">
        <v>2748</v>
      </c>
    </row>
    <row r="6249" spans="1:10" x14ac:dyDescent="0.35">
      <c r="A6249" s="1" t="s">
        <v>1683</v>
      </c>
    </row>
    <row r="6250" spans="1:10" x14ac:dyDescent="0.35">
      <c r="A6250" t="s">
        <v>219</v>
      </c>
      <c r="B6250" t="s">
        <v>301</v>
      </c>
      <c r="C6250" t="s">
        <v>1679</v>
      </c>
      <c r="D6250" t="s">
        <v>1680</v>
      </c>
      <c r="E6250" t="s">
        <v>1681</v>
      </c>
      <c r="F6250" t="s">
        <v>1682</v>
      </c>
      <c r="G6250" t="s">
        <v>282</v>
      </c>
      <c r="H6250" t="s">
        <v>277</v>
      </c>
      <c r="I6250" t="s">
        <v>226</v>
      </c>
    </row>
    <row r="6251" spans="1:10" x14ac:dyDescent="0.35">
      <c r="A6251" t="s">
        <v>227</v>
      </c>
      <c r="B6251" t="s">
        <v>238</v>
      </c>
      <c r="C6251" s="2">
        <v>0.47760000000000002</v>
      </c>
      <c r="D6251" s="2">
        <v>0.50780000000000003</v>
      </c>
      <c r="E6251" s="2">
        <v>1.43E-2</v>
      </c>
      <c r="G6251" s="2">
        <v>2.9999999999999997E-4</v>
      </c>
      <c r="I6251">
        <v>978</v>
      </c>
    </row>
    <row r="6252" spans="1:10" x14ac:dyDescent="0.35">
      <c r="A6252" t="s">
        <v>227</v>
      </c>
      <c r="B6252" t="s">
        <v>237</v>
      </c>
      <c r="C6252" s="2">
        <v>0.5585</v>
      </c>
      <c r="D6252" s="2">
        <v>0.43380000000000002</v>
      </c>
      <c r="E6252" s="2">
        <v>7.3000000000000001E-3</v>
      </c>
      <c r="F6252" s="2">
        <v>4.0000000000000002E-4</v>
      </c>
      <c r="H6252" s="2">
        <v>0</v>
      </c>
      <c r="I6252">
        <v>1770</v>
      </c>
    </row>
    <row r="6253" spans="1:10" x14ac:dyDescent="0.35">
      <c r="A6253" t="s">
        <v>228</v>
      </c>
      <c r="B6253" t="s">
        <v>228</v>
      </c>
      <c r="C6253" s="2">
        <v>0.52880000000000005</v>
      </c>
      <c r="D6253" s="2">
        <v>0.46100000000000002</v>
      </c>
      <c r="E6253" s="2">
        <v>9.9000000000000008E-3</v>
      </c>
      <c r="F6253" s="2">
        <v>2.0000000000000001E-4</v>
      </c>
      <c r="G6253" s="2">
        <v>1E-4</v>
      </c>
      <c r="H6253" s="2">
        <v>0</v>
      </c>
      <c r="I6253">
        <v>2748</v>
      </c>
    </row>
    <row r="6255" spans="1:10" x14ac:dyDescent="0.35">
      <c r="A6255" s="1" t="s">
        <v>1684</v>
      </c>
    </row>
    <row r="6256" spans="1:10" x14ac:dyDescent="0.35">
      <c r="A6256" t="s">
        <v>219</v>
      </c>
      <c r="B6256" t="s">
        <v>301</v>
      </c>
      <c r="C6256" t="s">
        <v>1679</v>
      </c>
      <c r="D6256" t="s">
        <v>1680</v>
      </c>
      <c r="E6256" t="s">
        <v>1681</v>
      </c>
      <c r="F6256" t="s">
        <v>1682</v>
      </c>
      <c r="G6256" t="s">
        <v>282</v>
      </c>
      <c r="H6256" t="s">
        <v>277</v>
      </c>
      <c r="I6256" t="s">
        <v>226</v>
      </c>
    </row>
    <row r="6257" spans="1:9" x14ac:dyDescent="0.35">
      <c r="A6257" t="s">
        <v>227</v>
      </c>
      <c r="B6257" t="s">
        <v>235</v>
      </c>
      <c r="C6257" s="2">
        <v>0.14460000000000001</v>
      </c>
      <c r="D6257" s="2">
        <v>0.83779999999999999</v>
      </c>
      <c r="E6257" s="2">
        <v>1.7100000000000001E-2</v>
      </c>
      <c r="G6257" s="2">
        <v>4.0000000000000002E-4</v>
      </c>
      <c r="I6257">
        <v>966</v>
      </c>
    </row>
    <row r="6258" spans="1:9" x14ac:dyDescent="0.35">
      <c r="A6258" t="s">
        <v>227</v>
      </c>
      <c r="B6258" t="s">
        <v>234</v>
      </c>
      <c r="C6258" s="2">
        <v>0.68789999999999996</v>
      </c>
      <c r="D6258" s="2">
        <v>0.3049</v>
      </c>
      <c r="E6258" s="2">
        <v>6.7999999999999996E-3</v>
      </c>
      <c r="F6258" s="2">
        <v>2.9999999999999997E-4</v>
      </c>
      <c r="H6258" s="2">
        <v>0</v>
      </c>
      <c r="I6258">
        <v>1782</v>
      </c>
    </row>
    <row r="6259" spans="1:9" x14ac:dyDescent="0.35">
      <c r="A6259" t="s">
        <v>228</v>
      </c>
      <c r="B6259" t="s">
        <v>228</v>
      </c>
      <c r="C6259" s="2">
        <v>0.52880000000000005</v>
      </c>
      <c r="D6259" s="2">
        <v>0.46100000000000002</v>
      </c>
      <c r="E6259" s="2">
        <v>9.9000000000000008E-3</v>
      </c>
      <c r="F6259" s="2">
        <v>2.0000000000000001E-4</v>
      </c>
      <c r="G6259" s="2">
        <v>1E-4</v>
      </c>
      <c r="H6259" s="2">
        <v>0</v>
      </c>
      <c r="I6259">
        <v>2748</v>
      </c>
    </row>
    <row r="6261" spans="1:9" x14ac:dyDescent="0.35">
      <c r="A6261" s="1" t="s">
        <v>1685</v>
      </c>
    </row>
    <row r="6262" spans="1:9" x14ac:dyDescent="0.35">
      <c r="A6262" t="s">
        <v>219</v>
      </c>
      <c r="B6262" t="s">
        <v>301</v>
      </c>
      <c r="C6262" t="s">
        <v>1679</v>
      </c>
      <c r="D6262" t="s">
        <v>1680</v>
      </c>
      <c r="E6262" t="s">
        <v>1681</v>
      </c>
      <c r="F6262" t="s">
        <v>1682</v>
      </c>
      <c r="G6262" t="s">
        <v>282</v>
      </c>
      <c r="H6262" t="s">
        <v>277</v>
      </c>
      <c r="I6262" t="s">
        <v>226</v>
      </c>
    </row>
    <row r="6263" spans="1:9" x14ac:dyDescent="0.35">
      <c r="A6263" t="s">
        <v>227</v>
      </c>
      <c r="B6263" t="s">
        <v>240</v>
      </c>
      <c r="C6263" s="2">
        <v>0.53439999999999999</v>
      </c>
      <c r="D6263" s="2">
        <v>0.4602</v>
      </c>
      <c r="E6263" s="2">
        <v>5.4000000000000003E-3</v>
      </c>
      <c r="H6263" s="2">
        <v>0</v>
      </c>
      <c r="I6263">
        <v>1711</v>
      </c>
    </row>
    <row r="6264" spans="1:9" x14ac:dyDescent="0.35">
      <c r="A6264" t="s">
        <v>227</v>
      </c>
      <c r="B6264" t="s">
        <v>241</v>
      </c>
      <c r="C6264" s="2">
        <v>0.58620000000000005</v>
      </c>
      <c r="D6264" s="2">
        <v>0.39710000000000001</v>
      </c>
      <c r="E6264" s="2">
        <v>1.5599999999999999E-2</v>
      </c>
      <c r="F6264" s="2">
        <v>8.0000000000000004E-4</v>
      </c>
      <c r="G6264" s="2">
        <v>4.0000000000000002E-4</v>
      </c>
      <c r="I6264">
        <v>875</v>
      </c>
    </row>
    <row r="6265" spans="1:9" x14ac:dyDescent="0.35">
      <c r="A6265" t="s">
        <v>227</v>
      </c>
      <c r="B6265" t="s">
        <v>242</v>
      </c>
      <c r="C6265" s="2">
        <v>0.21829999999999999</v>
      </c>
      <c r="D6265" s="2">
        <v>0.75419999999999998</v>
      </c>
      <c r="E6265" s="2">
        <v>2.75E-2</v>
      </c>
      <c r="I6265">
        <v>162</v>
      </c>
    </row>
    <row r="6266" spans="1:9" x14ac:dyDescent="0.35">
      <c r="A6266" t="s">
        <v>228</v>
      </c>
      <c r="B6266" t="s">
        <v>228</v>
      </c>
      <c r="C6266" s="2">
        <v>0.52880000000000005</v>
      </c>
      <c r="D6266" s="2">
        <v>0.46100000000000002</v>
      </c>
      <c r="E6266" s="2">
        <v>9.9000000000000008E-3</v>
      </c>
      <c r="F6266" s="2">
        <v>2.0000000000000001E-4</v>
      </c>
      <c r="G6266" s="2">
        <v>1E-4</v>
      </c>
      <c r="H6266" s="2">
        <v>0</v>
      </c>
      <c r="I6266">
        <v>2748</v>
      </c>
    </row>
    <row r="6268" spans="1:9" x14ac:dyDescent="0.35">
      <c r="A6268" s="1" t="s">
        <v>1686</v>
      </c>
    </row>
    <row r="6269" spans="1:9" x14ac:dyDescent="0.35">
      <c r="A6269" t="s">
        <v>219</v>
      </c>
      <c r="B6269" t="s">
        <v>301</v>
      </c>
      <c r="C6269" t="s">
        <v>1679</v>
      </c>
      <c r="D6269" t="s">
        <v>1680</v>
      </c>
      <c r="E6269" t="s">
        <v>1681</v>
      </c>
      <c r="F6269" t="s">
        <v>1682</v>
      </c>
      <c r="G6269" t="s">
        <v>282</v>
      </c>
      <c r="H6269" t="s">
        <v>277</v>
      </c>
      <c r="I6269" t="s">
        <v>226</v>
      </c>
    </row>
    <row r="6270" spans="1:9" x14ac:dyDescent="0.35">
      <c r="A6270" t="s">
        <v>227</v>
      </c>
      <c r="B6270" t="s">
        <v>334</v>
      </c>
      <c r="C6270" s="2">
        <v>0.32219999999999999</v>
      </c>
      <c r="D6270" s="2">
        <v>0.6542</v>
      </c>
      <c r="E6270" s="2">
        <v>2.3599999999999999E-2</v>
      </c>
      <c r="I6270">
        <v>605</v>
      </c>
    </row>
    <row r="6271" spans="1:9" x14ac:dyDescent="0.35">
      <c r="A6271" t="s">
        <v>227</v>
      </c>
      <c r="B6271" t="s">
        <v>335</v>
      </c>
      <c r="C6271" s="2">
        <v>0.69</v>
      </c>
      <c r="D6271" s="2">
        <v>0.29730000000000001</v>
      </c>
      <c r="E6271" s="2">
        <v>1.1599999999999999E-2</v>
      </c>
      <c r="F6271" s="2">
        <v>8.0000000000000004E-4</v>
      </c>
      <c r="G6271" s="2">
        <v>4.0000000000000002E-4</v>
      </c>
      <c r="I6271">
        <v>623</v>
      </c>
    </row>
    <row r="6272" spans="1:9" x14ac:dyDescent="0.35">
      <c r="A6272" t="s">
        <v>227</v>
      </c>
      <c r="B6272" t="s">
        <v>336</v>
      </c>
      <c r="C6272" s="2">
        <v>0.43519999999999998</v>
      </c>
      <c r="D6272" s="2">
        <v>0.55930000000000002</v>
      </c>
      <c r="E6272" s="2">
        <v>5.4000000000000003E-3</v>
      </c>
      <c r="I6272">
        <v>607</v>
      </c>
    </row>
    <row r="6273" spans="1:9" x14ac:dyDescent="0.35">
      <c r="A6273" t="s">
        <v>227</v>
      </c>
      <c r="B6273" t="s">
        <v>337</v>
      </c>
      <c r="C6273" s="2">
        <v>0.54139999999999999</v>
      </c>
      <c r="D6273" s="2">
        <v>0.4577</v>
      </c>
      <c r="E6273" s="2">
        <v>8.9999999999999998E-4</v>
      </c>
      <c r="I6273">
        <v>587</v>
      </c>
    </row>
    <row r="6274" spans="1:9" x14ac:dyDescent="0.35">
      <c r="A6274" t="s">
        <v>228</v>
      </c>
      <c r="B6274" t="s">
        <v>228</v>
      </c>
      <c r="C6274" s="2">
        <v>0.52880000000000005</v>
      </c>
      <c r="D6274" s="2">
        <v>0.46100000000000002</v>
      </c>
      <c r="E6274" s="2">
        <v>9.9000000000000008E-3</v>
      </c>
      <c r="F6274" s="2">
        <v>2.0000000000000001E-4</v>
      </c>
      <c r="G6274" s="2">
        <v>1E-4</v>
      </c>
      <c r="H6274" s="2">
        <v>0</v>
      </c>
      <c r="I6274">
        <v>2422</v>
      </c>
    </row>
    <row r="6276" spans="1:9" x14ac:dyDescent="0.35">
      <c r="A6276" s="1" t="s">
        <v>1687</v>
      </c>
    </row>
    <row r="6277" spans="1:9" x14ac:dyDescent="0.35">
      <c r="A6277" t="s">
        <v>219</v>
      </c>
      <c r="B6277" t="s">
        <v>301</v>
      </c>
      <c r="C6277" t="s">
        <v>1679</v>
      </c>
      <c r="D6277" t="s">
        <v>1680</v>
      </c>
      <c r="E6277" t="s">
        <v>1681</v>
      </c>
      <c r="F6277" t="s">
        <v>1682</v>
      </c>
      <c r="G6277" t="s">
        <v>282</v>
      </c>
      <c r="H6277" t="s">
        <v>277</v>
      </c>
      <c r="I6277" t="s">
        <v>226</v>
      </c>
    </row>
    <row r="6278" spans="1:9" x14ac:dyDescent="0.35">
      <c r="A6278" t="s">
        <v>227</v>
      </c>
      <c r="B6278" t="s">
        <v>263</v>
      </c>
      <c r="C6278" s="2">
        <v>0.505</v>
      </c>
      <c r="D6278" s="2">
        <v>0.47699999999999998</v>
      </c>
      <c r="E6278" s="2">
        <v>1.7899999999999999E-2</v>
      </c>
      <c r="H6278" s="2">
        <v>1E-4</v>
      </c>
      <c r="I6278">
        <v>579</v>
      </c>
    </row>
    <row r="6279" spans="1:9" x14ac:dyDescent="0.35">
      <c r="A6279" t="s">
        <v>227</v>
      </c>
      <c r="B6279" t="s">
        <v>262</v>
      </c>
      <c r="C6279" s="2">
        <v>0.58160000000000001</v>
      </c>
      <c r="D6279" s="2">
        <v>0.40860000000000002</v>
      </c>
      <c r="E6279" s="2">
        <v>8.8000000000000005E-3</v>
      </c>
      <c r="F6279" s="2">
        <v>5.9999999999999995E-4</v>
      </c>
      <c r="G6279" s="2">
        <v>2.9999999999999997E-4</v>
      </c>
      <c r="I6279">
        <v>1130</v>
      </c>
    </row>
    <row r="6280" spans="1:9" x14ac:dyDescent="0.35">
      <c r="A6280" t="s">
        <v>227</v>
      </c>
      <c r="B6280" t="s">
        <v>261</v>
      </c>
      <c r="C6280" s="2">
        <v>0.49480000000000002</v>
      </c>
      <c r="D6280" s="2">
        <v>0.49819999999999998</v>
      </c>
      <c r="E6280" s="2">
        <v>7.0000000000000001E-3</v>
      </c>
      <c r="I6280">
        <v>1037</v>
      </c>
    </row>
    <row r="6281" spans="1:9" x14ac:dyDescent="0.35">
      <c r="A6281" s="3" t="s">
        <v>227</v>
      </c>
      <c r="B6281" s="3" t="s">
        <v>232</v>
      </c>
      <c r="C6281" s="4">
        <v>0.5</v>
      </c>
      <c r="D6281" s="4">
        <v>0.5</v>
      </c>
      <c r="E6281" s="5"/>
      <c r="F6281" s="5"/>
      <c r="G6281" s="5"/>
      <c r="H6281" s="5"/>
      <c r="I6281" s="5" t="s">
        <v>434</v>
      </c>
    </row>
    <row r="6282" spans="1:9" x14ac:dyDescent="0.35">
      <c r="A6282" t="s">
        <v>228</v>
      </c>
      <c r="B6282" t="s">
        <v>228</v>
      </c>
      <c r="C6282" s="2">
        <v>0.52880000000000005</v>
      </c>
      <c r="D6282" s="2">
        <v>0.46100000000000002</v>
      </c>
      <c r="E6282" s="2">
        <v>9.9000000000000008E-3</v>
      </c>
      <c r="F6282" s="2">
        <v>2.0000000000000001E-4</v>
      </c>
      <c r="G6282" s="2">
        <v>1E-4</v>
      </c>
      <c r="H6282" s="2">
        <v>0</v>
      </c>
      <c r="I6282">
        <v>2748</v>
      </c>
    </row>
    <row r="6284" spans="1:9" x14ac:dyDescent="0.35">
      <c r="A6284" s="1" t="s">
        <v>1688</v>
      </c>
    </row>
    <row r="6285" spans="1:9" x14ac:dyDescent="0.35">
      <c r="A6285" t="s">
        <v>219</v>
      </c>
      <c r="B6285" t="s">
        <v>301</v>
      </c>
      <c r="C6285" t="s">
        <v>1679</v>
      </c>
      <c r="D6285" t="s">
        <v>1680</v>
      </c>
      <c r="E6285" t="s">
        <v>1681</v>
      </c>
      <c r="F6285" t="s">
        <v>1682</v>
      </c>
      <c r="G6285" t="s">
        <v>282</v>
      </c>
      <c r="H6285" t="s">
        <v>277</v>
      </c>
      <c r="I6285" t="s">
        <v>226</v>
      </c>
    </row>
    <row r="6286" spans="1:9" x14ac:dyDescent="0.35">
      <c r="A6286" t="s">
        <v>227</v>
      </c>
      <c r="B6286" t="s">
        <v>248</v>
      </c>
      <c r="C6286" s="2">
        <v>0.48430000000000001</v>
      </c>
      <c r="D6286" s="2">
        <v>0.50649999999999995</v>
      </c>
      <c r="E6286" s="2">
        <v>9.1000000000000004E-3</v>
      </c>
      <c r="H6286" s="2">
        <v>1E-4</v>
      </c>
      <c r="I6286">
        <v>769</v>
      </c>
    </row>
    <row r="6287" spans="1:9" x14ac:dyDescent="0.35">
      <c r="A6287" t="s">
        <v>227</v>
      </c>
      <c r="B6287" t="s">
        <v>249</v>
      </c>
      <c r="C6287" s="2">
        <v>0.40970000000000001</v>
      </c>
      <c r="D6287" s="2">
        <v>0.5857</v>
      </c>
      <c r="E6287" s="2">
        <v>4.5999999999999999E-3</v>
      </c>
      <c r="I6287">
        <v>532</v>
      </c>
    </row>
    <row r="6288" spans="1:9" x14ac:dyDescent="0.35">
      <c r="A6288" t="s">
        <v>227</v>
      </c>
      <c r="B6288" t="s">
        <v>247</v>
      </c>
      <c r="C6288" s="2">
        <v>0.59499999999999997</v>
      </c>
      <c r="D6288" s="2">
        <v>0.39219999999999999</v>
      </c>
      <c r="E6288" s="2">
        <v>1.2200000000000001E-2</v>
      </c>
      <c r="F6288" s="2">
        <v>4.0000000000000002E-4</v>
      </c>
      <c r="G6288" s="2">
        <v>2.0000000000000001E-4</v>
      </c>
      <c r="I6288">
        <v>1447</v>
      </c>
    </row>
    <row r="6289" spans="1:9" x14ac:dyDescent="0.35">
      <c r="A6289" t="s">
        <v>228</v>
      </c>
      <c r="B6289" t="s">
        <v>228</v>
      </c>
      <c r="C6289" s="2">
        <v>0.52880000000000005</v>
      </c>
      <c r="D6289" s="2">
        <v>0.46100000000000002</v>
      </c>
      <c r="E6289" s="2">
        <v>9.9000000000000008E-3</v>
      </c>
      <c r="F6289" s="2">
        <v>2.0000000000000001E-4</v>
      </c>
      <c r="G6289" s="2">
        <v>1E-4</v>
      </c>
      <c r="H6289" s="2">
        <v>0</v>
      </c>
      <c r="I6289">
        <v>2748</v>
      </c>
    </row>
    <row r="6291" spans="1:9" x14ac:dyDescent="0.35">
      <c r="A6291" s="1" t="s">
        <v>1689</v>
      </c>
    </row>
    <row r="6292" spans="1:9" x14ac:dyDescent="0.35">
      <c r="A6292" t="s">
        <v>219</v>
      </c>
      <c r="B6292" t="s">
        <v>301</v>
      </c>
      <c r="C6292" t="s">
        <v>1679</v>
      </c>
      <c r="D6292" t="s">
        <v>1680</v>
      </c>
      <c r="E6292" t="s">
        <v>1681</v>
      </c>
      <c r="F6292" t="s">
        <v>1682</v>
      </c>
      <c r="G6292" t="s">
        <v>282</v>
      </c>
      <c r="H6292" t="s">
        <v>277</v>
      </c>
      <c r="I6292" t="s">
        <v>226</v>
      </c>
    </row>
    <row r="6293" spans="1:9" x14ac:dyDescent="0.35">
      <c r="A6293" t="s">
        <v>227</v>
      </c>
      <c r="B6293" t="s">
        <v>245</v>
      </c>
      <c r="C6293" s="2">
        <v>0.53100000000000003</v>
      </c>
      <c r="D6293" s="2">
        <v>0.4587</v>
      </c>
      <c r="E6293" s="2">
        <v>1.03E-2</v>
      </c>
      <c r="I6293">
        <v>766</v>
      </c>
    </row>
    <row r="6294" spans="1:9" x14ac:dyDescent="0.35">
      <c r="A6294" t="s">
        <v>227</v>
      </c>
      <c r="B6294" t="s">
        <v>244</v>
      </c>
      <c r="C6294" s="2">
        <v>0.52790000000000004</v>
      </c>
      <c r="D6294" s="2">
        <v>0.46189999999999998</v>
      </c>
      <c r="E6294" s="2">
        <v>9.7000000000000003E-3</v>
      </c>
      <c r="F6294" s="2">
        <v>2.9999999999999997E-4</v>
      </c>
      <c r="G6294" s="2">
        <v>2.0000000000000001E-4</v>
      </c>
      <c r="H6294" s="2">
        <v>0</v>
      </c>
      <c r="I6294">
        <v>1982</v>
      </c>
    </row>
    <row r="6295" spans="1:9" x14ac:dyDescent="0.35">
      <c r="A6295" t="s">
        <v>228</v>
      </c>
      <c r="B6295" t="s">
        <v>228</v>
      </c>
      <c r="C6295" s="2">
        <v>0.52880000000000005</v>
      </c>
      <c r="D6295" s="2">
        <v>0.46100000000000002</v>
      </c>
      <c r="E6295" s="2">
        <v>9.9000000000000008E-3</v>
      </c>
      <c r="F6295" s="2">
        <v>2.0000000000000001E-4</v>
      </c>
      <c r="G6295" s="2">
        <v>1E-4</v>
      </c>
      <c r="H6295" s="2">
        <v>0</v>
      </c>
      <c r="I6295">
        <v>2748</v>
      </c>
    </row>
    <row r="6297" spans="1:9" x14ac:dyDescent="0.35">
      <c r="A6297" s="1" t="s">
        <v>1690</v>
      </c>
    </row>
    <row r="6298" spans="1:9" x14ac:dyDescent="0.35">
      <c r="A6298" t="s">
        <v>219</v>
      </c>
      <c r="B6298" t="s">
        <v>301</v>
      </c>
      <c r="C6298" t="s">
        <v>1679</v>
      </c>
      <c r="D6298" t="s">
        <v>1680</v>
      </c>
      <c r="E6298" t="s">
        <v>1681</v>
      </c>
      <c r="F6298" t="s">
        <v>1682</v>
      </c>
      <c r="G6298" t="s">
        <v>282</v>
      </c>
      <c r="H6298" t="s">
        <v>277</v>
      </c>
      <c r="I6298" t="s">
        <v>226</v>
      </c>
    </row>
    <row r="6299" spans="1:9" x14ac:dyDescent="0.35">
      <c r="A6299" t="s">
        <v>227</v>
      </c>
      <c r="B6299" t="s">
        <v>259</v>
      </c>
      <c r="C6299" s="2">
        <v>0.53069999999999995</v>
      </c>
      <c r="D6299" s="2">
        <v>0.4219</v>
      </c>
      <c r="E6299" s="2">
        <v>4.7399999999999998E-2</v>
      </c>
      <c r="I6299">
        <v>69</v>
      </c>
    </row>
    <row r="6300" spans="1:9" x14ac:dyDescent="0.35">
      <c r="A6300" t="s">
        <v>227</v>
      </c>
      <c r="B6300" t="s">
        <v>257</v>
      </c>
      <c r="C6300" s="2">
        <v>0.62360000000000004</v>
      </c>
      <c r="D6300" s="2">
        <v>0.35510000000000003</v>
      </c>
      <c r="E6300" s="2">
        <v>1.9699999999999999E-2</v>
      </c>
      <c r="F6300" s="2">
        <v>1.6000000000000001E-3</v>
      </c>
      <c r="I6300">
        <v>355</v>
      </c>
    </row>
    <row r="6301" spans="1:9" x14ac:dyDescent="0.35">
      <c r="A6301" t="s">
        <v>227</v>
      </c>
      <c r="B6301" t="s">
        <v>256</v>
      </c>
      <c r="C6301" s="2">
        <v>0.47120000000000001</v>
      </c>
      <c r="D6301" s="2">
        <v>0.52029999999999998</v>
      </c>
      <c r="E6301" s="2">
        <v>8.3000000000000001E-3</v>
      </c>
      <c r="G6301" s="2">
        <v>2.0000000000000001E-4</v>
      </c>
      <c r="H6301" s="2">
        <v>0</v>
      </c>
      <c r="I6301">
        <v>1797</v>
      </c>
    </row>
    <row r="6302" spans="1:9" x14ac:dyDescent="0.35">
      <c r="A6302" s="3" t="s">
        <v>227</v>
      </c>
      <c r="B6302" s="3" t="s">
        <v>232</v>
      </c>
      <c r="C6302" s="4">
        <v>0.54859999999999998</v>
      </c>
      <c r="D6302" s="4">
        <v>0.45140000000000002</v>
      </c>
      <c r="E6302" s="5"/>
      <c r="F6302" s="5"/>
      <c r="G6302" s="5"/>
      <c r="H6302" s="5"/>
      <c r="I6302" s="5" t="s">
        <v>307</v>
      </c>
    </row>
    <row r="6303" spans="1:9" x14ac:dyDescent="0.35">
      <c r="A6303" t="s">
        <v>227</v>
      </c>
      <c r="B6303" t="s">
        <v>258</v>
      </c>
      <c r="C6303" s="2">
        <v>0.70550000000000002</v>
      </c>
      <c r="D6303" s="2">
        <v>0.2913</v>
      </c>
      <c r="E6303" s="2">
        <v>3.0999999999999999E-3</v>
      </c>
      <c r="I6303">
        <v>516</v>
      </c>
    </row>
    <row r="6304" spans="1:9" x14ac:dyDescent="0.35">
      <c r="A6304" t="s">
        <v>228</v>
      </c>
      <c r="B6304" t="s">
        <v>228</v>
      </c>
      <c r="C6304" s="2">
        <v>0.52880000000000005</v>
      </c>
      <c r="D6304" s="2">
        <v>0.46100000000000002</v>
      </c>
      <c r="E6304" s="2">
        <v>9.9000000000000008E-3</v>
      </c>
      <c r="F6304" s="2">
        <v>2.0000000000000001E-4</v>
      </c>
      <c r="G6304" s="2">
        <v>1E-4</v>
      </c>
      <c r="H6304" s="2">
        <v>0</v>
      </c>
      <c r="I6304">
        <v>2748</v>
      </c>
    </row>
    <row r="6306" spans="1:9" x14ac:dyDescent="0.35">
      <c r="A6306" s="1" t="s">
        <v>1691</v>
      </c>
    </row>
    <row r="6307" spans="1:9" x14ac:dyDescent="0.35">
      <c r="A6307" t="s">
        <v>219</v>
      </c>
      <c r="B6307" t="s">
        <v>301</v>
      </c>
      <c r="C6307" t="s">
        <v>1679</v>
      </c>
      <c r="D6307" t="s">
        <v>1680</v>
      </c>
      <c r="E6307" t="s">
        <v>1681</v>
      </c>
      <c r="F6307" t="s">
        <v>1682</v>
      </c>
      <c r="G6307" t="s">
        <v>282</v>
      </c>
      <c r="H6307" t="s">
        <v>277</v>
      </c>
      <c r="I6307" t="s">
        <v>226</v>
      </c>
    </row>
    <row r="6308" spans="1:9" x14ac:dyDescent="0.35">
      <c r="A6308" t="s">
        <v>227</v>
      </c>
      <c r="B6308" t="s">
        <v>343</v>
      </c>
      <c r="C6308" s="2">
        <v>0.62360000000000004</v>
      </c>
      <c r="D6308" s="2">
        <v>0.35510000000000003</v>
      </c>
      <c r="E6308" s="2">
        <v>1.9699999999999999E-2</v>
      </c>
      <c r="F6308" s="2">
        <v>1.6000000000000001E-3</v>
      </c>
      <c r="I6308">
        <v>355</v>
      </c>
    </row>
    <row r="6309" spans="1:9" x14ac:dyDescent="0.35">
      <c r="A6309" t="s">
        <v>227</v>
      </c>
      <c r="B6309" t="s">
        <v>344</v>
      </c>
      <c r="C6309" s="2">
        <v>0.51300000000000001</v>
      </c>
      <c r="D6309" s="2">
        <v>0.47870000000000001</v>
      </c>
      <c r="E6309" s="2">
        <v>8.2000000000000007E-3</v>
      </c>
      <c r="G6309" s="2">
        <v>1E-4</v>
      </c>
      <c r="H6309" s="2">
        <v>0</v>
      </c>
      <c r="I6309">
        <v>2393</v>
      </c>
    </row>
    <row r="6310" spans="1:9" x14ac:dyDescent="0.35">
      <c r="A6310" t="s">
        <v>228</v>
      </c>
      <c r="B6310" t="s">
        <v>228</v>
      </c>
      <c r="C6310" s="2">
        <v>0.52880000000000005</v>
      </c>
      <c r="D6310" s="2">
        <v>0.46100000000000002</v>
      </c>
      <c r="E6310" s="2">
        <v>9.9000000000000008E-3</v>
      </c>
      <c r="F6310" s="2">
        <v>2.0000000000000001E-4</v>
      </c>
      <c r="G6310" s="2">
        <v>1E-4</v>
      </c>
      <c r="H6310" s="2">
        <v>0</v>
      </c>
      <c r="I6310">
        <v>2748</v>
      </c>
    </row>
    <row r="6312" spans="1:9" x14ac:dyDescent="0.35">
      <c r="A6312" s="1" t="s">
        <v>1692</v>
      </c>
    </row>
    <row r="6313" spans="1:9" x14ac:dyDescent="0.35">
      <c r="A6313" t="s">
        <v>219</v>
      </c>
      <c r="B6313" t="s">
        <v>301</v>
      </c>
      <c r="C6313" t="s">
        <v>1679</v>
      </c>
      <c r="D6313" t="s">
        <v>1680</v>
      </c>
      <c r="E6313" t="s">
        <v>1681</v>
      </c>
      <c r="F6313" t="s">
        <v>1682</v>
      </c>
      <c r="G6313" t="s">
        <v>282</v>
      </c>
      <c r="H6313" t="s">
        <v>277</v>
      </c>
      <c r="I6313" t="s">
        <v>226</v>
      </c>
    </row>
    <row r="6314" spans="1:9" x14ac:dyDescent="0.35">
      <c r="A6314" t="s">
        <v>227</v>
      </c>
      <c r="B6314" t="s">
        <v>346</v>
      </c>
      <c r="C6314" s="2">
        <v>0.52580000000000005</v>
      </c>
      <c r="D6314" s="2">
        <v>0.46350000000000002</v>
      </c>
      <c r="E6314" s="2">
        <v>1.0699999999999999E-2</v>
      </c>
      <c r="I6314">
        <v>1424</v>
      </c>
    </row>
    <row r="6315" spans="1:9" x14ac:dyDescent="0.35">
      <c r="A6315" t="s">
        <v>227</v>
      </c>
      <c r="B6315" t="s">
        <v>347</v>
      </c>
      <c r="C6315" s="2">
        <v>0.38800000000000001</v>
      </c>
      <c r="D6315" s="2">
        <v>0.59860000000000002</v>
      </c>
      <c r="E6315" s="2">
        <v>1.2699999999999999E-2</v>
      </c>
      <c r="H6315" s="2">
        <v>6.9999999999999999E-4</v>
      </c>
      <c r="I6315">
        <v>575</v>
      </c>
    </row>
    <row r="6316" spans="1:9" x14ac:dyDescent="0.35">
      <c r="A6316" t="s">
        <v>227</v>
      </c>
      <c r="B6316" t="s">
        <v>348</v>
      </c>
      <c r="C6316" s="2">
        <v>0.60880000000000001</v>
      </c>
      <c r="D6316" s="2">
        <v>0.3861</v>
      </c>
      <c r="E6316" s="2">
        <v>1.5E-3</v>
      </c>
      <c r="F6316" s="2">
        <v>2.3999999999999998E-3</v>
      </c>
      <c r="G6316" s="2">
        <v>1.1000000000000001E-3</v>
      </c>
      <c r="I6316">
        <v>749</v>
      </c>
    </row>
    <row r="6317" spans="1:9" x14ac:dyDescent="0.35">
      <c r="A6317" t="s">
        <v>228</v>
      </c>
      <c r="B6317" t="s">
        <v>228</v>
      </c>
      <c r="C6317" s="2">
        <v>0.52880000000000005</v>
      </c>
      <c r="D6317" s="2">
        <v>0.46100000000000002</v>
      </c>
      <c r="E6317" s="2">
        <v>9.9000000000000008E-3</v>
      </c>
      <c r="F6317" s="2">
        <v>2.0000000000000001E-4</v>
      </c>
      <c r="G6317" s="2">
        <v>1E-4</v>
      </c>
      <c r="H6317" s="2">
        <v>0</v>
      </c>
      <c r="I6317">
        <v>2748</v>
      </c>
    </row>
    <row r="6319" spans="1:9" x14ac:dyDescent="0.35">
      <c r="A6319" s="1" t="s">
        <v>1693</v>
      </c>
    </row>
    <row r="6320" spans="1:9" x14ac:dyDescent="0.35">
      <c r="A6320" t="s">
        <v>219</v>
      </c>
      <c r="B6320" t="s">
        <v>301</v>
      </c>
      <c r="C6320" t="s">
        <v>1679</v>
      </c>
      <c r="D6320" t="s">
        <v>1680</v>
      </c>
      <c r="E6320" t="s">
        <v>1681</v>
      </c>
      <c r="F6320" t="s">
        <v>1682</v>
      </c>
      <c r="G6320" t="s">
        <v>282</v>
      </c>
      <c r="H6320" t="s">
        <v>277</v>
      </c>
      <c r="I6320" t="s">
        <v>226</v>
      </c>
    </row>
    <row r="6321" spans="1:9" x14ac:dyDescent="0.35">
      <c r="A6321" t="s">
        <v>227</v>
      </c>
      <c r="B6321" t="s">
        <v>251</v>
      </c>
      <c r="C6321" s="2">
        <v>0.52790000000000004</v>
      </c>
      <c r="D6321" s="2">
        <v>0.46189999999999998</v>
      </c>
      <c r="E6321" s="2">
        <v>9.7000000000000003E-3</v>
      </c>
      <c r="F6321" s="2">
        <v>2.9999999999999997E-4</v>
      </c>
      <c r="G6321" s="2">
        <v>2.0000000000000001E-4</v>
      </c>
      <c r="H6321" s="2">
        <v>0</v>
      </c>
      <c r="I6321">
        <v>1982</v>
      </c>
    </row>
    <row r="6322" spans="1:9" x14ac:dyDescent="0.35">
      <c r="A6322" t="s">
        <v>227</v>
      </c>
      <c r="B6322" t="s">
        <v>252</v>
      </c>
      <c r="C6322" s="2">
        <v>0.50719999999999998</v>
      </c>
      <c r="D6322" s="2">
        <v>0.4844</v>
      </c>
      <c r="E6322" s="2">
        <v>8.3999999999999995E-3</v>
      </c>
      <c r="I6322">
        <v>611</v>
      </c>
    </row>
    <row r="6323" spans="1:9" x14ac:dyDescent="0.35">
      <c r="A6323" t="s">
        <v>227</v>
      </c>
      <c r="B6323" t="s">
        <v>253</v>
      </c>
      <c r="C6323" s="2">
        <v>0.64029999999999998</v>
      </c>
      <c r="D6323" s="2">
        <v>0.3402</v>
      </c>
      <c r="E6323" s="2">
        <v>1.95E-2</v>
      </c>
      <c r="I6323">
        <v>146</v>
      </c>
    </row>
    <row r="6324" spans="1:9" x14ac:dyDescent="0.35">
      <c r="A6324" s="3" t="s">
        <v>227</v>
      </c>
      <c r="B6324" s="3" t="s">
        <v>254</v>
      </c>
      <c r="C6324" s="4">
        <v>0.57989999999999997</v>
      </c>
      <c r="D6324" s="4">
        <v>0.42009999999999997</v>
      </c>
      <c r="E6324" s="5"/>
      <c r="F6324" s="5"/>
      <c r="G6324" s="5"/>
      <c r="H6324" s="5"/>
      <c r="I6324" s="5" t="s">
        <v>515</v>
      </c>
    </row>
    <row r="6325" spans="1:9" x14ac:dyDescent="0.35">
      <c r="A6325" t="s">
        <v>228</v>
      </c>
      <c r="B6325" t="s">
        <v>228</v>
      </c>
      <c r="C6325" s="2">
        <v>0.52880000000000005</v>
      </c>
      <c r="D6325" s="2">
        <v>0.46100000000000002</v>
      </c>
      <c r="E6325" s="2">
        <v>9.9000000000000008E-3</v>
      </c>
      <c r="F6325" s="2">
        <v>2.0000000000000001E-4</v>
      </c>
      <c r="G6325" s="2">
        <v>1E-4</v>
      </c>
      <c r="H6325" s="2">
        <v>0</v>
      </c>
      <c r="I6325">
        <v>2748</v>
      </c>
    </row>
    <row r="6327" spans="1:9" x14ac:dyDescent="0.35">
      <c r="A6327" s="1" t="s">
        <v>1694</v>
      </c>
    </row>
    <row r="6328" spans="1:9" x14ac:dyDescent="0.35">
      <c r="A6328" t="s">
        <v>219</v>
      </c>
      <c r="B6328" t="s">
        <v>524</v>
      </c>
      <c r="C6328" t="s">
        <v>525</v>
      </c>
      <c r="D6328" t="s">
        <v>526</v>
      </c>
      <c r="E6328" t="s">
        <v>527</v>
      </c>
      <c r="F6328" t="s">
        <v>226</v>
      </c>
    </row>
    <row r="6329" spans="1:9" x14ac:dyDescent="0.35">
      <c r="A6329" t="s">
        <v>227</v>
      </c>
      <c r="B6329">
        <v>63.55</v>
      </c>
      <c r="C6329">
        <v>59</v>
      </c>
      <c r="D6329">
        <v>5</v>
      </c>
      <c r="E6329">
        <v>285</v>
      </c>
      <c r="F6329">
        <v>2310</v>
      </c>
    </row>
    <row r="6330" spans="1:9" x14ac:dyDescent="0.35">
      <c r="A6330" t="s">
        <v>228</v>
      </c>
      <c r="B6330">
        <v>63.55</v>
      </c>
      <c r="C6330">
        <v>59</v>
      </c>
      <c r="D6330">
        <v>5</v>
      </c>
      <c r="E6330">
        <v>285</v>
      </c>
      <c r="F6330">
        <v>2310</v>
      </c>
    </row>
    <row r="6332" spans="1:9" x14ac:dyDescent="0.35">
      <c r="A6332" s="1" t="s">
        <v>1695</v>
      </c>
    </row>
    <row r="6333" spans="1:9" x14ac:dyDescent="0.35">
      <c r="A6333" t="s">
        <v>219</v>
      </c>
      <c r="B6333" t="s">
        <v>301</v>
      </c>
      <c r="C6333" t="s">
        <v>524</v>
      </c>
      <c r="D6333" t="s">
        <v>525</v>
      </c>
      <c r="E6333" t="s">
        <v>526</v>
      </c>
      <c r="F6333" t="s">
        <v>527</v>
      </c>
      <c r="G6333" t="s">
        <v>226</v>
      </c>
    </row>
    <row r="6334" spans="1:9" x14ac:dyDescent="0.35">
      <c r="A6334" t="s">
        <v>227</v>
      </c>
      <c r="B6334" t="s">
        <v>238</v>
      </c>
      <c r="C6334">
        <v>64.680000000000007</v>
      </c>
      <c r="D6334">
        <v>60</v>
      </c>
      <c r="E6334">
        <v>5</v>
      </c>
      <c r="F6334">
        <v>285</v>
      </c>
      <c r="G6334">
        <v>825</v>
      </c>
    </row>
    <row r="6335" spans="1:9" x14ac:dyDescent="0.35">
      <c r="A6335" t="s">
        <v>227</v>
      </c>
      <c r="B6335" t="s">
        <v>237</v>
      </c>
      <c r="C6335">
        <v>62.91</v>
      </c>
      <c r="D6335">
        <v>56</v>
      </c>
      <c r="E6335">
        <v>6</v>
      </c>
      <c r="F6335">
        <v>260</v>
      </c>
      <c r="G6335">
        <v>1485</v>
      </c>
    </row>
    <row r="6336" spans="1:9" x14ac:dyDescent="0.35">
      <c r="A6336" t="s">
        <v>228</v>
      </c>
      <c r="B6336" t="s">
        <v>228</v>
      </c>
      <c r="C6336">
        <v>63.55</v>
      </c>
      <c r="D6336">
        <v>59</v>
      </c>
      <c r="E6336">
        <v>5</v>
      </c>
      <c r="F6336">
        <v>285</v>
      </c>
      <c r="G6336">
        <v>2310</v>
      </c>
    </row>
    <row r="6338" spans="1:7" x14ac:dyDescent="0.35">
      <c r="A6338" s="1" t="s">
        <v>1696</v>
      </c>
    </row>
    <row r="6339" spans="1:7" x14ac:dyDescent="0.35">
      <c r="A6339" t="s">
        <v>219</v>
      </c>
      <c r="B6339" t="s">
        <v>301</v>
      </c>
      <c r="C6339" t="s">
        <v>524</v>
      </c>
      <c r="D6339" t="s">
        <v>525</v>
      </c>
      <c r="E6339" t="s">
        <v>526</v>
      </c>
      <c r="F6339" t="s">
        <v>527</v>
      </c>
      <c r="G6339" t="s">
        <v>226</v>
      </c>
    </row>
    <row r="6340" spans="1:7" x14ac:dyDescent="0.35">
      <c r="A6340" t="s">
        <v>227</v>
      </c>
      <c r="B6340" t="s">
        <v>235</v>
      </c>
      <c r="C6340">
        <v>73.349999999999994</v>
      </c>
      <c r="D6340">
        <v>65</v>
      </c>
      <c r="E6340">
        <v>5</v>
      </c>
      <c r="F6340">
        <v>260</v>
      </c>
      <c r="G6340">
        <v>782</v>
      </c>
    </row>
    <row r="6341" spans="1:7" x14ac:dyDescent="0.35">
      <c r="A6341" t="s">
        <v>227</v>
      </c>
      <c r="B6341" t="s">
        <v>234</v>
      </c>
      <c r="C6341">
        <v>59.54</v>
      </c>
      <c r="D6341">
        <v>54</v>
      </c>
      <c r="E6341">
        <v>6</v>
      </c>
      <c r="F6341">
        <v>285</v>
      </c>
      <c r="G6341">
        <v>1528</v>
      </c>
    </row>
    <row r="6342" spans="1:7" x14ac:dyDescent="0.35">
      <c r="A6342" t="s">
        <v>228</v>
      </c>
      <c r="B6342" t="s">
        <v>228</v>
      </c>
      <c r="C6342">
        <v>63.55</v>
      </c>
      <c r="D6342">
        <v>59</v>
      </c>
      <c r="E6342">
        <v>5</v>
      </c>
      <c r="F6342">
        <v>285</v>
      </c>
      <c r="G6342">
        <v>2310</v>
      </c>
    </row>
    <row r="6344" spans="1:7" x14ac:dyDescent="0.35">
      <c r="A6344" s="1" t="s">
        <v>1697</v>
      </c>
    </row>
    <row r="6345" spans="1:7" x14ac:dyDescent="0.35">
      <c r="A6345" t="s">
        <v>219</v>
      </c>
      <c r="B6345" t="s">
        <v>301</v>
      </c>
      <c r="C6345" t="s">
        <v>524</v>
      </c>
      <c r="D6345" t="s">
        <v>525</v>
      </c>
      <c r="E6345" t="s">
        <v>526</v>
      </c>
      <c r="F6345" t="s">
        <v>527</v>
      </c>
      <c r="G6345" t="s">
        <v>226</v>
      </c>
    </row>
    <row r="6346" spans="1:7" x14ac:dyDescent="0.35">
      <c r="A6346" t="s">
        <v>227</v>
      </c>
      <c r="B6346" t="s">
        <v>240</v>
      </c>
      <c r="C6346">
        <v>67.099999999999994</v>
      </c>
      <c r="D6346">
        <v>60</v>
      </c>
      <c r="E6346">
        <v>6</v>
      </c>
      <c r="F6346">
        <v>260</v>
      </c>
      <c r="G6346">
        <v>1434</v>
      </c>
    </row>
    <row r="6347" spans="1:7" x14ac:dyDescent="0.35">
      <c r="A6347" t="s">
        <v>227</v>
      </c>
      <c r="B6347" t="s">
        <v>241</v>
      </c>
      <c r="C6347">
        <v>52.52</v>
      </c>
      <c r="D6347">
        <v>50</v>
      </c>
      <c r="E6347">
        <v>5</v>
      </c>
      <c r="F6347">
        <v>248</v>
      </c>
      <c r="G6347">
        <v>744</v>
      </c>
    </row>
    <row r="6348" spans="1:7" x14ac:dyDescent="0.35">
      <c r="A6348" t="s">
        <v>227</v>
      </c>
      <c r="B6348" t="s">
        <v>242</v>
      </c>
      <c r="C6348">
        <v>80.23</v>
      </c>
      <c r="D6348">
        <v>75</v>
      </c>
      <c r="E6348">
        <v>6</v>
      </c>
      <c r="F6348">
        <v>285</v>
      </c>
      <c r="G6348">
        <v>132</v>
      </c>
    </row>
    <row r="6349" spans="1:7" x14ac:dyDescent="0.35">
      <c r="A6349" t="s">
        <v>228</v>
      </c>
      <c r="B6349" t="s">
        <v>228</v>
      </c>
      <c r="C6349">
        <v>63.55</v>
      </c>
      <c r="D6349">
        <v>59</v>
      </c>
      <c r="E6349">
        <v>5</v>
      </c>
      <c r="F6349">
        <v>285</v>
      </c>
      <c r="G6349">
        <v>2310</v>
      </c>
    </row>
    <row r="6351" spans="1:7" x14ac:dyDescent="0.35">
      <c r="A6351" s="1" t="s">
        <v>1698</v>
      </c>
    </row>
    <row r="6352" spans="1:7" x14ac:dyDescent="0.35">
      <c r="A6352" t="s">
        <v>219</v>
      </c>
      <c r="B6352" t="s">
        <v>301</v>
      </c>
      <c r="C6352" t="s">
        <v>524</v>
      </c>
      <c r="D6352" t="s">
        <v>525</v>
      </c>
      <c r="E6352" t="s">
        <v>526</v>
      </c>
      <c r="F6352" t="s">
        <v>527</v>
      </c>
      <c r="G6352" t="s">
        <v>226</v>
      </c>
    </row>
    <row r="6353" spans="1:7" x14ac:dyDescent="0.35">
      <c r="A6353" t="s">
        <v>227</v>
      </c>
      <c r="B6353" t="s">
        <v>334</v>
      </c>
      <c r="C6353">
        <v>66.069999999999993</v>
      </c>
      <c r="D6353">
        <v>60</v>
      </c>
      <c r="E6353">
        <v>5</v>
      </c>
      <c r="F6353">
        <v>260</v>
      </c>
      <c r="G6353">
        <v>490</v>
      </c>
    </row>
    <row r="6354" spans="1:7" x14ac:dyDescent="0.35">
      <c r="A6354" t="s">
        <v>227</v>
      </c>
      <c r="B6354" t="s">
        <v>335</v>
      </c>
      <c r="C6354">
        <v>65.239999999999995</v>
      </c>
      <c r="D6354">
        <v>58</v>
      </c>
      <c r="E6354">
        <v>8</v>
      </c>
      <c r="F6354">
        <v>285</v>
      </c>
      <c r="G6354">
        <v>558</v>
      </c>
    </row>
    <row r="6355" spans="1:7" x14ac:dyDescent="0.35">
      <c r="A6355" t="s">
        <v>227</v>
      </c>
      <c r="B6355" t="s">
        <v>336</v>
      </c>
      <c r="C6355">
        <v>60.9</v>
      </c>
      <c r="D6355">
        <v>60</v>
      </c>
      <c r="E6355">
        <v>6</v>
      </c>
      <c r="F6355">
        <v>200</v>
      </c>
      <c r="G6355">
        <v>531</v>
      </c>
    </row>
    <row r="6356" spans="1:7" x14ac:dyDescent="0.35">
      <c r="A6356" t="s">
        <v>227</v>
      </c>
      <c r="B6356" t="s">
        <v>337</v>
      </c>
      <c r="C6356">
        <v>61.73</v>
      </c>
      <c r="D6356">
        <v>58</v>
      </c>
      <c r="E6356">
        <v>12</v>
      </c>
      <c r="F6356">
        <v>250</v>
      </c>
      <c r="G6356">
        <v>510</v>
      </c>
    </row>
    <row r="6357" spans="1:7" x14ac:dyDescent="0.35">
      <c r="A6357" t="s">
        <v>228</v>
      </c>
      <c r="B6357" t="s">
        <v>228</v>
      </c>
      <c r="C6357">
        <v>63.55</v>
      </c>
      <c r="D6357">
        <v>59</v>
      </c>
      <c r="E6357">
        <v>5</v>
      </c>
      <c r="F6357">
        <v>285</v>
      </c>
      <c r="G6357">
        <v>2310</v>
      </c>
    </row>
    <row r="6359" spans="1:7" x14ac:dyDescent="0.35">
      <c r="A6359" s="1" t="s">
        <v>1699</v>
      </c>
    </row>
    <row r="6360" spans="1:7" x14ac:dyDescent="0.35">
      <c r="A6360" t="s">
        <v>219</v>
      </c>
      <c r="B6360" t="s">
        <v>301</v>
      </c>
      <c r="C6360" t="s">
        <v>524</v>
      </c>
      <c r="D6360" t="s">
        <v>525</v>
      </c>
      <c r="E6360" t="s">
        <v>526</v>
      </c>
      <c r="F6360" t="s">
        <v>527</v>
      </c>
      <c r="G6360" t="s">
        <v>226</v>
      </c>
    </row>
    <row r="6361" spans="1:7" x14ac:dyDescent="0.35">
      <c r="A6361" t="s">
        <v>227</v>
      </c>
      <c r="B6361" t="s">
        <v>263</v>
      </c>
      <c r="C6361">
        <v>66.64</v>
      </c>
      <c r="D6361">
        <v>58</v>
      </c>
      <c r="E6361">
        <v>8</v>
      </c>
      <c r="F6361">
        <v>285</v>
      </c>
      <c r="G6361">
        <v>480</v>
      </c>
    </row>
    <row r="6362" spans="1:7" x14ac:dyDescent="0.35">
      <c r="A6362" t="s">
        <v>227</v>
      </c>
      <c r="B6362" t="s">
        <v>262</v>
      </c>
      <c r="C6362">
        <v>55.01</v>
      </c>
      <c r="D6362">
        <v>50</v>
      </c>
      <c r="E6362">
        <v>5</v>
      </c>
      <c r="F6362">
        <v>240</v>
      </c>
      <c r="G6362">
        <v>941</v>
      </c>
    </row>
    <row r="6363" spans="1:7" x14ac:dyDescent="0.35">
      <c r="A6363" t="s">
        <v>227</v>
      </c>
      <c r="B6363" t="s">
        <v>261</v>
      </c>
      <c r="C6363">
        <v>68.989999999999995</v>
      </c>
      <c r="D6363">
        <v>60</v>
      </c>
      <c r="E6363">
        <v>6</v>
      </c>
      <c r="F6363">
        <v>245</v>
      </c>
      <c r="G6363">
        <v>887</v>
      </c>
    </row>
    <row r="6364" spans="1:7" x14ac:dyDescent="0.35">
      <c r="A6364" s="3" t="s">
        <v>227</v>
      </c>
      <c r="B6364" s="3" t="s">
        <v>232</v>
      </c>
      <c r="C6364" s="5">
        <v>69.5</v>
      </c>
      <c r="D6364" s="5">
        <v>57</v>
      </c>
      <c r="E6364" s="5">
        <v>57</v>
      </c>
      <c r="F6364" s="5">
        <v>82</v>
      </c>
      <c r="G6364" s="5">
        <v>2</v>
      </c>
    </row>
    <row r="6365" spans="1:7" x14ac:dyDescent="0.35">
      <c r="A6365" t="s">
        <v>228</v>
      </c>
      <c r="B6365" t="s">
        <v>228</v>
      </c>
      <c r="C6365">
        <v>63.55</v>
      </c>
      <c r="D6365">
        <v>59</v>
      </c>
      <c r="E6365">
        <v>5</v>
      </c>
      <c r="F6365">
        <v>285</v>
      </c>
      <c r="G6365">
        <v>2310</v>
      </c>
    </row>
    <row r="6367" spans="1:7" x14ac:dyDescent="0.35">
      <c r="A6367" s="1" t="s">
        <v>1700</v>
      </c>
    </row>
    <row r="6368" spans="1:7" x14ac:dyDescent="0.35">
      <c r="A6368" t="s">
        <v>219</v>
      </c>
      <c r="B6368" t="s">
        <v>301</v>
      </c>
      <c r="C6368" t="s">
        <v>524</v>
      </c>
      <c r="D6368" t="s">
        <v>525</v>
      </c>
      <c r="E6368" t="s">
        <v>526</v>
      </c>
      <c r="F6368" t="s">
        <v>527</v>
      </c>
      <c r="G6368" t="s">
        <v>226</v>
      </c>
    </row>
    <row r="6369" spans="1:7" x14ac:dyDescent="0.35">
      <c r="A6369" t="s">
        <v>227</v>
      </c>
      <c r="B6369" t="s">
        <v>248</v>
      </c>
      <c r="C6369">
        <v>62.05</v>
      </c>
      <c r="D6369">
        <v>56</v>
      </c>
      <c r="E6369">
        <v>5</v>
      </c>
      <c r="F6369">
        <v>260</v>
      </c>
      <c r="G6369">
        <v>679</v>
      </c>
    </row>
    <row r="6370" spans="1:7" x14ac:dyDescent="0.35">
      <c r="A6370" t="s">
        <v>227</v>
      </c>
      <c r="B6370" t="s">
        <v>249</v>
      </c>
      <c r="C6370">
        <v>73</v>
      </c>
      <c r="D6370">
        <v>67</v>
      </c>
      <c r="E6370">
        <v>6</v>
      </c>
      <c r="F6370">
        <v>285</v>
      </c>
      <c r="G6370">
        <v>450</v>
      </c>
    </row>
    <row r="6371" spans="1:7" x14ac:dyDescent="0.35">
      <c r="A6371" t="s">
        <v>227</v>
      </c>
      <c r="B6371" t="s">
        <v>247</v>
      </c>
      <c r="C6371">
        <v>60.9</v>
      </c>
      <c r="D6371">
        <v>55</v>
      </c>
      <c r="E6371">
        <v>6</v>
      </c>
      <c r="F6371">
        <v>250</v>
      </c>
      <c r="G6371">
        <v>1181</v>
      </c>
    </row>
    <row r="6372" spans="1:7" x14ac:dyDescent="0.35">
      <c r="A6372" t="s">
        <v>228</v>
      </c>
      <c r="B6372" t="s">
        <v>228</v>
      </c>
      <c r="C6372">
        <v>63.55</v>
      </c>
      <c r="D6372">
        <v>59</v>
      </c>
      <c r="E6372">
        <v>5</v>
      </c>
      <c r="F6372">
        <v>285</v>
      </c>
      <c r="G6372">
        <v>2310</v>
      </c>
    </row>
    <row r="6374" spans="1:7" x14ac:dyDescent="0.35">
      <c r="A6374" s="1" t="s">
        <v>1701</v>
      </c>
    </row>
    <row r="6375" spans="1:7" x14ac:dyDescent="0.35">
      <c r="A6375" t="s">
        <v>219</v>
      </c>
      <c r="B6375" t="s">
        <v>301</v>
      </c>
      <c r="C6375" t="s">
        <v>524</v>
      </c>
      <c r="D6375" t="s">
        <v>525</v>
      </c>
      <c r="E6375" t="s">
        <v>526</v>
      </c>
      <c r="F6375" t="s">
        <v>527</v>
      </c>
      <c r="G6375" t="s">
        <v>226</v>
      </c>
    </row>
    <row r="6376" spans="1:7" x14ac:dyDescent="0.35">
      <c r="A6376" t="s">
        <v>227</v>
      </c>
      <c r="B6376" t="s">
        <v>245</v>
      </c>
      <c r="C6376">
        <v>66.61</v>
      </c>
      <c r="D6376">
        <v>60</v>
      </c>
      <c r="E6376">
        <v>6</v>
      </c>
      <c r="F6376">
        <v>285</v>
      </c>
      <c r="G6376">
        <v>626</v>
      </c>
    </row>
    <row r="6377" spans="1:7" x14ac:dyDescent="0.35">
      <c r="A6377" t="s">
        <v>227</v>
      </c>
      <c r="B6377" t="s">
        <v>244</v>
      </c>
      <c r="C6377">
        <v>62.36</v>
      </c>
      <c r="D6377">
        <v>56</v>
      </c>
      <c r="E6377">
        <v>5</v>
      </c>
      <c r="F6377">
        <v>260</v>
      </c>
      <c r="G6377">
        <v>1684</v>
      </c>
    </row>
    <row r="6378" spans="1:7" x14ac:dyDescent="0.35">
      <c r="A6378" t="s">
        <v>228</v>
      </c>
      <c r="B6378" t="s">
        <v>228</v>
      </c>
      <c r="C6378">
        <v>63.55</v>
      </c>
      <c r="D6378">
        <v>59</v>
      </c>
      <c r="E6378">
        <v>5</v>
      </c>
      <c r="F6378">
        <v>285</v>
      </c>
      <c r="G6378">
        <v>2310</v>
      </c>
    </row>
    <row r="6380" spans="1:7" x14ac:dyDescent="0.35">
      <c r="A6380" s="1" t="s">
        <v>1702</v>
      </c>
    </row>
    <row r="6381" spans="1:7" x14ac:dyDescent="0.35">
      <c r="A6381" t="s">
        <v>219</v>
      </c>
      <c r="B6381" t="s">
        <v>301</v>
      </c>
      <c r="C6381" t="s">
        <v>524</v>
      </c>
      <c r="D6381" t="s">
        <v>525</v>
      </c>
      <c r="E6381" t="s">
        <v>526</v>
      </c>
      <c r="F6381" t="s">
        <v>527</v>
      </c>
      <c r="G6381" t="s">
        <v>226</v>
      </c>
    </row>
    <row r="6382" spans="1:7" x14ac:dyDescent="0.35">
      <c r="A6382" t="s">
        <v>227</v>
      </c>
      <c r="B6382" t="s">
        <v>259</v>
      </c>
      <c r="C6382">
        <v>59.5</v>
      </c>
      <c r="D6382">
        <v>50</v>
      </c>
      <c r="E6382">
        <v>15</v>
      </c>
      <c r="F6382">
        <v>250</v>
      </c>
      <c r="G6382">
        <v>57</v>
      </c>
    </row>
    <row r="6383" spans="1:7" x14ac:dyDescent="0.35">
      <c r="A6383" t="s">
        <v>227</v>
      </c>
      <c r="B6383" t="s">
        <v>257</v>
      </c>
      <c r="C6383">
        <v>47.54</v>
      </c>
      <c r="D6383">
        <v>43</v>
      </c>
      <c r="E6383">
        <v>6</v>
      </c>
      <c r="F6383">
        <v>200</v>
      </c>
      <c r="G6383">
        <v>271</v>
      </c>
    </row>
    <row r="6384" spans="1:7" x14ac:dyDescent="0.35">
      <c r="A6384" t="s">
        <v>227</v>
      </c>
      <c r="B6384" t="s">
        <v>256</v>
      </c>
      <c r="C6384">
        <v>66.22</v>
      </c>
      <c r="D6384">
        <v>60</v>
      </c>
      <c r="E6384">
        <v>5</v>
      </c>
      <c r="F6384">
        <v>285</v>
      </c>
      <c r="G6384">
        <v>1513</v>
      </c>
    </row>
    <row r="6385" spans="1:7" x14ac:dyDescent="0.35">
      <c r="A6385" s="3" t="s">
        <v>227</v>
      </c>
      <c r="B6385" s="3" t="s">
        <v>232</v>
      </c>
      <c r="C6385" s="5">
        <v>62.91</v>
      </c>
      <c r="D6385" s="5">
        <v>75</v>
      </c>
      <c r="E6385" s="5">
        <v>48</v>
      </c>
      <c r="F6385" s="5">
        <v>80</v>
      </c>
      <c r="G6385" s="5">
        <v>4</v>
      </c>
    </row>
    <row r="6386" spans="1:7" x14ac:dyDescent="0.35">
      <c r="A6386" t="s">
        <v>227</v>
      </c>
      <c r="B6386" t="s">
        <v>258</v>
      </c>
      <c r="C6386">
        <v>64.83</v>
      </c>
      <c r="D6386">
        <v>60</v>
      </c>
      <c r="E6386">
        <v>12</v>
      </c>
      <c r="F6386">
        <v>240</v>
      </c>
      <c r="G6386">
        <v>465</v>
      </c>
    </row>
    <row r="6387" spans="1:7" x14ac:dyDescent="0.35">
      <c r="A6387" t="s">
        <v>228</v>
      </c>
      <c r="B6387" t="s">
        <v>228</v>
      </c>
      <c r="C6387">
        <v>63.55</v>
      </c>
      <c r="D6387">
        <v>59</v>
      </c>
      <c r="E6387">
        <v>5</v>
      </c>
      <c r="F6387">
        <v>285</v>
      </c>
      <c r="G6387">
        <v>2310</v>
      </c>
    </row>
    <row r="6389" spans="1:7" x14ac:dyDescent="0.35">
      <c r="A6389" s="1" t="s">
        <v>1703</v>
      </c>
    </row>
    <row r="6390" spans="1:7" x14ac:dyDescent="0.35">
      <c r="A6390" t="s">
        <v>219</v>
      </c>
      <c r="B6390" t="s">
        <v>301</v>
      </c>
      <c r="C6390" t="s">
        <v>524</v>
      </c>
      <c r="D6390" t="s">
        <v>525</v>
      </c>
      <c r="E6390" t="s">
        <v>526</v>
      </c>
      <c r="F6390" t="s">
        <v>527</v>
      </c>
      <c r="G6390" t="s">
        <v>226</v>
      </c>
    </row>
    <row r="6391" spans="1:7" x14ac:dyDescent="0.35">
      <c r="A6391" t="s">
        <v>227</v>
      </c>
      <c r="B6391" t="s">
        <v>343</v>
      </c>
      <c r="C6391">
        <v>47.54</v>
      </c>
      <c r="D6391">
        <v>43</v>
      </c>
      <c r="E6391">
        <v>6</v>
      </c>
      <c r="F6391">
        <v>200</v>
      </c>
      <c r="G6391">
        <v>271</v>
      </c>
    </row>
    <row r="6392" spans="1:7" x14ac:dyDescent="0.35">
      <c r="A6392" t="s">
        <v>227</v>
      </c>
      <c r="B6392" t="s">
        <v>344</v>
      </c>
      <c r="C6392">
        <v>65.86</v>
      </c>
      <c r="D6392">
        <v>60</v>
      </c>
      <c r="E6392">
        <v>5</v>
      </c>
      <c r="F6392">
        <v>285</v>
      </c>
      <c r="G6392">
        <v>2039</v>
      </c>
    </row>
    <row r="6393" spans="1:7" x14ac:dyDescent="0.35">
      <c r="A6393" t="s">
        <v>228</v>
      </c>
      <c r="B6393" t="s">
        <v>228</v>
      </c>
      <c r="C6393">
        <v>63.55</v>
      </c>
      <c r="D6393">
        <v>59</v>
      </c>
      <c r="E6393">
        <v>5</v>
      </c>
      <c r="F6393">
        <v>285</v>
      </c>
      <c r="G6393">
        <v>2310</v>
      </c>
    </row>
    <row r="6395" spans="1:7" x14ac:dyDescent="0.35">
      <c r="A6395" s="1" t="s">
        <v>1704</v>
      </c>
    </row>
    <row r="6396" spans="1:7" x14ac:dyDescent="0.35">
      <c r="A6396" t="s">
        <v>219</v>
      </c>
      <c r="B6396" t="s">
        <v>301</v>
      </c>
      <c r="C6396" t="s">
        <v>524</v>
      </c>
      <c r="D6396" t="s">
        <v>525</v>
      </c>
      <c r="E6396" t="s">
        <v>526</v>
      </c>
      <c r="F6396" t="s">
        <v>527</v>
      </c>
      <c r="G6396" t="s">
        <v>226</v>
      </c>
    </row>
    <row r="6397" spans="1:7" x14ac:dyDescent="0.35">
      <c r="A6397" t="s">
        <v>227</v>
      </c>
      <c r="B6397" t="s">
        <v>346</v>
      </c>
      <c r="C6397">
        <v>64.27</v>
      </c>
      <c r="D6397">
        <v>60</v>
      </c>
      <c r="E6397">
        <v>5</v>
      </c>
      <c r="F6397">
        <v>285</v>
      </c>
      <c r="G6397">
        <v>1202</v>
      </c>
    </row>
    <row r="6398" spans="1:7" x14ac:dyDescent="0.35">
      <c r="A6398" t="s">
        <v>227</v>
      </c>
      <c r="B6398" t="s">
        <v>347</v>
      </c>
      <c r="C6398">
        <v>61.95</v>
      </c>
      <c r="D6398">
        <v>56</v>
      </c>
      <c r="E6398">
        <v>12</v>
      </c>
      <c r="F6398">
        <v>260</v>
      </c>
      <c r="G6398">
        <v>484</v>
      </c>
    </row>
    <row r="6399" spans="1:7" x14ac:dyDescent="0.35">
      <c r="A6399" t="s">
        <v>227</v>
      </c>
      <c r="B6399" t="s">
        <v>348</v>
      </c>
      <c r="C6399">
        <v>57.7</v>
      </c>
      <c r="D6399">
        <v>52</v>
      </c>
      <c r="E6399">
        <v>12</v>
      </c>
      <c r="F6399">
        <v>250</v>
      </c>
      <c r="G6399">
        <v>624</v>
      </c>
    </row>
    <row r="6400" spans="1:7" x14ac:dyDescent="0.35">
      <c r="A6400" t="s">
        <v>228</v>
      </c>
      <c r="B6400" t="s">
        <v>228</v>
      </c>
      <c r="C6400">
        <v>63.55</v>
      </c>
      <c r="D6400">
        <v>59</v>
      </c>
      <c r="E6400">
        <v>5</v>
      </c>
      <c r="F6400">
        <v>285</v>
      </c>
      <c r="G6400">
        <v>2310</v>
      </c>
    </row>
    <row r="6402" spans="1:7" x14ac:dyDescent="0.35">
      <c r="A6402" s="1" t="s">
        <v>1705</v>
      </c>
    </row>
    <row r="6403" spans="1:7" x14ac:dyDescent="0.35">
      <c r="A6403" t="s">
        <v>219</v>
      </c>
      <c r="B6403" t="s">
        <v>301</v>
      </c>
      <c r="C6403" t="s">
        <v>524</v>
      </c>
      <c r="D6403" t="s">
        <v>525</v>
      </c>
      <c r="E6403" t="s">
        <v>526</v>
      </c>
      <c r="F6403" t="s">
        <v>527</v>
      </c>
      <c r="G6403" t="s">
        <v>226</v>
      </c>
    </row>
    <row r="6404" spans="1:7" x14ac:dyDescent="0.35">
      <c r="A6404" t="s">
        <v>227</v>
      </c>
      <c r="B6404" t="s">
        <v>251</v>
      </c>
      <c r="C6404">
        <v>62.36</v>
      </c>
      <c r="D6404">
        <v>56</v>
      </c>
      <c r="E6404">
        <v>5</v>
      </c>
      <c r="F6404">
        <v>260</v>
      </c>
      <c r="G6404">
        <v>1684</v>
      </c>
    </row>
    <row r="6405" spans="1:7" x14ac:dyDescent="0.35">
      <c r="A6405" t="s">
        <v>227</v>
      </c>
      <c r="B6405" t="s">
        <v>252</v>
      </c>
      <c r="C6405">
        <v>68.959999999999994</v>
      </c>
      <c r="D6405">
        <v>63</v>
      </c>
      <c r="E6405">
        <v>6</v>
      </c>
      <c r="F6405">
        <v>285</v>
      </c>
      <c r="G6405">
        <v>504</v>
      </c>
    </row>
    <row r="6406" spans="1:7" x14ac:dyDescent="0.35">
      <c r="A6406" t="s">
        <v>227</v>
      </c>
      <c r="B6406" t="s">
        <v>253</v>
      </c>
      <c r="C6406">
        <v>55.73</v>
      </c>
      <c r="D6406">
        <v>50</v>
      </c>
      <c r="E6406">
        <v>12</v>
      </c>
      <c r="F6406">
        <v>120</v>
      </c>
      <c r="G6406">
        <v>115</v>
      </c>
    </row>
    <row r="6407" spans="1:7" x14ac:dyDescent="0.35">
      <c r="A6407" s="3" t="s">
        <v>227</v>
      </c>
      <c r="B6407" s="3" t="s">
        <v>254</v>
      </c>
      <c r="C6407" s="5">
        <v>54.36</v>
      </c>
      <c r="D6407" s="5">
        <v>57</v>
      </c>
      <c r="E6407" s="5">
        <v>39</v>
      </c>
      <c r="F6407" s="5">
        <v>120</v>
      </c>
      <c r="G6407" s="5">
        <v>7</v>
      </c>
    </row>
    <row r="6408" spans="1:7" x14ac:dyDescent="0.35">
      <c r="A6408" t="s">
        <v>228</v>
      </c>
      <c r="B6408" t="s">
        <v>228</v>
      </c>
      <c r="C6408">
        <v>63.55</v>
      </c>
      <c r="D6408">
        <v>59</v>
      </c>
      <c r="E6408">
        <v>5</v>
      </c>
      <c r="F6408">
        <v>285</v>
      </c>
      <c r="G6408">
        <v>2310</v>
      </c>
    </row>
    <row r="6410" spans="1:7" x14ac:dyDescent="0.35">
      <c r="A6410" s="1" t="s">
        <v>1706</v>
      </c>
    </row>
    <row r="6411" spans="1:7" x14ac:dyDescent="0.35">
      <c r="A6411" t="s">
        <v>219</v>
      </c>
      <c r="B6411" t="s">
        <v>524</v>
      </c>
      <c r="C6411" t="s">
        <v>525</v>
      </c>
      <c r="D6411" t="s">
        <v>526</v>
      </c>
      <c r="E6411" t="s">
        <v>527</v>
      </c>
      <c r="F6411" t="s">
        <v>226</v>
      </c>
    </row>
    <row r="6412" spans="1:7" x14ac:dyDescent="0.35">
      <c r="A6412" t="s">
        <v>227</v>
      </c>
      <c r="B6412">
        <v>2.4</v>
      </c>
      <c r="C6412">
        <v>2</v>
      </c>
      <c r="D6412">
        <v>1</v>
      </c>
      <c r="E6412">
        <v>39</v>
      </c>
      <c r="F6412">
        <v>2750</v>
      </c>
    </row>
    <row r="6413" spans="1:7" x14ac:dyDescent="0.35">
      <c r="A6413" t="s">
        <v>228</v>
      </c>
      <c r="B6413">
        <v>2.4</v>
      </c>
      <c r="C6413">
        <v>2</v>
      </c>
      <c r="D6413">
        <v>1</v>
      </c>
      <c r="E6413">
        <v>39</v>
      </c>
      <c r="F6413">
        <v>2750</v>
      </c>
    </row>
    <row r="6415" spans="1:7" x14ac:dyDescent="0.35">
      <c r="A6415" s="1" t="s">
        <v>1707</v>
      </c>
    </row>
    <row r="6416" spans="1:7" x14ac:dyDescent="0.35">
      <c r="A6416" t="s">
        <v>219</v>
      </c>
      <c r="B6416" t="s">
        <v>301</v>
      </c>
      <c r="C6416" t="s">
        <v>524</v>
      </c>
      <c r="D6416" t="s">
        <v>525</v>
      </c>
      <c r="E6416" t="s">
        <v>526</v>
      </c>
      <c r="F6416" t="s">
        <v>527</v>
      </c>
      <c r="G6416" t="s">
        <v>226</v>
      </c>
    </row>
    <row r="6417" spans="1:7" x14ac:dyDescent="0.35">
      <c r="A6417" t="s">
        <v>227</v>
      </c>
      <c r="B6417" t="s">
        <v>238</v>
      </c>
      <c r="C6417">
        <v>2.5099999999999998</v>
      </c>
      <c r="D6417">
        <v>2</v>
      </c>
      <c r="E6417">
        <v>1</v>
      </c>
      <c r="F6417">
        <v>9</v>
      </c>
      <c r="G6417">
        <v>979</v>
      </c>
    </row>
    <row r="6418" spans="1:7" x14ac:dyDescent="0.35">
      <c r="A6418" t="s">
        <v>227</v>
      </c>
      <c r="B6418" t="s">
        <v>237</v>
      </c>
      <c r="C6418">
        <v>2.33</v>
      </c>
      <c r="D6418">
        <v>2</v>
      </c>
      <c r="E6418">
        <v>1</v>
      </c>
      <c r="F6418">
        <v>39</v>
      </c>
      <c r="G6418">
        <v>1771</v>
      </c>
    </row>
    <row r="6419" spans="1:7" x14ac:dyDescent="0.35">
      <c r="A6419" t="s">
        <v>228</v>
      </c>
      <c r="B6419" t="s">
        <v>228</v>
      </c>
      <c r="C6419">
        <v>2.4</v>
      </c>
      <c r="D6419">
        <v>2</v>
      </c>
      <c r="E6419">
        <v>1</v>
      </c>
      <c r="F6419">
        <v>39</v>
      </c>
      <c r="G6419">
        <v>2750</v>
      </c>
    </row>
    <row r="6421" spans="1:7" x14ac:dyDescent="0.35">
      <c r="A6421" s="1" t="s">
        <v>1708</v>
      </c>
    </row>
    <row r="6422" spans="1:7" x14ac:dyDescent="0.35">
      <c r="A6422" t="s">
        <v>219</v>
      </c>
      <c r="B6422" t="s">
        <v>301</v>
      </c>
      <c r="C6422" t="s">
        <v>524</v>
      </c>
      <c r="D6422" t="s">
        <v>525</v>
      </c>
      <c r="E6422" t="s">
        <v>526</v>
      </c>
      <c r="F6422" t="s">
        <v>527</v>
      </c>
      <c r="G6422" t="s">
        <v>226</v>
      </c>
    </row>
    <row r="6423" spans="1:7" x14ac:dyDescent="0.35">
      <c r="A6423" t="s">
        <v>227</v>
      </c>
      <c r="B6423" t="s">
        <v>235</v>
      </c>
      <c r="C6423">
        <v>2.71</v>
      </c>
      <c r="D6423">
        <v>2</v>
      </c>
      <c r="E6423">
        <v>1</v>
      </c>
      <c r="F6423">
        <v>39</v>
      </c>
      <c r="G6423">
        <v>967</v>
      </c>
    </row>
    <row r="6424" spans="1:7" x14ac:dyDescent="0.35">
      <c r="A6424" t="s">
        <v>227</v>
      </c>
      <c r="B6424" t="s">
        <v>234</v>
      </c>
      <c r="C6424">
        <v>2.27</v>
      </c>
      <c r="D6424">
        <v>2</v>
      </c>
      <c r="E6424">
        <v>1</v>
      </c>
      <c r="F6424">
        <v>10</v>
      </c>
      <c r="G6424">
        <v>1783</v>
      </c>
    </row>
    <row r="6425" spans="1:7" x14ac:dyDescent="0.35">
      <c r="A6425" t="s">
        <v>228</v>
      </c>
      <c r="B6425" t="s">
        <v>228</v>
      </c>
      <c r="C6425">
        <v>2.4</v>
      </c>
      <c r="D6425">
        <v>2</v>
      </c>
      <c r="E6425">
        <v>1</v>
      </c>
      <c r="F6425">
        <v>39</v>
      </c>
      <c r="G6425">
        <v>2750</v>
      </c>
    </row>
    <row r="6427" spans="1:7" x14ac:dyDescent="0.35">
      <c r="A6427" s="1" t="s">
        <v>1709</v>
      </c>
    </row>
    <row r="6428" spans="1:7" x14ac:dyDescent="0.35">
      <c r="A6428" t="s">
        <v>219</v>
      </c>
      <c r="B6428" t="s">
        <v>301</v>
      </c>
      <c r="C6428" t="s">
        <v>524</v>
      </c>
      <c r="D6428" t="s">
        <v>525</v>
      </c>
      <c r="E6428" t="s">
        <v>526</v>
      </c>
      <c r="F6428" t="s">
        <v>527</v>
      </c>
      <c r="G6428" t="s">
        <v>226</v>
      </c>
    </row>
    <row r="6429" spans="1:7" x14ac:dyDescent="0.35">
      <c r="A6429" t="s">
        <v>227</v>
      </c>
      <c r="B6429" t="s">
        <v>240</v>
      </c>
      <c r="C6429">
        <v>2.65</v>
      </c>
      <c r="D6429">
        <v>2</v>
      </c>
      <c r="E6429">
        <v>1</v>
      </c>
      <c r="F6429">
        <v>39</v>
      </c>
      <c r="G6429">
        <v>1713</v>
      </c>
    </row>
    <row r="6430" spans="1:7" x14ac:dyDescent="0.35">
      <c r="A6430" t="s">
        <v>227</v>
      </c>
      <c r="B6430" t="s">
        <v>241</v>
      </c>
      <c r="C6430">
        <v>1.1000000000000001</v>
      </c>
      <c r="D6430">
        <v>1</v>
      </c>
      <c r="E6430">
        <v>1</v>
      </c>
      <c r="F6430">
        <v>10</v>
      </c>
      <c r="G6430">
        <v>875</v>
      </c>
    </row>
    <row r="6431" spans="1:7" x14ac:dyDescent="0.35">
      <c r="A6431" t="s">
        <v>227</v>
      </c>
      <c r="B6431" t="s">
        <v>242</v>
      </c>
      <c r="C6431">
        <v>5.76</v>
      </c>
      <c r="D6431">
        <v>5</v>
      </c>
      <c r="E6431">
        <v>5</v>
      </c>
      <c r="F6431">
        <v>15</v>
      </c>
      <c r="G6431">
        <v>162</v>
      </c>
    </row>
    <row r="6432" spans="1:7" x14ac:dyDescent="0.35">
      <c r="A6432" t="s">
        <v>228</v>
      </c>
      <c r="B6432" t="s">
        <v>228</v>
      </c>
      <c r="C6432">
        <v>2.4</v>
      </c>
      <c r="D6432">
        <v>2</v>
      </c>
      <c r="E6432">
        <v>1</v>
      </c>
      <c r="F6432">
        <v>39</v>
      </c>
      <c r="G6432">
        <v>2750</v>
      </c>
    </row>
    <row r="6434" spans="1:7" x14ac:dyDescent="0.35">
      <c r="A6434" s="1" t="s">
        <v>1710</v>
      </c>
    </row>
    <row r="6435" spans="1:7" x14ac:dyDescent="0.35">
      <c r="A6435" t="s">
        <v>219</v>
      </c>
      <c r="B6435" t="s">
        <v>301</v>
      </c>
      <c r="C6435" t="s">
        <v>524</v>
      </c>
      <c r="D6435" t="s">
        <v>525</v>
      </c>
      <c r="E6435" t="s">
        <v>526</v>
      </c>
      <c r="F6435" t="s">
        <v>527</v>
      </c>
      <c r="G6435" t="s">
        <v>226</v>
      </c>
    </row>
    <row r="6436" spans="1:7" x14ac:dyDescent="0.35">
      <c r="A6436" t="s">
        <v>227</v>
      </c>
      <c r="B6436" t="s">
        <v>334</v>
      </c>
      <c r="C6436">
        <v>2.79</v>
      </c>
      <c r="D6436">
        <v>2</v>
      </c>
      <c r="E6436">
        <v>1</v>
      </c>
      <c r="F6436">
        <v>39</v>
      </c>
      <c r="G6436">
        <v>606</v>
      </c>
    </row>
    <row r="6437" spans="1:7" x14ac:dyDescent="0.35">
      <c r="A6437" t="s">
        <v>227</v>
      </c>
      <c r="B6437" t="s">
        <v>335</v>
      </c>
      <c r="C6437">
        <v>2.2000000000000002</v>
      </c>
      <c r="D6437">
        <v>2</v>
      </c>
      <c r="E6437">
        <v>1</v>
      </c>
      <c r="F6437">
        <v>10</v>
      </c>
      <c r="G6437">
        <v>623</v>
      </c>
    </row>
    <row r="6438" spans="1:7" x14ac:dyDescent="0.35">
      <c r="A6438" t="s">
        <v>227</v>
      </c>
      <c r="B6438" t="s">
        <v>336</v>
      </c>
      <c r="C6438">
        <v>2.2999999999999998</v>
      </c>
      <c r="D6438">
        <v>2</v>
      </c>
      <c r="E6438">
        <v>1</v>
      </c>
      <c r="F6438">
        <v>7</v>
      </c>
      <c r="G6438">
        <v>608</v>
      </c>
    </row>
    <row r="6439" spans="1:7" x14ac:dyDescent="0.35">
      <c r="A6439" t="s">
        <v>227</v>
      </c>
      <c r="B6439" t="s">
        <v>337</v>
      </c>
      <c r="C6439">
        <v>2.44</v>
      </c>
      <c r="D6439">
        <v>2</v>
      </c>
      <c r="E6439">
        <v>1</v>
      </c>
      <c r="F6439">
        <v>9</v>
      </c>
      <c r="G6439">
        <v>587</v>
      </c>
    </row>
    <row r="6440" spans="1:7" x14ac:dyDescent="0.35">
      <c r="A6440" t="s">
        <v>228</v>
      </c>
      <c r="B6440" t="s">
        <v>228</v>
      </c>
      <c r="C6440">
        <v>2.4</v>
      </c>
      <c r="D6440">
        <v>2</v>
      </c>
      <c r="E6440">
        <v>1</v>
      </c>
      <c r="F6440">
        <v>39</v>
      </c>
      <c r="G6440">
        <v>2750</v>
      </c>
    </row>
    <row r="6442" spans="1:7" x14ac:dyDescent="0.35">
      <c r="A6442" s="1" t="s">
        <v>1711</v>
      </c>
    </row>
    <row r="6443" spans="1:7" x14ac:dyDescent="0.35">
      <c r="A6443" t="s">
        <v>219</v>
      </c>
      <c r="B6443" t="s">
        <v>301</v>
      </c>
      <c r="C6443" t="s">
        <v>524</v>
      </c>
      <c r="D6443" t="s">
        <v>525</v>
      </c>
      <c r="E6443" t="s">
        <v>526</v>
      </c>
      <c r="F6443" t="s">
        <v>527</v>
      </c>
      <c r="G6443" t="s">
        <v>226</v>
      </c>
    </row>
    <row r="6444" spans="1:7" x14ac:dyDescent="0.35">
      <c r="A6444" t="s">
        <v>227</v>
      </c>
      <c r="B6444" t="s">
        <v>263</v>
      </c>
      <c r="C6444">
        <v>2.23</v>
      </c>
      <c r="D6444">
        <v>2</v>
      </c>
      <c r="E6444">
        <v>1</v>
      </c>
      <c r="F6444">
        <v>39</v>
      </c>
      <c r="G6444">
        <v>579</v>
      </c>
    </row>
    <row r="6445" spans="1:7" x14ac:dyDescent="0.35">
      <c r="A6445" t="s">
        <v>227</v>
      </c>
      <c r="B6445" t="s">
        <v>262</v>
      </c>
      <c r="C6445">
        <v>1.73</v>
      </c>
      <c r="D6445">
        <v>1</v>
      </c>
      <c r="E6445">
        <v>1</v>
      </c>
      <c r="F6445">
        <v>9</v>
      </c>
      <c r="G6445">
        <v>1131</v>
      </c>
    </row>
    <row r="6446" spans="1:7" x14ac:dyDescent="0.35">
      <c r="A6446" t="s">
        <v>227</v>
      </c>
      <c r="B6446" t="s">
        <v>261</v>
      </c>
      <c r="C6446">
        <v>3.07</v>
      </c>
      <c r="D6446">
        <v>3</v>
      </c>
      <c r="E6446">
        <v>2</v>
      </c>
      <c r="F6446">
        <v>15</v>
      </c>
      <c r="G6446">
        <v>1038</v>
      </c>
    </row>
    <row r="6447" spans="1:7" x14ac:dyDescent="0.35">
      <c r="A6447" s="3" t="s">
        <v>227</v>
      </c>
      <c r="B6447" s="3" t="s">
        <v>232</v>
      </c>
      <c r="C6447" s="5">
        <v>1.5</v>
      </c>
      <c r="D6447" s="5">
        <v>1</v>
      </c>
      <c r="E6447" s="5">
        <v>1</v>
      </c>
      <c r="F6447" s="5">
        <v>2</v>
      </c>
      <c r="G6447" s="5">
        <v>2</v>
      </c>
    </row>
    <row r="6448" spans="1:7" x14ac:dyDescent="0.35">
      <c r="A6448" t="s">
        <v>228</v>
      </c>
      <c r="B6448" t="s">
        <v>228</v>
      </c>
      <c r="C6448">
        <v>2.4</v>
      </c>
      <c r="D6448">
        <v>2</v>
      </c>
      <c r="E6448">
        <v>1</v>
      </c>
      <c r="F6448">
        <v>39</v>
      </c>
      <c r="G6448">
        <v>2750</v>
      </c>
    </row>
    <row r="6450" spans="1:7" x14ac:dyDescent="0.35">
      <c r="A6450" s="1" t="s">
        <v>1712</v>
      </c>
    </row>
    <row r="6451" spans="1:7" x14ac:dyDescent="0.35">
      <c r="A6451" t="s">
        <v>219</v>
      </c>
      <c r="B6451" t="s">
        <v>301</v>
      </c>
      <c r="C6451" t="s">
        <v>524</v>
      </c>
      <c r="D6451" t="s">
        <v>525</v>
      </c>
      <c r="E6451" t="s">
        <v>526</v>
      </c>
      <c r="F6451" t="s">
        <v>527</v>
      </c>
      <c r="G6451" t="s">
        <v>226</v>
      </c>
    </row>
    <row r="6452" spans="1:7" x14ac:dyDescent="0.35">
      <c r="A6452" t="s">
        <v>227</v>
      </c>
      <c r="B6452" t="s">
        <v>248</v>
      </c>
      <c r="C6452">
        <v>1.53</v>
      </c>
      <c r="D6452">
        <v>1</v>
      </c>
      <c r="E6452">
        <v>1</v>
      </c>
      <c r="F6452">
        <v>5</v>
      </c>
      <c r="G6452">
        <v>770</v>
      </c>
    </row>
    <row r="6453" spans="1:7" x14ac:dyDescent="0.35">
      <c r="A6453" t="s">
        <v>227</v>
      </c>
      <c r="B6453" t="s">
        <v>249</v>
      </c>
      <c r="C6453">
        <v>3.27</v>
      </c>
      <c r="D6453">
        <v>3</v>
      </c>
      <c r="E6453">
        <v>2</v>
      </c>
      <c r="F6453">
        <v>10</v>
      </c>
      <c r="G6453">
        <v>533</v>
      </c>
    </row>
    <row r="6454" spans="1:7" x14ac:dyDescent="0.35">
      <c r="A6454" t="s">
        <v>227</v>
      </c>
      <c r="B6454" t="s">
        <v>247</v>
      </c>
      <c r="C6454">
        <v>2.52</v>
      </c>
      <c r="D6454">
        <v>2</v>
      </c>
      <c r="E6454">
        <v>1</v>
      </c>
      <c r="F6454">
        <v>39</v>
      </c>
      <c r="G6454">
        <v>1447</v>
      </c>
    </row>
    <row r="6455" spans="1:7" x14ac:dyDescent="0.35">
      <c r="A6455" t="s">
        <v>228</v>
      </c>
      <c r="B6455" t="s">
        <v>228</v>
      </c>
      <c r="C6455">
        <v>2.4</v>
      </c>
      <c r="D6455">
        <v>2</v>
      </c>
      <c r="E6455">
        <v>1</v>
      </c>
      <c r="F6455">
        <v>39</v>
      </c>
      <c r="G6455">
        <v>2750</v>
      </c>
    </row>
    <row r="6457" spans="1:7" x14ac:dyDescent="0.35">
      <c r="A6457" s="1" t="s">
        <v>1713</v>
      </c>
    </row>
    <row r="6458" spans="1:7" x14ac:dyDescent="0.35">
      <c r="A6458" t="s">
        <v>219</v>
      </c>
      <c r="B6458" t="s">
        <v>301</v>
      </c>
      <c r="C6458" t="s">
        <v>524</v>
      </c>
      <c r="D6458" t="s">
        <v>525</v>
      </c>
      <c r="E6458" t="s">
        <v>526</v>
      </c>
      <c r="F6458" t="s">
        <v>527</v>
      </c>
      <c r="G6458" t="s">
        <v>226</v>
      </c>
    </row>
    <row r="6459" spans="1:7" x14ac:dyDescent="0.35">
      <c r="A6459" t="s">
        <v>227</v>
      </c>
      <c r="B6459" t="s">
        <v>245</v>
      </c>
      <c r="C6459">
        <v>3.76</v>
      </c>
      <c r="D6459">
        <v>3</v>
      </c>
      <c r="E6459">
        <v>2</v>
      </c>
      <c r="F6459">
        <v>39</v>
      </c>
      <c r="G6459">
        <v>766</v>
      </c>
    </row>
    <row r="6460" spans="1:7" x14ac:dyDescent="0.35">
      <c r="A6460" t="s">
        <v>227</v>
      </c>
      <c r="B6460" t="s">
        <v>244</v>
      </c>
      <c r="C6460">
        <v>1.86</v>
      </c>
      <c r="D6460">
        <v>2</v>
      </c>
      <c r="E6460">
        <v>1</v>
      </c>
      <c r="F6460">
        <v>10</v>
      </c>
      <c r="G6460">
        <v>1984</v>
      </c>
    </row>
    <row r="6461" spans="1:7" x14ac:dyDescent="0.35">
      <c r="A6461" t="s">
        <v>228</v>
      </c>
      <c r="B6461" t="s">
        <v>228</v>
      </c>
      <c r="C6461">
        <v>2.4</v>
      </c>
      <c r="D6461">
        <v>2</v>
      </c>
      <c r="E6461">
        <v>1</v>
      </c>
      <c r="F6461">
        <v>39</v>
      </c>
      <c r="G6461">
        <v>2750</v>
      </c>
    </row>
    <row r="6463" spans="1:7" x14ac:dyDescent="0.35">
      <c r="A6463" s="1" t="s">
        <v>1714</v>
      </c>
    </row>
    <row r="6464" spans="1:7" x14ac:dyDescent="0.35">
      <c r="A6464" t="s">
        <v>219</v>
      </c>
      <c r="B6464" t="s">
        <v>301</v>
      </c>
      <c r="C6464" t="s">
        <v>524</v>
      </c>
      <c r="D6464" t="s">
        <v>525</v>
      </c>
      <c r="E6464" t="s">
        <v>526</v>
      </c>
      <c r="F6464" t="s">
        <v>527</v>
      </c>
      <c r="G6464" t="s">
        <v>226</v>
      </c>
    </row>
    <row r="6465" spans="1:7" x14ac:dyDescent="0.35">
      <c r="A6465" t="s">
        <v>227</v>
      </c>
      <c r="B6465" t="s">
        <v>259</v>
      </c>
      <c r="C6465">
        <v>2.59</v>
      </c>
      <c r="D6465">
        <v>2</v>
      </c>
      <c r="E6465">
        <v>1</v>
      </c>
      <c r="F6465">
        <v>6</v>
      </c>
      <c r="G6465">
        <v>69</v>
      </c>
    </row>
    <row r="6466" spans="1:7" x14ac:dyDescent="0.35">
      <c r="A6466" t="s">
        <v>227</v>
      </c>
      <c r="B6466" t="s">
        <v>257</v>
      </c>
      <c r="C6466">
        <v>2.4900000000000002</v>
      </c>
      <c r="D6466">
        <v>2</v>
      </c>
      <c r="E6466">
        <v>1</v>
      </c>
      <c r="F6466">
        <v>10</v>
      </c>
      <c r="G6466">
        <v>355</v>
      </c>
    </row>
    <row r="6467" spans="1:7" x14ac:dyDescent="0.35">
      <c r="A6467" t="s">
        <v>227</v>
      </c>
      <c r="B6467" t="s">
        <v>256</v>
      </c>
      <c r="C6467">
        <v>2.29</v>
      </c>
      <c r="D6467">
        <v>2</v>
      </c>
      <c r="E6467">
        <v>1</v>
      </c>
      <c r="F6467">
        <v>15</v>
      </c>
      <c r="G6467">
        <v>1799</v>
      </c>
    </row>
    <row r="6468" spans="1:7" x14ac:dyDescent="0.35">
      <c r="A6468" s="3" t="s">
        <v>227</v>
      </c>
      <c r="B6468" s="3" t="s">
        <v>232</v>
      </c>
      <c r="C6468" s="5">
        <v>1.27</v>
      </c>
      <c r="D6468" s="5">
        <v>1</v>
      </c>
      <c r="E6468" s="5">
        <v>1</v>
      </c>
      <c r="F6468" s="5">
        <v>3</v>
      </c>
      <c r="G6468" s="5">
        <v>11</v>
      </c>
    </row>
    <row r="6469" spans="1:7" x14ac:dyDescent="0.35">
      <c r="A6469" t="s">
        <v>227</v>
      </c>
      <c r="B6469" t="s">
        <v>258</v>
      </c>
      <c r="C6469">
        <v>2.81</v>
      </c>
      <c r="D6469">
        <v>3</v>
      </c>
      <c r="E6469">
        <v>1</v>
      </c>
      <c r="F6469">
        <v>39</v>
      </c>
      <c r="G6469">
        <v>516</v>
      </c>
    </row>
    <row r="6470" spans="1:7" x14ac:dyDescent="0.35">
      <c r="A6470" t="s">
        <v>228</v>
      </c>
      <c r="B6470" t="s">
        <v>228</v>
      </c>
      <c r="C6470">
        <v>2.4</v>
      </c>
      <c r="D6470">
        <v>2</v>
      </c>
      <c r="E6470">
        <v>1</v>
      </c>
      <c r="F6470">
        <v>39</v>
      </c>
      <c r="G6470">
        <v>2750</v>
      </c>
    </row>
    <row r="6472" spans="1:7" x14ac:dyDescent="0.35">
      <c r="A6472" s="1" t="s">
        <v>1715</v>
      </c>
    </row>
    <row r="6473" spans="1:7" x14ac:dyDescent="0.35">
      <c r="A6473" t="s">
        <v>219</v>
      </c>
      <c r="B6473" t="s">
        <v>301</v>
      </c>
      <c r="C6473" t="s">
        <v>524</v>
      </c>
      <c r="D6473" t="s">
        <v>525</v>
      </c>
      <c r="E6473" t="s">
        <v>526</v>
      </c>
      <c r="F6473" t="s">
        <v>527</v>
      </c>
      <c r="G6473" t="s">
        <v>226</v>
      </c>
    </row>
    <row r="6474" spans="1:7" x14ac:dyDescent="0.35">
      <c r="A6474" t="s">
        <v>227</v>
      </c>
      <c r="B6474" t="s">
        <v>343</v>
      </c>
      <c r="C6474">
        <v>2.4900000000000002</v>
      </c>
      <c r="D6474">
        <v>2</v>
      </c>
      <c r="E6474">
        <v>1</v>
      </c>
      <c r="F6474">
        <v>10</v>
      </c>
      <c r="G6474">
        <v>355</v>
      </c>
    </row>
    <row r="6475" spans="1:7" x14ac:dyDescent="0.35">
      <c r="A6475" t="s">
        <v>227</v>
      </c>
      <c r="B6475" t="s">
        <v>344</v>
      </c>
      <c r="C6475">
        <v>2.38</v>
      </c>
      <c r="D6475">
        <v>2</v>
      </c>
      <c r="E6475">
        <v>1</v>
      </c>
      <c r="F6475">
        <v>39</v>
      </c>
      <c r="G6475">
        <v>2395</v>
      </c>
    </row>
    <row r="6476" spans="1:7" x14ac:dyDescent="0.35">
      <c r="A6476" t="s">
        <v>228</v>
      </c>
      <c r="B6476" t="s">
        <v>228</v>
      </c>
      <c r="C6476">
        <v>2.4</v>
      </c>
      <c r="D6476">
        <v>2</v>
      </c>
      <c r="E6476">
        <v>1</v>
      </c>
      <c r="F6476">
        <v>39</v>
      </c>
      <c r="G6476">
        <v>2750</v>
      </c>
    </row>
    <row r="6478" spans="1:7" x14ac:dyDescent="0.35">
      <c r="A6478" s="1" t="s">
        <v>1716</v>
      </c>
    </row>
    <row r="6479" spans="1:7" x14ac:dyDescent="0.35">
      <c r="A6479" t="s">
        <v>219</v>
      </c>
      <c r="B6479" t="s">
        <v>301</v>
      </c>
      <c r="C6479" t="s">
        <v>524</v>
      </c>
      <c r="D6479" t="s">
        <v>525</v>
      </c>
      <c r="E6479" t="s">
        <v>526</v>
      </c>
      <c r="F6479" t="s">
        <v>527</v>
      </c>
      <c r="G6479" t="s">
        <v>226</v>
      </c>
    </row>
    <row r="6480" spans="1:7" x14ac:dyDescent="0.35">
      <c r="A6480" t="s">
        <v>227</v>
      </c>
      <c r="B6480" t="s">
        <v>346</v>
      </c>
      <c r="C6480">
        <v>2.42</v>
      </c>
      <c r="D6480">
        <v>2</v>
      </c>
      <c r="E6480">
        <v>1</v>
      </c>
      <c r="F6480">
        <v>39</v>
      </c>
      <c r="G6480">
        <v>1426</v>
      </c>
    </row>
    <row r="6481" spans="1:8" x14ac:dyDescent="0.35">
      <c r="A6481" t="s">
        <v>227</v>
      </c>
      <c r="B6481" t="s">
        <v>347</v>
      </c>
      <c r="C6481">
        <v>2.21</v>
      </c>
      <c r="D6481">
        <v>2</v>
      </c>
      <c r="E6481">
        <v>1</v>
      </c>
      <c r="F6481">
        <v>10</v>
      </c>
      <c r="G6481">
        <v>575</v>
      </c>
    </row>
    <row r="6482" spans="1:8" x14ac:dyDescent="0.35">
      <c r="A6482" t="s">
        <v>227</v>
      </c>
      <c r="B6482" t="s">
        <v>348</v>
      </c>
      <c r="C6482">
        <v>2.2599999999999998</v>
      </c>
      <c r="D6482">
        <v>2</v>
      </c>
      <c r="E6482">
        <v>1</v>
      </c>
      <c r="F6482">
        <v>9</v>
      </c>
      <c r="G6482">
        <v>749</v>
      </c>
    </row>
    <row r="6483" spans="1:8" x14ac:dyDescent="0.35">
      <c r="A6483" t="s">
        <v>228</v>
      </c>
      <c r="B6483" t="s">
        <v>228</v>
      </c>
      <c r="C6483">
        <v>2.4</v>
      </c>
      <c r="D6483">
        <v>2</v>
      </c>
      <c r="E6483">
        <v>1</v>
      </c>
      <c r="F6483">
        <v>39</v>
      </c>
      <c r="G6483">
        <v>2750</v>
      </c>
    </row>
    <row r="6485" spans="1:8" x14ac:dyDescent="0.35">
      <c r="A6485" s="1" t="s">
        <v>1717</v>
      </c>
    </row>
    <row r="6486" spans="1:8" x14ac:dyDescent="0.35">
      <c r="A6486" t="s">
        <v>219</v>
      </c>
      <c r="B6486" t="s">
        <v>301</v>
      </c>
      <c r="C6486" t="s">
        <v>524</v>
      </c>
      <c r="D6486" t="s">
        <v>525</v>
      </c>
      <c r="E6486" t="s">
        <v>526</v>
      </c>
      <c r="F6486" t="s">
        <v>527</v>
      </c>
      <c r="G6486" t="s">
        <v>226</v>
      </c>
    </row>
    <row r="6487" spans="1:8" x14ac:dyDescent="0.35">
      <c r="A6487" t="s">
        <v>227</v>
      </c>
      <c r="B6487" t="s">
        <v>251</v>
      </c>
      <c r="C6487">
        <v>1.86</v>
      </c>
      <c r="D6487">
        <v>2</v>
      </c>
      <c r="E6487">
        <v>1</v>
      </c>
      <c r="F6487">
        <v>10</v>
      </c>
      <c r="G6487">
        <v>1984</v>
      </c>
    </row>
    <row r="6488" spans="1:8" x14ac:dyDescent="0.35">
      <c r="A6488" t="s">
        <v>227</v>
      </c>
      <c r="B6488" t="s">
        <v>252</v>
      </c>
      <c r="C6488">
        <v>4.0599999999999996</v>
      </c>
      <c r="D6488">
        <v>4</v>
      </c>
      <c r="E6488">
        <v>2</v>
      </c>
      <c r="F6488">
        <v>39</v>
      </c>
      <c r="G6488">
        <v>611</v>
      </c>
    </row>
    <row r="6489" spans="1:8" x14ac:dyDescent="0.35">
      <c r="A6489" t="s">
        <v>227</v>
      </c>
      <c r="B6489" t="s">
        <v>253</v>
      </c>
      <c r="C6489">
        <v>2.41</v>
      </c>
      <c r="D6489">
        <v>2</v>
      </c>
      <c r="E6489">
        <v>2</v>
      </c>
      <c r="F6489">
        <v>6</v>
      </c>
      <c r="G6489">
        <v>146</v>
      </c>
    </row>
    <row r="6490" spans="1:8" x14ac:dyDescent="0.35">
      <c r="A6490" s="3" t="s">
        <v>227</v>
      </c>
      <c r="B6490" s="3" t="s">
        <v>254</v>
      </c>
      <c r="C6490" s="5">
        <v>2.23</v>
      </c>
      <c r="D6490" s="5">
        <v>2</v>
      </c>
      <c r="E6490" s="5">
        <v>2</v>
      </c>
      <c r="F6490" s="5">
        <v>4</v>
      </c>
      <c r="G6490" s="5">
        <v>9</v>
      </c>
    </row>
    <row r="6491" spans="1:8" x14ac:dyDescent="0.35">
      <c r="A6491" t="s">
        <v>228</v>
      </c>
      <c r="B6491" t="s">
        <v>228</v>
      </c>
      <c r="C6491">
        <v>2.4</v>
      </c>
      <c r="D6491">
        <v>2</v>
      </c>
      <c r="E6491">
        <v>1</v>
      </c>
      <c r="F6491">
        <v>39</v>
      </c>
      <c r="G6491">
        <v>2750</v>
      </c>
    </row>
    <row r="6493" spans="1:8" x14ac:dyDescent="0.35">
      <c r="A6493" s="1" t="s">
        <v>1718</v>
      </c>
    </row>
    <row r="6494" spans="1:8" x14ac:dyDescent="0.35">
      <c r="A6494" t="s">
        <v>219</v>
      </c>
      <c r="B6494" t="s">
        <v>1719</v>
      </c>
      <c r="C6494" t="s">
        <v>1720</v>
      </c>
      <c r="D6494" t="s">
        <v>1721</v>
      </c>
      <c r="E6494" t="s">
        <v>277</v>
      </c>
      <c r="F6494" t="s">
        <v>1722</v>
      </c>
      <c r="G6494" t="s">
        <v>282</v>
      </c>
      <c r="H6494" t="s">
        <v>226</v>
      </c>
    </row>
    <row r="6495" spans="1:8" x14ac:dyDescent="0.35">
      <c r="A6495" t="s">
        <v>227</v>
      </c>
      <c r="B6495" s="2">
        <v>0.78700000000000003</v>
      </c>
      <c r="C6495" s="2">
        <v>0.15670000000000001</v>
      </c>
      <c r="D6495" s="2">
        <v>4.9500000000000002E-2</v>
      </c>
      <c r="E6495" s="2">
        <v>4.5999999999999999E-3</v>
      </c>
      <c r="F6495" s="2">
        <v>1.9E-3</v>
      </c>
      <c r="G6495" s="2">
        <v>2.0000000000000001E-4</v>
      </c>
      <c r="H6495">
        <v>2750</v>
      </c>
    </row>
    <row r="6496" spans="1:8" x14ac:dyDescent="0.35">
      <c r="A6496" t="s">
        <v>228</v>
      </c>
      <c r="B6496" s="2">
        <v>0.78700000000000003</v>
      </c>
      <c r="C6496" s="2">
        <v>0.15670000000000001</v>
      </c>
      <c r="D6496" s="2">
        <v>4.9500000000000002E-2</v>
      </c>
      <c r="E6496" s="2">
        <v>4.5999999999999999E-3</v>
      </c>
      <c r="F6496" s="2">
        <v>1.9E-3</v>
      </c>
      <c r="G6496" s="2">
        <v>2.0000000000000001E-4</v>
      </c>
      <c r="H6496">
        <v>2750</v>
      </c>
    </row>
    <row r="6498" spans="1:9" x14ac:dyDescent="0.35">
      <c r="A6498" s="1" t="s">
        <v>1723</v>
      </c>
    </row>
    <row r="6499" spans="1:9" x14ac:dyDescent="0.35">
      <c r="A6499" t="s">
        <v>219</v>
      </c>
      <c r="B6499" t="s">
        <v>301</v>
      </c>
      <c r="C6499" t="s">
        <v>1719</v>
      </c>
      <c r="D6499" t="s">
        <v>1720</v>
      </c>
      <c r="E6499" t="s">
        <v>1721</v>
      </c>
      <c r="F6499" t="s">
        <v>277</v>
      </c>
      <c r="G6499" t="s">
        <v>1722</v>
      </c>
      <c r="H6499" t="s">
        <v>282</v>
      </c>
      <c r="I6499" t="s">
        <v>226</v>
      </c>
    </row>
    <row r="6500" spans="1:9" x14ac:dyDescent="0.35">
      <c r="A6500" t="s">
        <v>227</v>
      </c>
      <c r="B6500" t="s">
        <v>238</v>
      </c>
      <c r="C6500" s="2">
        <v>0.76349999999999996</v>
      </c>
      <c r="D6500" s="2">
        <v>0.1734</v>
      </c>
      <c r="E6500" s="2">
        <v>5.7500000000000002E-2</v>
      </c>
      <c r="F6500" s="2">
        <v>5.1999999999999998E-3</v>
      </c>
      <c r="G6500" s="2">
        <v>2.0000000000000001E-4</v>
      </c>
      <c r="H6500" s="2">
        <v>2.9999999999999997E-4</v>
      </c>
      <c r="I6500">
        <v>979</v>
      </c>
    </row>
    <row r="6501" spans="1:9" x14ac:dyDescent="0.35">
      <c r="A6501" t="s">
        <v>227</v>
      </c>
      <c r="B6501" t="s">
        <v>237</v>
      </c>
      <c r="C6501" s="2">
        <v>0.80059999999999998</v>
      </c>
      <c r="D6501" s="2">
        <v>0.14699999999999999</v>
      </c>
      <c r="E6501" s="2">
        <v>4.4900000000000002E-2</v>
      </c>
      <c r="F6501" s="2">
        <v>4.3E-3</v>
      </c>
      <c r="G6501" s="2">
        <v>3.0000000000000001E-3</v>
      </c>
      <c r="H6501" s="2">
        <v>1E-4</v>
      </c>
      <c r="I6501">
        <v>1771</v>
      </c>
    </row>
    <row r="6502" spans="1:9" x14ac:dyDescent="0.35">
      <c r="A6502" t="s">
        <v>228</v>
      </c>
      <c r="B6502" t="s">
        <v>228</v>
      </c>
      <c r="C6502" s="2">
        <v>0.78700000000000003</v>
      </c>
      <c r="D6502" s="2">
        <v>0.15670000000000001</v>
      </c>
      <c r="E6502" s="2">
        <v>4.9500000000000002E-2</v>
      </c>
      <c r="F6502" s="2">
        <v>4.5999999999999999E-3</v>
      </c>
      <c r="G6502" s="2">
        <v>1.9E-3</v>
      </c>
      <c r="H6502" s="2">
        <v>2.0000000000000001E-4</v>
      </c>
      <c r="I6502">
        <v>2750</v>
      </c>
    </row>
    <row r="6504" spans="1:9" x14ac:dyDescent="0.35">
      <c r="A6504" s="1" t="s">
        <v>1724</v>
      </c>
    </row>
    <row r="6505" spans="1:9" x14ac:dyDescent="0.35">
      <c r="A6505" t="s">
        <v>219</v>
      </c>
      <c r="B6505" t="s">
        <v>301</v>
      </c>
      <c r="C6505" t="s">
        <v>1719</v>
      </c>
      <c r="D6505" t="s">
        <v>1720</v>
      </c>
      <c r="E6505" t="s">
        <v>1721</v>
      </c>
      <c r="F6505" t="s">
        <v>277</v>
      </c>
      <c r="G6505" t="s">
        <v>1722</v>
      </c>
      <c r="H6505" t="s">
        <v>282</v>
      </c>
      <c r="I6505" t="s">
        <v>226</v>
      </c>
    </row>
    <row r="6506" spans="1:9" x14ac:dyDescent="0.35">
      <c r="A6506" t="s">
        <v>227</v>
      </c>
      <c r="B6506" t="s">
        <v>235</v>
      </c>
      <c r="C6506" s="2">
        <v>0.8427</v>
      </c>
      <c r="D6506" s="2">
        <v>7.8799999999999995E-2</v>
      </c>
      <c r="E6506" s="2">
        <v>7.2400000000000006E-2</v>
      </c>
      <c r="F6506" s="2">
        <v>5.4000000000000003E-3</v>
      </c>
      <c r="G6506" s="2">
        <v>5.9999999999999995E-4</v>
      </c>
      <c r="I6506">
        <v>967</v>
      </c>
    </row>
    <row r="6507" spans="1:9" x14ac:dyDescent="0.35">
      <c r="A6507" t="s">
        <v>227</v>
      </c>
      <c r="B6507" t="s">
        <v>234</v>
      </c>
      <c r="C6507" s="2">
        <v>0.76390000000000002</v>
      </c>
      <c r="D6507" s="2">
        <v>0.189</v>
      </c>
      <c r="E6507" s="2">
        <v>4.0099999999999997E-2</v>
      </c>
      <c r="F6507" s="2">
        <v>4.3E-3</v>
      </c>
      <c r="G6507" s="2">
        <v>2.5000000000000001E-3</v>
      </c>
      <c r="H6507" s="2">
        <v>2.9999999999999997E-4</v>
      </c>
      <c r="I6507">
        <v>1783</v>
      </c>
    </row>
    <row r="6508" spans="1:9" x14ac:dyDescent="0.35">
      <c r="A6508" t="s">
        <v>228</v>
      </c>
      <c r="B6508" t="s">
        <v>228</v>
      </c>
      <c r="C6508" s="2">
        <v>0.78700000000000003</v>
      </c>
      <c r="D6508" s="2">
        <v>0.15670000000000001</v>
      </c>
      <c r="E6508" s="2">
        <v>4.9500000000000002E-2</v>
      </c>
      <c r="F6508" s="2">
        <v>4.5999999999999999E-3</v>
      </c>
      <c r="G6508" s="2">
        <v>1.9E-3</v>
      </c>
      <c r="H6508" s="2">
        <v>2.0000000000000001E-4</v>
      </c>
      <c r="I6508">
        <v>2750</v>
      </c>
    </row>
    <row r="6510" spans="1:9" x14ac:dyDescent="0.35">
      <c r="A6510" s="1" t="s">
        <v>1725</v>
      </c>
    </row>
    <row r="6511" spans="1:9" x14ac:dyDescent="0.35">
      <c r="A6511" t="s">
        <v>219</v>
      </c>
      <c r="B6511" t="s">
        <v>301</v>
      </c>
      <c r="C6511" t="s">
        <v>1719</v>
      </c>
      <c r="D6511" t="s">
        <v>1720</v>
      </c>
      <c r="E6511" t="s">
        <v>1721</v>
      </c>
      <c r="F6511" t="s">
        <v>277</v>
      </c>
      <c r="G6511" t="s">
        <v>1722</v>
      </c>
      <c r="H6511" t="s">
        <v>282</v>
      </c>
      <c r="I6511" t="s">
        <v>226</v>
      </c>
    </row>
    <row r="6512" spans="1:9" x14ac:dyDescent="0.35">
      <c r="A6512" t="s">
        <v>227</v>
      </c>
      <c r="B6512" t="s">
        <v>240</v>
      </c>
      <c r="C6512" s="2">
        <v>0.80149999999999999</v>
      </c>
      <c r="D6512" s="2">
        <v>0.14990000000000001</v>
      </c>
      <c r="E6512" s="2">
        <v>4.4900000000000002E-2</v>
      </c>
      <c r="F6512" s="2">
        <v>3.3999999999999998E-3</v>
      </c>
      <c r="G6512" s="2">
        <v>2.9999999999999997E-4</v>
      </c>
      <c r="I6512">
        <v>1713</v>
      </c>
    </row>
    <row r="6513" spans="1:9" x14ac:dyDescent="0.35">
      <c r="A6513" t="s">
        <v>227</v>
      </c>
      <c r="B6513" t="s">
        <v>241</v>
      </c>
      <c r="C6513" s="2">
        <v>0.74160000000000004</v>
      </c>
      <c r="D6513" s="2">
        <v>0.18559999999999999</v>
      </c>
      <c r="E6513" s="2">
        <v>5.8000000000000003E-2</v>
      </c>
      <c r="F6513" s="2">
        <v>8.0999999999999996E-3</v>
      </c>
      <c r="G6513" s="2">
        <v>6.0000000000000001E-3</v>
      </c>
      <c r="H6513" s="2">
        <v>5.9999999999999995E-4</v>
      </c>
      <c r="I6513">
        <v>875</v>
      </c>
    </row>
    <row r="6514" spans="1:9" x14ac:dyDescent="0.35">
      <c r="A6514" t="s">
        <v>227</v>
      </c>
      <c r="B6514" t="s">
        <v>242</v>
      </c>
      <c r="C6514" s="2">
        <v>0.84899999999999998</v>
      </c>
      <c r="D6514" s="2">
        <v>9.3600000000000003E-2</v>
      </c>
      <c r="E6514" s="2">
        <v>5.62E-2</v>
      </c>
      <c r="F6514" s="2">
        <v>1.1999999999999999E-3</v>
      </c>
      <c r="I6514">
        <v>162</v>
      </c>
    </row>
    <row r="6515" spans="1:9" x14ac:dyDescent="0.35">
      <c r="A6515" t="s">
        <v>228</v>
      </c>
      <c r="B6515" t="s">
        <v>228</v>
      </c>
      <c r="C6515" s="2">
        <v>0.78700000000000003</v>
      </c>
      <c r="D6515" s="2">
        <v>0.15670000000000001</v>
      </c>
      <c r="E6515" s="2">
        <v>4.9500000000000002E-2</v>
      </c>
      <c r="F6515" s="2">
        <v>4.5999999999999999E-3</v>
      </c>
      <c r="G6515" s="2">
        <v>1.9E-3</v>
      </c>
      <c r="H6515" s="2">
        <v>2.0000000000000001E-4</v>
      </c>
      <c r="I6515">
        <v>2750</v>
      </c>
    </row>
    <row r="6517" spans="1:9" x14ac:dyDescent="0.35">
      <c r="A6517" s="1" t="s">
        <v>1726</v>
      </c>
    </row>
    <row r="6518" spans="1:9" x14ac:dyDescent="0.35">
      <c r="A6518" t="s">
        <v>219</v>
      </c>
      <c r="B6518" t="s">
        <v>301</v>
      </c>
      <c r="C6518" t="s">
        <v>1719</v>
      </c>
      <c r="D6518" t="s">
        <v>1720</v>
      </c>
      <c r="E6518" t="s">
        <v>1721</v>
      </c>
      <c r="F6518" t="s">
        <v>277</v>
      </c>
      <c r="G6518" t="s">
        <v>1722</v>
      </c>
      <c r="H6518" t="s">
        <v>282</v>
      </c>
      <c r="I6518" t="s">
        <v>226</v>
      </c>
    </row>
    <row r="6519" spans="1:9" x14ac:dyDescent="0.35">
      <c r="A6519" t="s">
        <v>227</v>
      </c>
      <c r="B6519" t="s">
        <v>334</v>
      </c>
      <c r="C6519" s="2">
        <v>0.82079999999999997</v>
      </c>
      <c r="D6519" s="2">
        <v>0.11409999999999999</v>
      </c>
      <c r="E6519" s="2">
        <v>5.4899999999999997E-2</v>
      </c>
      <c r="F6519" s="2">
        <v>9.7000000000000003E-3</v>
      </c>
      <c r="G6519" s="2">
        <v>5.0000000000000001E-4</v>
      </c>
      <c r="I6519">
        <v>606</v>
      </c>
    </row>
    <row r="6520" spans="1:9" x14ac:dyDescent="0.35">
      <c r="A6520" t="s">
        <v>227</v>
      </c>
      <c r="B6520" t="s">
        <v>335</v>
      </c>
      <c r="C6520" s="2">
        <v>0.77200000000000002</v>
      </c>
      <c r="D6520" s="2">
        <v>0.1842</v>
      </c>
      <c r="E6520" s="2">
        <v>3.5200000000000002E-2</v>
      </c>
      <c r="F6520" s="2">
        <v>2.8E-3</v>
      </c>
      <c r="G6520" s="2">
        <v>5.7999999999999996E-3</v>
      </c>
      <c r="I6520">
        <v>623</v>
      </c>
    </row>
    <row r="6521" spans="1:9" x14ac:dyDescent="0.35">
      <c r="A6521" t="s">
        <v>227</v>
      </c>
      <c r="B6521" t="s">
        <v>336</v>
      </c>
      <c r="C6521" s="2">
        <v>0.78979999999999995</v>
      </c>
      <c r="D6521" s="2">
        <v>0.1515</v>
      </c>
      <c r="E6521" s="2">
        <v>5.45E-2</v>
      </c>
      <c r="F6521" s="2">
        <v>3.3999999999999998E-3</v>
      </c>
      <c r="G6521" s="2">
        <v>4.0000000000000002E-4</v>
      </c>
      <c r="H6521" s="2">
        <v>5.0000000000000001E-4</v>
      </c>
      <c r="I6521">
        <v>608</v>
      </c>
    </row>
    <row r="6522" spans="1:9" x14ac:dyDescent="0.35">
      <c r="A6522" t="s">
        <v>227</v>
      </c>
      <c r="B6522" t="s">
        <v>337</v>
      </c>
      <c r="C6522" s="2">
        <v>0.79700000000000004</v>
      </c>
      <c r="D6522" s="2">
        <v>0.14069999999999999</v>
      </c>
      <c r="E6522" s="2">
        <v>5.74E-2</v>
      </c>
      <c r="F6522" s="2">
        <v>4.7999999999999996E-3</v>
      </c>
      <c r="G6522" s="2">
        <v>1E-4</v>
      </c>
      <c r="I6522">
        <v>587</v>
      </c>
    </row>
    <row r="6523" spans="1:9" x14ac:dyDescent="0.35">
      <c r="A6523" t="s">
        <v>228</v>
      </c>
      <c r="B6523" t="s">
        <v>228</v>
      </c>
      <c r="C6523" s="2">
        <v>0.78700000000000003</v>
      </c>
      <c r="D6523" s="2">
        <v>0.15670000000000001</v>
      </c>
      <c r="E6523" s="2">
        <v>4.9500000000000002E-2</v>
      </c>
      <c r="F6523" s="2">
        <v>4.5999999999999999E-3</v>
      </c>
      <c r="G6523" s="2">
        <v>1.9E-3</v>
      </c>
      <c r="H6523" s="2">
        <v>2.0000000000000001E-4</v>
      </c>
      <c r="I6523">
        <v>2424</v>
      </c>
    </row>
    <row r="6525" spans="1:9" x14ac:dyDescent="0.35">
      <c r="A6525" s="1" t="s">
        <v>1727</v>
      </c>
    </row>
    <row r="6526" spans="1:9" x14ac:dyDescent="0.35">
      <c r="A6526" t="s">
        <v>219</v>
      </c>
      <c r="B6526" t="s">
        <v>301</v>
      </c>
      <c r="C6526" t="s">
        <v>1719</v>
      </c>
      <c r="D6526" t="s">
        <v>1720</v>
      </c>
      <c r="E6526" t="s">
        <v>1721</v>
      </c>
      <c r="F6526" t="s">
        <v>277</v>
      </c>
      <c r="G6526" t="s">
        <v>1722</v>
      </c>
      <c r="H6526" t="s">
        <v>282</v>
      </c>
      <c r="I6526" t="s">
        <v>226</v>
      </c>
    </row>
    <row r="6527" spans="1:9" x14ac:dyDescent="0.35">
      <c r="A6527" t="s">
        <v>227</v>
      </c>
      <c r="B6527" t="s">
        <v>263</v>
      </c>
      <c r="C6527" s="2">
        <v>0.8095</v>
      </c>
      <c r="D6527" s="2">
        <v>0.1404</v>
      </c>
      <c r="E6527" s="2">
        <v>3.73E-2</v>
      </c>
      <c r="F6527" s="2">
        <v>4.3E-3</v>
      </c>
      <c r="G6527" s="2">
        <v>8.6E-3</v>
      </c>
      <c r="I6527">
        <v>579</v>
      </c>
    </row>
    <row r="6528" spans="1:9" x14ac:dyDescent="0.35">
      <c r="A6528" t="s">
        <v>227</v>
      </c>
      <c r="B6528" t="s">
        <v>262</v>
      </c>
      <c r="C6528" s="2">
        <v>0.747</v>
      </c>
      <c r="D6528" s="2">
        <v>0.18770000000000001</v>
      </c>
      <c r="E6528" s="2">
        <v>5.9700000000000003E-2</v>
      </c>
      <c r="F6528" s="2">
        <v>5.0000000000000001E-3</v>
      </c>
      <c r="G6528" s="2">
        <v>2.0000000000000001E-4</v>
      </c>
      <c r="H6528" s="2">
        <v>5.0000000000000001E-4</v>
      </c>
      <c r="I6528">
        <v>1131</v>
      </c>
    </row>
    <row r="6529" spans="1:9" x14ac:dyDescent="0.35">
      <c r="A6529" t="s">
        <v>227</v>
      </c>
      <c r="B6529" t="s">
        <v>261</v>
      </c>
      <c r="C6529" s="2">
        <v>0.80989999999999995</v>
      </c>
      <c r="D6529" s="2">
        <v>0.1384</v>
      </c>
      <c r="E6529" s="2">
        <v>4.6899999999999997E-2</v>
      </c>
      <c r="F6529" s="2">
        <v>4.4999999999999997E-3</v>
      </c>
      <c r="G6529" s="2">
        <v>2.9999999999999997E-4</v>
      </c>
      <c r="I6529">
        <v>1038</v>
      </c>
    </row>
    <row r="6530" spans="1:9" x14ac:dyDescent="0.35">
      <c r="A6530" s="3" t="s">
        <v>227</v>
      </c>
      <c r="B6530" s="3" t="s">
        <v>232</v>
      </c>
      <c r="C6530" s="4">
        <v>1</v>
      </c>
      <c r="D6530" s="5"/>
      <c r="E6530" s="5"/>
      <c r="F6530" s="5"/>
      <c r="G6530" s="5"/>
      <c r="H6530" s="5"/>
      <c r="I6530" s="5" t="s">
        <v>434</v>
      </c>
    </row>
    <row r="6531" spans="1:9" x14ac:dyDescent="0.35">
      <c r="A6531" t="s">
        <v>228</v>
      </c>
      <c r="B6531" t="s">
        <v>228</v>
      </c>
      <c r="C6531" s="2">
        <v>0.78700000000000003</v>
      </c>
      <c r="D6531" s="2">
        <v>0.15670000000000001</v>
      </c>
      <c r="E6531" s="2">
        <v>4.9500000000000002E-2</v>
      </c>
      <c r="F6531" s="2">
        <v>4.5999999999999999E-3</v>
      </c>
      <c r="G6531" s="2">
        <v>1.9E-3</v>
      </c>
      <c r="H6531" s="2">
        <v>2.0000000000000001E-4</v>
      </c>
      <c r="I6531">
        <v>2750</v>
      </c>
    </row>
    <row r="6533" spans="1:9" x14ac:dyDescent="0.35">
      <c r="A6533" s="1" t="s">
        <v>1728</v>
      </c>
    </row>
    <row r="6534" spans="1:9" x14ac:dyDescent="0.35">
      <c r="A6534" t="s">
        <v>219</v>
      </c>
      <c r="B6534" t="s">
        <v>301</v>
      </c>
      <c r="C6534" t="s">
        <v>1719</v>
      </c>
      <c r="D6534" t="s">
        <v>1720</v>
      </c>
      <c r="E6534" t="s">
        <v>1721</v>
      </c>
      <c r="F6534" t="s">
        <v>277</v>
      </c>
      <c r="G6534" t="s">
        <v>1722</v>
      </c>
      <c r="H6534" t="s">
        <v>282</v>
      </c>
      <c r="I6534" t="s">
        <v>226</v>
      </c>
    </row>
    <row r="6535" spans="1:9" x14ac:dyDescent="0.35">
      <c r="A6535" t="s">
        <v>227</v>
      </c>
      <c r="B6535" t="s">
        <v>248</v>
      </c>
      <c r="C6535" s="2">
        <v>0.80740000000000001</v>
      </c>
      <c r="D6535" s="2">
        <v>0.1394</v>
      </c>
      <c r="E6535" s="2">
        <v>4.9000000000000002E-2</v>
      </c>
      <c r="F6535" s="2">
        <v>3.5000000000000001E-3</v>
      </c>
      <c r="G6535" s="2">
        <v>4.0000000000000002E-4</v>
      </c>
      <c r="H6535" s="2">
        <v>4.0000000000000002E-4</v>
      </c>
      <c r="I6535">
        <v>770</v>
      </c>
    </row>
    <row r="6536" spans="1:9" x14ac:dyDescent="0.35">
      <c r="A6536" t="s">
        <v>227</v>
      </c>
      <c r="B6536" t="s">
        <v>249</v>
      </c>
      <c r="C6536" s="2">
        <v>0.83940000000000003</v>
      </c>
      <c r="D6536" s="2">
        <v>9.5600000000000004E-2</v>
      </c>
      <c r="E6536" s="2">
        <v>5.5599999999999997E-2</v>
      </c>
      <c r="F6536" s="2">
        <v>9.1000000000000004E-3</v>
      </c>
      <c r="G6536" s="2">
        <v>4.0000000000000002E-4</v>
      </c>
      <c r="I6536">
        <v>533</v>
      </c>
    </row>
    <row r="6537" spans="1:9" x14ac:dyDescent="0.35">
      <c r="A6537" t="s">
        <v>227</v>
      </c>
      <c r="B6537" t="s">
        <v>247</v>
      </c>
      <c r="C6537" s="2">
        <v>0.75739999999999996</v>
      </c>
      <c r="D6537" s="2">
        <v>0.18790000000000001</v>
      </c>
      <c r="E6537" s="2">
        <v>4.7600000000000003E-2</v>
      </c>
      <c r="F6537" s="2">
        <v>3.5999999999999999E-3</v>
      </c>
      <c r="G6537" s="2">
        <v>3.3E-3</v>
      </c>
      <c r="H6537" s="2">
        <v>2.0000000000000001E-4</v>
      </c>
      <c r="I6537">
        <v>1447</v>
      </c>
    </row>
    <row r="6538" spans="1:9" x14ac:dyDescent="0.35">
      <c r="A6538" t="s">
        <v>228</v>
      </c>
      <c r="B6538" t="s">
        <v>228</v>
      </c>
      <c r="C6538" s="2">
        <v>0.78700000000000003</v>
      </c>
      <c r="D6538" s="2">
        <v>0.15670000000000001</v>
      </c>
      <c r="E6538" s="2">
        <v>4.9500000000000002E-2</v>
      </c>
      <c r="F6538" s="2">
        <v>4.5999999999999999E-3</v>
      </c>
      <c r="G6538" s="2">
        <v>1.9E-3</v>
      </c>
      <c r="H6538" s="2">
        <v>2.0000000000000001E-4</v>
      </c>
      <c r="I6538">
        <v>2750</v>
      </c>
    </row>
    <row r="6540" spans="1:9" x14ac:dyDescent="0.35">
      <c r="A6540" s="1" t="s">
        <v>1729</v>
      </c>
    </row>
    <row r="6541" spans="1:9" x14ac:dyDescent="0.35">
      <c r="A6541" t="s">
        <v>219</v>
      </c>
      <c r="B6541" t="s">
        <v>301</v>
      </c>
      <c r="C6541" t="s">
        <v>1719</v>
      </c>
      <c r="D6541" t="s">
        <v>1720</v>
      </c>
      <c r="E6541" t="s">
        <v>1721</v>
      </c>
      <c r="F6541" t="s">
        <v>277</v>
      </c>
      <c r="G6541" t="s">
        <v>1722</v>
      </c>
      <c r="H6541" t="s">
        <v>282</v>
      </c>
      <c r="I6541" t="s">
        <v>226</v>
      </c>
    </row>
    <row r="6542" spans="1:9" x14ac:dyDescent="0.35">
      <c r="A6542" t="s">
        <v>227</v>
      </c>
      <c r="B6542" t="s">
        <v>245</v>
      </c>
      <c r="C6542" s="2">
        <v>0.80010000000000003</v>
      </c>
      <c r="D6542" s="2">
        <v>0.15310000000000001</v>
      </c>
      <c r="E6542" s="2">
        <v>4.58E-2</v>
      </c>
      <c r="F6542" s="2">
        <v>8.9999999999999998E-4</v>
      </c>
      <c r="G6542" s="2">
        <v>2.9999999999999997E-4</v>
      </c>
      <c r="I6542">
        <v>766</v>
      </c>
    </row>
    <row r="6543" spans="1:9" x14ac:dyDescent="0.35">
      <c r="A6543" t="s">
        <v>227</v>
      </c>
      <c r="B6543" t="s">
        <v>244</v>
      </c>
      <c r="C6543" s="2">
        <v>0.78180000000000005</v>
      </c>
      <c r="D6543" s="2">
        <v>0.15820000000000001</v>
      </c>
      <c r="E6543" s="2">
        <v>5.11E-2</v>
      </c>
      <c r="F6543" s="2">
        <v>6.1000000000000004E-3</v>
      </c>
      <c r="G6543" s="2">
        <v>2.5999999999999999E-3</v>
      </c>
      <c r="H6543" s="2">
        <v>2.9999999999999997E-4</v>
      </c>
      <c r="I6543">
        <v>1984</v>
      </c>
    </row>
    <row r="6544" spans="1:9" x14ac:dyDescent="0.35">
      <c r="A6544" t="s">
        <v>228</v>
      </c>
      <c r="B6544" t="s">
        <v>228</v>
      </c>
      <c r="C6544" s="2">
        <v>0.78700000000000003</v>
      </c>
      <c r="D6544" s="2">
        <v>0.15670000000000001</v>
      </c>
      <c r="E6544" s="2">
        <v>4.9500000000000002E-2</v>
      </c>
      <c r="F6544" s="2">
        <v>4.5999999999999999E-3</v>
      </c>
      <c r="G6544" s="2">
        <v>1.9E-3</v>
      </c>
      <c r="H6544" s="2">
        <v>2.0000000000000001E-4</v>
      </c>
      <c r="I6544">
        <v>2750</v>
      </c>
    </row>
    <row r="6546" spans="1:9" x14ac:dyDescent="0.35">
      <c r="A6546" s="1" t="s">
        <v>1730</v>
      </c>
    </row>
    <row r="6547" spans="1:9" x14ac:dyDescent="0.35">
      <c r="A6547" t="s">
        <v>219</v>
      </c>
      <c r="B6547" t="s">
        <v>301</v>
      </c>
      <c r="C6547" t="s">
        <v>1719</v>
      </c>
      <c r="D6547" t="s">
        <v>1720</v>
      </c>
      <c r="E6547" t="s">
        <v>1721</v>
      </c>
      <c r="F6547" t="s">
        <v>277</v>
      </c>
      <c r="G6547" t="s">
        <v>1722</v>
      </c>
      <c r="H6547" t="s">
        <v>282</v>
      </c>
      <c r="I6547" t="s">
        <v>226</v>
      </c>
    </row>
    <row r="6548" spans="1:9" x14ac:dyDescent="0.35">
      <c r="A6548" t="s">
        <v>227</v>
      </c>
      <c r="B6548" t="s">
        <v>259</v>
      </c>
      <c r="C6548" s="2">
        <v>0.47070000000000001</v>
      </c>
      <c r="D6548" s="2">
        <v>0.45739999999999997</v>
      </c>
      <c r="E6548" s="2">
        <v>7.1900000000000006E-2</v>
      </c>
      <c r="I6548">
        <v>69</v>
      </c>
    </row>
    <row r="6549" spans="1:9" x14ac:dyDescent="0.35">
      <c r="A6549" t="s">
        <v>227</v>
      </c>
      <c r="B6549" t="s">
        <v>257</v>
      </c>
      <c r="C6549" s="2">
        <v>0.13100000000000001</v>
      </c>
      <c r="D6549" s="2">
        <v>0.64810000000000001</v>
      </c>
      <c r="E6549" s="2">
        <v>0.19450000000000001</v>
      </c>
      <c r="F6549" s="2">
        <v>1.2800000000000001E-2</v>
      </c>
      <c r="G6549" s="2">
        <v>1.29E-2</v>
      </c>
      <c r="H6549" s="2">
        <v>6.9999999999999999E-4</v>
      </c>
      <c r="I6549">
        <v>355</v>
      </c>
    </row>
    <row r="6550" spans="1:9" x14ac:dyDescent="0.35">
      <c r="A6550" t="s">
        <v>227</v>
      </c>
      <c r="B6550" t="s">
        <v>256</v>
      </c>
      <c r="C6550" s="2">
        <v>0.91049999999999998</v>
      </c>
      <c r="D6550" s="2">
        <v>6.4600000000000005E-2</v>
      </c>
      <c r="E6550" s="2">
        <v>2.1100000000000001E-2</v>
      </c>
      <c r="F6550" s="2">
        <v>3.7000000000000002E-3</v>
      </c>
      <c r="G6550" s="2">
        <v>2.0000000000000001E-4</v>
      </c>
      <c r="I6550">
        <v>1799</v>
      </c>
    </row>
    <row r="6551" spans="1:9" x14ac:dyDescent="0.35">
      <c r="A6551" s="3" t="s">
        <v>227</v>
      </c>
      <c r="B6551" s="3" t="s">
        <v>232</v>
      </c>
      <c r="C6551" s="4">
        <v>0.32869999999999999</v>
      </c>
      <c r="D6551" s="4">
        <v>0.32719999999999999</v>
      </c>
      <c r="E6551" s="4">
        <v>0.26219999999999999</v>
      </c>
      <c r="F6551" s="4">
        <v>8.1900000000000001E-2</v>
      </c>
      <c r="G6551" s="5"/>
      <c r="H6551" s="5"/>
      <c r="I6551" s="5" t="s">
        <v>307</v>
      </c>
    </row>
    <row r="6552" spans="1:9" x14ac:dyDescent="0.35">
      <c r="A6552" t="s">
        <v>227</v>
      </c>
      <c r="B6552" t="s">
        <v>258</v>
      </c>
      <c r="C6552" s="2">
        <v>0.88929999999999998</v>
      </c>
      <c r="D6552" s="2">
        <v>7.3200000000000001E-2</v>
      </c>
      <c r="E6552" s="2">
        <v>3.6299999999999999E-2</v>
      </c>
      <c r="F6552" s="2">
        <v>6.9999999999999999E-4</v>
      </c>
      <c r="H6552" s="2">
        <v>5.9999999999999995E-4</v>
      </c>
      <c r="I6552">
        <v>516</v>
      </c>
    </row>
    <row r="6553" spans="1:9" x14ac:dyDescent="0.35">
      <c r="A6553" t="s">
        <v>228</v>
      </c>
      <c r="B6553" t="s">
        <v>228</v>
      </c>
      <c r="C6553" s="2">
        <v>0.78700000000000003</v>
      </c>
      <c r="D6553" s="2">
        <v>0.15670000000000001</v>
      </c>
      <c r="E6553" s="2">
        <v>4.9500000000000002E-2</v>
      </c>
      <c r="F6553" s="2">
        <v>4.5999999999999999E-3</v>
      </c>
      <c r="G6553" s="2">
        <v>1.9E-3</v>
      </c>
      <c r="H6553" s="2">
        <v>2.0000000000000001E-4</v>
      </c>
      <c r="I6553">
        <v>2750</v>
      </c>
    </row>
    <row r="6555" spans="1:9" x14ac:dyDescent="0.35">
      <c r="A6555" s="1" t="s">
        <v>1731</v>
      </c>
    </row>
    <row r="6556" spans="1:9" x14ac:dyDescent="0.35">
      <c r="A6556" t="s">
        <v>219</v>
      </c>
      <c r="B6556" t="s">
        <v>301</v>
      </c>
      <c r="C6556" t="s">
        <v>1719</v>
      </c>
      <c r="D6556" t="s">
        <v>1720</v>
      </c>
      <c r="E6556" t="s">
        <v>1721</v>
      </c>
      <c r="F6556" t="s">
        <v>277</v>
      </c>
      <c r="G6556" t="s">
        <v>1722</v>
      </c>
      <c r="H6556" t="s">
        <v>282</v>
      </c>
      <c r="I6556" t="s">
        <v>226</v>
      </c>
    </row>
    <row r="6557" spans="1:9" x14ac:dyDescent="0.35">
      <c r="A6557" t="s">
        <v>227</v>
      </c>
      <c r="B6557" t="s">
        <v>343</v>
      </c>
      <c r="C6557" s="2">
        <v>0.13100000000000001</v>
      </c>
      <c r="D6557" s="2">
        <v>0.64810000000000001</v>
      </c>
      <c r="E6557" s="2">
        <v>0.19450000000000001</v>
      </c>
      <c r="F6557" s="2">
        <v>1.2800000000000001E-2</v>
      </c>
      <c r="G6557" s="2">
        <v>1.29E-2</v>
      </c>
      <c r="H6557" s="2">
        <v>6.9999999999999999E-4</v>
      </c>
      <c r="I6557">
        <v>355</v>
      </c>
    </row>
    <row r="6558" spans="1:9" x14ac:dyDescent="0.35">
      <c r="A6558" t="s">
        <v>227</v>
      </c>
      <c r="B6558" t="s">
        <v>344</v>
      </c>
      <c r="C6558" s="2">
        <v>0.89649999999999996</v>
      </c>
      <c r="D6558" s="2">
        <v>7.4700000000000003E-2</v>
      </c>
      <c r="E6558" s="2">
        <v>2.5399999999999999E-2</v>
      </c>
      <c r="F6558" s="2">
        <v>3.3E-3</v>
      </c>
      <c r="G6558" s="2">
        <v>1E-4</v>
      </c>
      <c r="H6558" s="2">
        <v>1E-4</v>
      </c>
      <c r="I6558">
        <v>2395</v>
      </c>
    </row>
    <row r="6559" spans="1:9" x14ac:dyDescent="0.35">
      <c r="A6559" t="s">
        <v>228</v>
      </c>
      <c r="B6559" t="s">
        <v>228</v>
      </c>
      <c r="C6559" s="2">
        <v>0.78700000000000003</v>
      </c>
      <c r="D6559" s="2">
        <v>0.15670000000000001</v>
      </c>
      <c r="E6559" s="2">
        <v>4.9500000000000002E-2</v>
      </c>
      <c r="F6559" s="2">
        <v>4.5999999999999999E-3</v>
      </c>
      <c r="G6559" s="2">
        <v>1.9E-3</v>
      </c>
      <c r="H6559" s="2">
        <v>2.0000000000000001E-4</v>
      </c>
      <c r="I6559">
        <v>2750</v>
      </c>
    </row>
    <row r="6561" spans="1:9" x14ac:dyDescent="0.35">
      <c r="A6561" s="1" t="s">
        <v>1732</v>
      </c>
    </row>
    <row r="6562" spans="1:9" x14ac:dyDescent="0.35">
      <c r="A6562" t="s">
        <v>219</v>
      </c>
      <c r="B6562" t="s">
        <v>301</v>
      </c>
      <c r="C6562" t="s">
        <v>1719</v>
      </c>
      <c r="D6562" t="s">
        <v>1720</v>
      </c>
      <c r="E6562" t="s">
        <v>1721</v>
      </c>
      <c r="F6562" t="s">
        <v>277</v>
      </c>
      <c r="G6562" t="s">
        <v>1722</v>
      </c>
      <c r="H6562" t="s">
        <v>282</v>
      </c>
      <c r="I6562" t="s">
        <v>226</v>
      </c>
    </row>
    <row r="6563" spans="1:9" x14ac:dyDescent="0.35">
      <c r="A6563" t="s">
        <v>227</v>
      </c>
      <c r="B6563" t="s">
        <v>346</v>
      </c>
      <c r="C6563" s="2">
        <v>0.78300000000000003</v>
      </c>
      <c r="D6563" s="2">
        <v>0.1623</v>
      </c>
      <c r="E6563" s="2">
        <v>4.7899999999999998E-2</v>
      </c>
      <c r="F6563" s="2">
        <v>4.7000000000000002E-3</v>
      </c>
      <c r="G6563" s="2">
        <v>2.0999999999999999E-3</v>
      </c>
      <c r="I6563">
        <v>1426</v>
      </c>
    </row>
    <row r="6564" spans="1:9" x14ac:dyDescent="0.35">
      <c r="A6564" t="s">
        <v>227</v>
      </c>
      <c r="B6564" t="s">
        <v>347</v>
      </c>
      <c r="C6564" s="2">
        <v>0.82350000000000001</v>
      </c>
      <c r="D6564" s="2">
        <v>7.9299999999999995E-2</v>
      </c>
      <c r="E6564" s="2">
        <v>8.5199999999999998E-2</v>
      </c>
      <c r="F6564" s="2">
        <v>3.3999999999999998E-3</v>
      </c>
      <c r="G6564" s="2">
        <v>3.7000000000000002E-3</v>
      </c>
      <c r="H6564" s="2">
        <v>4.8999999999999998E-3</v>
      </c>
      <c r="I6564">
        <v>575</v>
      </c>
    </row>
    <row r="6565" spans="1:9" x14ac:dyDescent="0.35">
      <c r="A6565" t="s">
        <v>227</v>
      </c>
      <c r="B6565" t="s">
        <v>348</v>
      </c>
      <c r="C6565" s="2">
        <v>0.80830000000000002</v>
      </c>
      <c r="D6565" s="2">
        <v>0.13700000000000001</v>
      </c>
      <c r="E6565" s="2">
        <v>5.0500000000000003E-2</v>
      </c>
      <c r="F6565" s="2">
        <v>4.1999999999999997E-3</v>
      </c>
      <c r="I6565">
        <v>749</v>
      </c>
    </row>
    <row r="6566" spans="1:9" x14ac:dyDescent="0.35">
      <c r="A6566" t="s">
        <v>228</v>
      </c>
      <c r="B6566" t="s">
        <v>228</v>
      </c>
      <c r="C6566" s="2">
        <v>0.78700000000000003</v>
      </c>
      <c r="D6566" s="2">
        <v>0.15670000000000001</v>
      </c>
      <c r="E6566" s="2">
        <v>4.9500000000000002E-2</v>
      </c>
      <c r="F6566" s="2">
        <v>4.5999999999999999E-3</v>
      </c>
      <c r="G6566" s="2">
        <v>1.9E-3</v>
      </c>
      <c r="H6566" s="2">
        <v>2.0000000000000001E-4</v>
      </c>
      <c r="I6566">
        <v>2750</v>
      </c>
    </row>
    <row r="6568" spans="1:9" x14ac:dyDescent="0.35">
      <c r="A6568" s="1" t="s">
        <v>1733</v>
      </c>
    </row>
    <row r="6569" spans="1:9" x14ac:dyDescent="0.35">
      <c r="A6569" t="s">
        <v>219</v>
      </c>
      <c r="B6569" t="s">
        <v>301</v>
      </c>
      <c r="C6569" t="s">
        <v>1719</v>
      </c>
      <c r="D6569" t="s">
        <v>1720</v>
      </c>
      <c r="E6569" t="s">
        <v>1721</v>
      </c>
      <c r="F6569" t="s">
        <v>277</v>
      </c>
      <c r="G6569" t="s">
        <v>1722</v>
      </c>
      <c r="H6569" t="s">
        <v>282</v>
      </c>
      <c r="I6569" t="s">
        <v>226</v>
      </c>
    </row>
    <row r="6570" spans="1:9" x14ac:dyDescent="0.35">
      <c r="A6570" t="s">
        <v>227</v>
      </c>
      <c r="B6570" t="s">
        <v>251</v>
      </c>
      <c r="C6570" s="2">
        <v>0.78180000000000005</v>
      </c>
      <c r="D6570" s="2">
        <v>0.15820000000000001</v>
      </c>
      <c r="E6570" s="2">
        <v>5.11E-2</v>
      </c>
      <c r="F6570" s="2">
        <v>6.1000000000000004E-3</v>
      </c>
      <c r="G6570" s="2">
        <v>2.5999999999999999E-3</v>
      </c>
      <c r="H6570" s="2">
        <v>2.9999999999999997E-4</v>
      </c>
      <c r="I6570">
        <v>1984</v>
      </c>
    </row>
    <row r="6571" spans="1:9" x14ac:dyDescent="0.35">
      <c r="A6571" t="s">
        <v>227</v>
      </c>
      <c r="B6571" t="s">
        <v>252</v>
      </c>
      <c r="C6571" s="2">
        <v>0.81120000000000003</v>
      </c>
      <c r="D6571" s="2">
        <v>0.14030000000000001</v>
      </c>
      <c r="E6571" s="2">
        <v>4.7800000000000002E-2</v>
      </c>
      <c r="F6571" s="2">
        <v>2.9999999999999997E-4</v>
      </c>
      <c r="G6571" s="2">
        <v>2.9999999999999997E-4</v>
      </c>
      <c r="I6571">
        <v>611</v>
      </c>
    </row>
    <row r="6572" spans="1:9" x14ac:dyDescent="0.35">
      <c r="A6572" t="s">
        <v>227</v>
      </c>
      <c r="B6572" t="s">
        <v>253</v>
      </c>
      <c r="C6572" s="2">
        <v>0.75570000000000004</v>
      </c>
      <c r="D6572" s="2">
        <v>0.2031</v>
      </c>
      <c r="E6572" s="2">
        <v>3.7900000000000003E-2</v>
      </c>
      <c r="F6572" s="2">
        <v>3.3E-3</v>
      </c>
      <c r="I6572">
        <v>146</v>
      </c>
    </row>
    <row r="6573" spans="1:9" x14ac:dyDescent="0.35">
      <c r="A6573" s="3" t="s">
        <v>227</v>
      </c>
      <c r="B6573" s="3" t="s">
        <v>254</v>
      </c>
      <c r="C6573" s="4">
        <v>0.59709999999999996</v>
      </c>
      <c r="D6573" s="4">
        <v>0.40289999999999998</v>
      </c>
      <c r="E6573" s="5"/>
      <c r="F6573" s="5"/>
      <c r="G6573" s="5"/>
      <c r="H6573" s="5"/>
      <c r="I6573" s="5" t="s">
        <v>515</v>
      </c>
    </row>
    <row r="6574" spans="1:9" x14ac:dyDescent="0.35">
      <c r="A6574" t="s">
        <v>228</v>
      </c>
      <c r="B6574" t="s">
        <v>228</v>
      </c>
      <c r="C6574" s="2">
        <v>0.78700000000000003</v>
      </c>
      <c r="D6574" s="2">
        <v>0.15670000000000001</v>
      </c>
      <c r="E6574" s="2">
        <v>4.9500000000000002E-2</v>
      </c>
      <c r="F6574" s="2">
        <v>4.5999999999999999E-3</v>
      </c>
      <c r="G6574" s="2">
        <v>1.9E-3</v>
      </c>
      <c r="H6574" s="2">
        <v>2.0000000000000001E-4</v>
      </c>
      <c r="I6574">
        <v>2750</v>
      </c>
    </row>
    <row r="6576" spans="1:9" x14ac:dyDescent="0.35">
      <c r="A6576" s="1" t="s">
        <v>1734</v>
      </c>
    </row>
    <row r="6577" spans="1:7" x14ac:dyDescent="0.35">
      <c r="A6577" t="s">
        <v>219</v>
      </c>
      <c r="B6577" t="s">
        <v>298</v>
      </c>
      <c r="C6577" t="s">
        <v>277</v>
      </c>
      <c r="D6577" t="s">
        <v>299</v>
      </c>
      <c r="E6577" t="s">
        <v>282</v>
      </c>
      <c r="F6577" t="s">
        <v>226</v>
      </c>
    </row>
    <row r="6578" spans="1:7" x14ac:dyDescent="0.35">
      <c r="A6578" t="s">
        <v>227</v>
      </c>
      <c r="B6578" s="2">
        <v>0.8851</v>
      </c>
      <c r="C6578" s="2">
        <v>7.0199999999999999E-2</v>
      </c>
      <c r="D6578" s="2">
        <v>4.4699999999999997E-2</v>
      </c>
      <c r="E6578" s="2">
        <v>0</v>
      </c>
      <c r="F6578">
        <v>2810</v>
      </c>
    </row>
    <row r="6579" spans="1:7" x14ac:dyDescent="0.35">
      <c r="A6579" t="s">
        <v>228</v>
      </c>
      <c r="B6579" s="2">
        <v>0.8851</v>
      </c>
      <c r="C6579" s="2">
        <v>7.0199999999999999E-2</v>
      </c>
      <c r="D6579" s="2">
        <v>4.4699999999999997E-2</v>
      </c>
      <c r="E6579" s="2">
        <v>0</v>
      </c>
      <c r="F6579">
        <v>2810</v>
      </c>
    </row>
    <row r="6581" spans="1:7" x14ac:dyDescent="0.35">
      <c r="A6581" s="1" t="s">
        <v>1735</v>
      </c>
    </row>
    <row r="6582" spans="1:7" x14ac:dyDescent="0.35">
      <c r="A6582" t="s">
        <v>219</v>
      </c>
      <c r="B6582" t="s">
        <v>301</v>
      </c>
      <c r="C6582" t="s">
        <v>298</v>
      </c>
      <c r="D6582" t="s">
        <v>277</v>
      </c>
      <c r="E6582" t="s">
        <v>299</v>
      </c>
      <c r="F6582" t="s">
        <v>282</v>
      </c>
      <c r="G6582" t="s">
        <v>226</v>
      </c>
    </row>
    <row r="6583" spans="1:7" x14ac:dyDescent="0.35">
      <c r="A6583" t="s">
        <v>227</v>
      </c>
      <c r="B6583" t="s">
        <v>238</v>
      </c>
      <c r="C6583" s="2">
        <v>0.84860000000000002</v>
      </c>
      <c r="D6583" s="2">
        <v>8.7099999999999997E-2</v>
      </c>
      <c r="E6583" s="2">
        <v>6.4299999999999996E-2</v>
      </c>
      <c r="G6583">
        <v>1003</v>
      </c>
    </row>
    <row r="6584" spans="1:7" x14ac:dyDescent="0.35">
      <c r="A6584" t="s">
        <v>227</v>
      </c>
      <c r="B6584" t="s">
        <v>237</v>
      </c>
      <c r="C6584" s="2">
        <v>0.90629999999999999</v>
      </c>
      <c r="D6584" s="2">
        <v>6.0400000000000002E-2</v>
      </c>
      <c r="E6584" s="2">
        <v>3.32E-2</v>
      </c>
      <c r="F6584" s="2">
        <v>0</v>
      </c>
      <c r="G6584">
        <v>1807</v>
      </c>
    </row>
    <row r="6585" spans="1:7" x14ac:dyDescent="0.35">
      <c r="A6585" t="s">
        <v>228</v>
      </c>
      <c r="B6585" t="s">
        <v>228</v>
      </c>
      <c r="C6585" s="2">
        <v>0.8851</v>
      </c>
      <c r="D6585" s="2">
        <v>7.0199999999999999E-2</v>
      </c>
      <c r="E6585" s="2">
        <v>4.4699999999999997E-2</v>
      </c>
      <c r="F6585" s="2">
        <v>0</v>
      </c>
      <c r="G6585">
        <v>2810</v>
      </c>
    </row>
    <row r="6587" spans="1:7" x14ac:dyDescent="0.35">
      <c r="A6587" s="1" t="s">
        <v>1736</v>
      </c>
    </row>
    <row r="6588" spans="1:7" x14ac:dyDescent="0.35">
      <c r="A6588" t="s">
        <v>219</v>
      </c>
      <c r="B6588" t="s">
        <v>301</v>
      </c>
      <c r="C6588" t="s">
        <v>298</v>
      </c>
      <c r="D6588" t="s">
        <v>277</v>
      </c>
      <c r="E6588" t="s">
        <v>299</v>
      </c>
      <c r="F6588" t="s">
        <v>282</v>
      </c>
      <c r="G6588" t="s">
        <v>226</v>
      </c>
    </row>
    <row r="6589" spans="1:7" x14ac:dyDescent="0.35">
      <c r="A6589" t="s">
        <v>227</v>
      </c>
      <c r="B6589" t="s">
        <v>235</v>
      </c>
      <c r="C6589" s="2">
        <v>0.90180000000000005</v>
      </c>
      <c r="D6589" s="2">
        <v>4.8500000000000001E-2</v>
      </c>
      <c r="E6589" s="2">
        <v>4.9500000000000002E-2</v>
      </c>
      <c r="F6589" s="2">
        <v>1E-4</v>
      </c>
      <c r="G6589">
        <v>992</v>
      </c>
    </row>
    <row r="6590" spans="1:7" x14ac:dyDescent="0.35">
      <c r="A6590" t="s">
        <v>227</v>
      </c>
      <c r="B6590" t="s">
        <v>234</v>
      </c>
      <c r="C6590" s="2">
        <v>0.87809999999999999</v>
      </c>
      <c r="D6590" s="2">
        <v>7.9299999999999995E-2</v>
      </c>
      <c r="E6590" s="2">
        <v>4.2599999999999999E-2</v>
      </c>
      <c r="G6590">
        <v>1818</v>
      </c>
    </row>
    <row r="6591" spans="1:7" x14ac:dyDescent="0.35">
      <c r="A6591" t="s">
        <v>228</v>
      </c>
      <c r="B6591" t="s">
        <v>228</v>
      </c>
      <c r="C6591" s="2">
        <v>0.8851</v>
      </c>
      <c r="D6591" s="2">
        <v>7.0199999999999999E-2</v>
      </c>
      <c r="E6591" s="2">
        <v>4.4699999999999997E-2</v>
      </c>
      <c r="F6591" s="2">
        <v>0</v>
      </c>
      <c r="G6591">
        <v>2810</v>
      </c>
    </row>
    <row r="6593" spans="1:7" x14ac:dyDescent="0.35">
      <c r="A6593" s="1" t="s">
        <v>1737</v>
      </c>
    </row>
    <row r="6594" spans="1:7" x14ac:dyDescent="0.35">
      <c r="A6594" t="s">
        <v>219</v>
      </c>
      <c r="B6594" t="s">
        <v>301</v>
      </c>
      <c r="C6594" t="s">
        <v>298</v>
      </c>
      <c r="D6594" t="s">
        <v>277</v>
      </c>
      <c r="E6594" t="s">
        <v>299</v>
      </c>
      <c r="F6594" t="s">
        <v>282</v>
      </c>
      <c r="G6594" t="s">
        <v>226</v>
      </c>
    </row>
    <row r="6595" spans="1:7" x14ac:dyDescent="0.35">
      <c r="A6595" t="s">
        <v>227</v>
      </c>
      <c r="B6595" t="s">
        <v>240</v>
      </c>
      <c r="C6595" s="2">
        <v>0.88629999999999998</v>
      </c>
      <c r="D6595" s="2">
        <v>6.0400000000000002E-2</v>
      </c>
      <c r="E6595" s="2">
        <v>5.33E-2</v>
      </c>
      <c r="G6595">
        <v>1754</v>
      </c>
    </row>
    <row r="6596" spans="1:7" x14ac:dyDescent="0.35">
      <c r="A6596" t="s">
        <v>227</v>
      </c>
      <c r="B6596" t="s">
        <v>241</v>
      </c>
      <c r="C6596" s="2">
        <v>0.88139999999999996</v>
      </c>
      <c r="D6596" s="2">
        <v>9.6299999999999997E-2</v>
      </c>
      <c r="E6596" s="2">
        <v>2.23E-2</v>
      </c>
      <c r="G6596">
        <v>890</v>
      </c>
    </row>
    <row r="6597" spans="1:7" x14ac:dyDescent="0.35">
      <c r="A6597" t="s">
        <v>227</v>
      </c>
      <c r="B6597" t="s">
        <v>242</v>
      </c>
      <c r="C6597" s="2">
        <v>0.8901</v>
      </c>
      <c r="D6597" s="2">
        <v>4.9000000000000002E-2</v>
      </c>
      <c r="E6597" s="2">
        <v>6.0499999999999998E-2</v>
      </c>
      <c r="F6597" s="2">
        <v>4.0000000000000002E-4</v>
      </c>
      <c r="G6597">
        <v>166</v>
      </c>
    </row>
    <row r="6598" spans="1:7" x14ac:dyDescent="0.35">
      <c r="A6598" t="s">
        <v>228</v>
      </c>
      <c r="B6598" t="s">
        <v>228</v>
      </c>
      <c r="C6598" s="2">
        <v>0.8851</v>
      </c>
      <c r="D6598" s="2">
        <v>7.0199999999999999E-2</v>
      </c>
      <c r="E6598" s="2">
        <v>4.4699999999999997E-2</v>
      </c>
      <c r="F6598" s="2">
        <v>0</v>
      </c>
      <c r="G6598">
        <v>2810</v>
      </c>
    </row>
    <row r="6600" spans="1:7" x14ac:dyDescent="0.35">
      <c r="A6600" s="1" t="s">
        <v>1738</v>
      </c>
    </row>
    <row r="6601" spans="1:7" x14ac:dyDescent="0.35">
      <c r="A6601" t="s">
        <v>219</v>
      </c>
      <c r="B6601" t="s">
        <v>301</v>
      </c>
      <c r="C6601" t="s">
        <v>298</v>
      </c>
      <c r="D6601" t="s">
        <v>277</v>
      </c>
      <c r="E6601" t="s">
        <v>299</v>
      </c>
      <c r="F6601" t="s">
        <v>282</v>
      </c>
      <c r="G6601" t="s">
        <v>226</v>
      </c>
    </row>
    <row r="6602" spans="1:7" x14ac:dyDescent="0.35">
      <c r="A6602" t="s">
        <v>227</v>
      </c>
      <c r="B6602" t="s">
        <v>334</v>
      </c>
      <c r="C6602" s="2">
        <v>0.84360000000000002</v>
      </c>
      <c r="D6602" s="2">
        <v>0.1007</v>
      </c>
      <c r="E6602" s="2">
        <v>5.5599999999999997E-2</v>
      </c>
      <c r="F6602" s="2">
        <v>1E-4</v>
      </c>
      <c r="G6602">
        <v>624</v>
      </c>
    </row>
    <row r="6603" spans="1:7" x14ac:dyDescent="0.35">
      <c r="A6603" t="s">
        <v>227</v>
      </c>
      <c r="B6603" t="s">
        <v>335</v>
      </c>
      <c r="C6603" s="2">
        <v>0.91769999999999996</v>
      </c>
      <c r="D6603" s="2">
        <v>4.2700000000000002E-2</v>
      </c>
      <c r="E6603" s="2">
        <v>3.9699999999999999E-2</v>
      </c>
      <c r="G6603">
        <v>628</v>
      </c>
    </row>
    <row r="6604" spans="1:7" x14ac:dyDescent="0.35">
      <c r="A6604" t="s">
        <v>227</v>
      </c>
      <c r="B6604" t="s">
        <v>336</v>
      </c>
      <c r="C6604" s="2">
        <v>0.87560000000000004</v>
      </c>
      <c r="D6604" s="2">
        <v>6.9800000000000001E-2</v>
      </c>
      <c r="E6604" s="2">
        <v>5.4600000000000003E-2</v>
      </c>
      <c r="G6604">
        <v>621</v>
      </c>
    </row>
    <row r="6605" spans="1:7" x14ac:dyDescent="0.35">
      <c r="A6605" t="s">
        <v>227</v>
      </c>
      <c r="B6605" t="s">
        <v>337</v>
      </c>
      <c r="C6605" s="2">
        <v>0.9304</v>
      </c>
      <c r="D6605" s="2">
        <v>4.4400000000000002E-2</v>
      </c>
      <c r="E6605" s="2">
        <v>2.5100000000000001E-2</v>
      </c>
      <c r="G6605">
        <v>601</v>
      </c>
    </row>
    <row r="6606" spans="1:7" x14ac:dyDescent="0.35">
      <c r="A6606" t="s">
        <v>228</v>
      </c>
      <c r="B6606" t="s">
        <v>228</v>
      </c>
      <c r="C6606" s="2">
        <v>0.8851</v>
      </c>
      <c r="D6606" s="2">
        <v>7.0199999999999999E-2</v>
      </c>
      <c r="E6606" s="2">
        <v>4.4699999999999997E-2</v>
      </c>
      <c r="F6606" s="2">
        <v>0</v>
      </c>
      <c r="G6606">
        <v>2474</v>
      </c>
    </row>
    <row r="6608" spans="1:7" x14ac:dyDescent="0.35">
      <c r="A6608" s="1" t="s">
        <v>1739</v>
      </c>
    </row>
    <row r="6609" spans="1:7" x14ac:dyDescent="0.35">
      <c r="A6609" t="s">
        <v>219</v>
      </c>
      <c r="B6609" t="s">
        <v>301</v>
      </c>
      <c r="C6609" t="s">
        <v>298</v>
      </c>
      <c r="D6609" t="s">
        <v>277</v>
      </c>
      <c r="E6609" t="s">
        <v>299</v>
      </c>
      <c r="F6609" t="s">
        <v>282</v>
      </c>
      <c r="G6609" t="s">
        <v>226</v>
      </c>
    </row>
    <row r="6610" spans="1:7" x14ac:dyDescent="0.35">
      <c r="A6610" t="s">
        <v>227</v>
      </c>
      <c r="B6610" t="s">
        <v>263</v>
      </c>
      <c r="C6610" s="2">
        <v>0.88959999999999995</v>
      </c>
      <c r="D6610" s="2">
        <v>5.9299999999999999E-2</v>
      </c>
      <c r="E6610" s="2">
        <v>5.11E-2</v>
      </c>
      <c r="G6610">
        <v>589</v>
      </c>
    </row>
    <row r="6611" spans="1:7" x14ac:dyDescent="0.35">
      <c r="A6611" t="s">
        <v>227</v>
      </c>
      <c r="B6611" t="s">
        <v>262</v>
      </c>
      <c r="C6611" s="2">
        <v>0.88460000000000005</v>
      </c>
      <c r="D6611" s="2">
        <v>8.3199999999999996E-2</v>
      </c>
      <c r="E6611" s="2">
        <v>3.2199999999999999E-2</v>
      </c>
      <c r="G6611">
        <v>1158</v>
      </c>
    </row>
    <row r="6612" spans="1:7" x14ac:dyDescent="0.35">
      <c r="A6612" t="s">
        <v>227</v>
      </c>
      <c r="B6612" t="s">
        <v>261</v>
      </c>
      <c r="C6612" s="2">
        <v>0.88290000000000002</v>
      </c>
      <c r="D6612" s="2">
        <v>6.4600000000000005E-2</v>
      </c>
      <c r="E6612" s="2">
        <v>5.2400000000000002E-2</v>
      </c>
      <c r="F6612" s="2">
        <v>1E-4</v>
      </c>
      <c r="G6612">
        <v>1061</v>
      </c>
    </row>
    <row r="6613" spans="1:7" x14ac:dyDescent="0.35">
      <c r="A6613" s="3" t="s">
        <v>227</v>
      </c>
      <c r="B6613" s="3" t="s">
        <v>232</v>
      </c>
      <c r="C6613" s="4">
        <v>1</v>
      </c>
      <c r="D6613" s="5"/>
      <c r="E6613" s="5"/>
      <c r="F6613" s="5"/>
      <c r="G6613" s="5" t="s">
        <v>434</v>
      </c>
    </row>
    <row r="6614" spans="1:7" x14ac:dyDescent="0.35">
      <c r="A6614" t="s">
        <v>228</v>
      </c>
      <c r="B6614" t="s">
        <v>228</v>
      </c>
      <c r="C6614" s="2">
        <v>0.8851</v>
      </c>
      <c r="D6614" s="2">
        <v>7.0199999999999999E-2</v>
      </c>
      <c r="E6614" s="2">
        <v>4.4699999999999997E-2</v>
      </c>
      <c r="F6614" s="2">
        <v>0</v>
      </c>
      <c r="G6614">
        <v>2810</v>
      </c>
    </row>
    <row r="6616" spans="1:7" x14ac:dyDescent="0.35">
      <c r="A6616" s="1" t="s">
        <v>1740</v>
      </c>
    </row>
    <row r="6617" spans="1:7" x14ac:dyDescent="0.35">
      <c r="A6617" t="s">
        <v>219</v>
      </c>
      <c r="B6617" t="s">
        <v>301</v>
      </c>
      <c r="C6617" t="s">
        <v>298</v>
      </c>
      <c r="D6617" t="s">
        <v>277</v>
      </c>
      <c r="E6617" t="s">
        <v>299</v>
      </c>
      <c r="F6617" t="s">
        <v>282</v>
      </c>
      <c r="G6617" t="s">
        <v>226</v>
      </c>
    </row>
    <row r="6618" spans="1:7" x14ac:dyDescent="0.35">
      <c r="A6618" t="s">
        <v>227</v>
      </c>
      <c r="B6618" t="s">
        <v>248</v>
      </c>
      <c r="C6618" s="2">
        <v>0.87990000000000002</v>
      </c>
      <c r="D6618" s="2">
        <v>8.9899999999999994E-2</v>
      </c>
      <c r="E6618" s="2">
        <v>3.0200000000000001E-2</v>
      </c>
      <c r="G6618">
        <v>795</v>
      </c>
    </row>
    <row r="6619" spans="1:7" x14ac:dyDescent="0.35">
      <c r="A6619" t="s">
        <v>227</v>
      </c>
      <c r="B6619" t="s">
        <v>249</v>
      </c>
      <c r="C6619" s="2">
        <v>0.86329999999999996</v>
      </c>
      <c r="D6619" s="2">
        <v>5.9799999999999999E-2</v>
      </c>
      <c r="E6619" s="2">
        <v>7.6700000000000004E-2</v>
      </c>
      <c r="F6619" s="2">
        <v>1E-4</v>
      </c>
      <c r="G6619">
        <v>541</v>
      </c>
    </row>
    <row r="6620" spans="1:7" x14ac:dyDescent="0.35">
      <c r="A6620" t="s">
        <v>227</v>
      </c>
      <c r="B6620" t="s">
        <v>247</v>
      </c>
      <c r="C6620" s="2">
        <v>0.89570000000000005</v>
      </c>
      <c r="D6620" s="2">
        <v>6.3899999999999998E-2</v>
      </c>
      <c r="E6620" s="2">
        <v>4.0399999999999998E-2</v>
      </c>
      <c r="G6620">
        <v>1474</v>
      </c>
    </row>
    <row r="6621" spans="1:7" x14ac:dyDescent="0.35">
      <c r="A6621" t="s">
        <v>228</v>
      </c>
      <c r="B6621" t="s">
        <v>228</v>
      </c>
      <c r="C6621" s="2">
        <v>0.8851</v>
      </c>
      <c r="D6621" s="2">
        <v>7.0199999999999999E-2</v>
      </c>
      <c r="E6621" s="2">
        <v>4.4699999999999997E-2</v>
      </c>
      <c r="F6621" s="2">
        <v>0</v>
      </c>
      <c r="G6621">
        <v>2810</v>
      </c>
    </row>
    <row r="6623" spans="1:7" x14ac:dyDescent="0.35">
      <c r="A6623" s="1" t="s">
        <v>1741</v>
      </c>
    </row>
    <row r="6624" spans="1:7" x14ac:dyDescent="0.35">
      <c r="A6624" t="s">
        <v>219</v>
      </c>
      <c r="B6624" t="s">
        <v>301</v>
      </c>
      <c r="C6624" t="s">
        <v>298</v>
      </c>
      <c r="D6624" t="s">
        <v>277</v>
      </c>
      <c r="E6624" t="s">
        <v>299</v>
      </c>
      <c r="F6624" t="s">
        <v>282</v>
      </c>
      <c r="G6624" t="s">
        <v>226</v>
      </c>
    </row>
    <row r="6625" spans="1:7" x14ac:dyDescent="0.35">
      <c r="A6625" t="s">
        <v>227</v>
      </c>
      <c r="B6625" t="s">
        <v>245</v>
      </c>
      <c r="C6625" s="2">
        <v>0.90100000000000002</v>
      </c>
      <c r="D6625" s="2">
        <v>5.6500000000000002E-2</v>
      </c>
      <c r="E6625" s="2">
        <v>4.2500000000000003E-2</v>
      </c>
      <c r="F6625" s="2">
        <v>1E-4</v>
      </c>
      <c r="G6625">
        <v>783</v>
      </c>
    </row>
    <row r="6626" spans="1:7" x14ac:dyDescent="0.35">
      <c r="A6626" t="s">
        <v>227</v>
      </c>
      <c r="B6626" t="s">
        <v>244</v>
      </c>
      <c r="C6626" s="2">
        <v>0.87880000000000003</v>
      </c>
      <c r="D6626" s="2">
        <v>7.5700000000000003E-2</v>
      </c>
      <c r="E6626" s="2">
        <v>4.5499999999999999E-2</v>
      </c>
      <c r="G6626">
        <v>2027</v>
      </c>
    </row>
    <row r="6627" spans="1:7" x14ac:dyDescent="0.35">
      <c r="A6627" t="s">
        <v>228</v>
      </c>
      <c r="B6627" t="s">
        <v>228</v>
      </c>
      <c r="C6627" s="2">
        <v>0.8851</v>
      </c>
      <c r="D6627" s="2">
        <v>7.0199999999999999E-2</v>
      </c>
      <c r="E6627" s="2">
        <v>4.4699999999999997E-2</v>
      </c>
      <c r="F6627" s="2">
        <v>0</v>
      </c>
      <c r="G6627">
        <v>2810</v>
      </c>
    </row>
    <row r="6629" spans="1:7" x14ac:dyDescent="0.35">
      <c r="A6629" s="1" t="s">
        <v>1742</v>
      </c>
    </row>
    <row r="6630" spans="1:7" x14ac:dyDescent="0.35">
      <c r="A6630" t="s">
        <v>219</v>
      </c>
      <c r="B6630" t="s">
        <v>301</v>
      </c>
      <c r="C6630" t="s">
        <v>298</v>
      </c>
      <c r="D6630" t="s">
        <v>277</v>
      </c>
      <c r="E6630" t="s">
        <v>299</v>
      </c>
      <c r="F6630" t="s">
        <v>282</v>
      </c>
      <c r="G6630" t="s">
        <v>226</v>
      </c>
    </row>
    <row r="6631" spans="1:7" x14ac:dyDescent="0.35">
      <c r="A6631" t="s">
        <v>227</v>
      </c>
      <c r="B6631" t="s">
        <v>259</v>
      </c>
      <c r="C6631" s="2">
        <v>0.64649999999999996</v>
      </c>
      <c r="D6631" s="2">
        <v>0.26769999999999999</v>
      </c>
      <c r="E6631" s="2">
        <v>8.5900000000000004E-2</v>
      </c>
      <c r="G6631">
        <v>69</v>
      </c>
    </row>
    <row r="6632" spans="1:7" x14ac:dyDescent="0.35">
      <c r="A6632" t="s">
        <v>227</v>
      </c>
      <c r="B6632" t="s">
        <v>257</v>
      </c>
      <c r="C6632" s="2">
        <v>0.74929999999999997</v>
      </c>
      <c r="D6632" s="2">
        <v>0.1239</v>
      </c>
      <c r="E6632" s="2">
        <v>0.1268</v>
      </c>
      <c r="G6632">
        <v>405</v>
      </c>
    </row>
    <row r="6633" spans="1:7" x14ac:dyDescent="0.35">
      <c r="A6633" t="s">
        <v>227</v>
      </c>
      <c r="B6633" t="s">
        <v>256</v>
      </c>
      <c r="C6633" s="2">
        <v>0.91700000000000004</v>
      </c>
      <c r="D6633" s="2">
        <v>5.74E-2</v>
      </c>
      <c r="E6633" s="2">
        <v>2.5600000000000001E-2</v>
      </c>
      <c r="F6633" s="2">
        <v>0</v>
      </c>
      <c r="G6633">
        <v>1803</v>
      </c>
    </row>
    <row r="6634" spans="1:7" x14ac:dyDescent="0.35">
      <c r="A6634" s="3" t="s">
        <v>227</v>
      </c>
      <c r="B6634" s="3" t="s">
        <v>232</v>
      </c>
      <c r="C6634" s="4">
        <v>0.61870000000000003</v>
      </c>
      <c r="D6634" s="4">
        <v>0.38129999999999997</v>
      </c>
      <c r="E6634" s="5"/>
      <c r="F6634" s="5"/>
      <c r="G6634" s="5" t="s">
        <v>307</v>
      </c>
    </row>
    <row r="6635" spans="1:7" x14ac:dyDescent="0.35">
      <c r="A6635" t="s">
        <v>227</v>
      </c>
      <c r="B6635" t="s">
        <v>258</v>
      </c>
      <c r="C6635" s="2">
        <v>0.92810000000000004</v>
      </c>
      <c r="D6635" s="2">
        <v>3.9600000000000003E-2</v>
      </c>
      <c r="E6635" s="2">
        <v>3.2300000000000002E-2</v>
      </c>
      <c r="G6635">
        <v>522</v>
      </c>
    </row>
    <row r="6636" spans="1:7" x14ac:dyDescent="0.35">
      <c r="A6636" t="s">
        <v>228</v>
      </c>
      <c r="B6636" t="s">
        <v>228</v>
      </c>
      <c r="C6636" s="2">
        <v>0.8851</v>
      </c>
      <c r="D6636" s="2">
        <v>7.0199999999999999E-2</v>
      </c>
      <c r="E6636" s="2">
        <v>4.4699999999999997E-2</v>
      </c>
      <c r="F6636" s="2">
        <v>0</v>
      </c>
      <c r="G6636">
        <v>2810</v>
      </c>
    </row>
    <row r="6638" spans="1:7" x14ac:dyDescent="0.35">
      <c r="A6638" s="1" t="s">
        <v>1743</v>
      </c>
    </row>
    <row r="6639" spans="1:7" x14ac:dyDescent="0.35">
      <c r="A6639" t="s">
        <v>219</v>
      </c>
      <c r="B6639" t="s">
        <v>301</v>
      </c>
      <c r="C6639" t="s">
        <v>298</v>
      </c>
      <c r="D6639" t="s">
        <v>277</v>
      </c>
      <c r="E6639" t="s">
        <v>299</v>
      </c>
      <c r="F6639" t="s">
        <v>282</v>
      </c>
      <c r="G6639" t="s">
        <v>226</v>
      </c>
    </row>
    <row r="6640" spans="1:7" x14ac:dyDescent="0.35">
      <c r="A6640" t="s">
        <v>227</v>
      </c>
      <c r="B6640" t="s">
        <v>343</v>
      </c>
      <c r="C6640" s="2">
        <v>0.74929999999999997</v>
      </c>
      <c r="D6640" s="2">
        <v>0.1239</v>
      </c>
      <c r="E6640" s="2">
        <v>0.1268</v>
      </c>
      <c r="G6640">
        <v>405</v>
      </c>
    </row>
    <row r="6641" spans="1:7" x14ac:dyDescent="0.35">
      <c r="A6641" t="s">
        <v>227</v>
      </c>
      <c r="B6641" t="s">
        <v>344</v>
      </c>
      <c r="C6641" s="2">
        <v>0.91269999999999996</v>
      </c>
      <c r="D6641" s="2">
        <v>5.9299999999999999E-2</v>
      </c>
      <c r="E6641" s="2">
        <v>2.7900000000000001E-2</v>
      </c>
      <c r="F6641" s="2">
        <v>0</v>
      </c>
      <c r="G6641">
        <v>2405</v>
      </c>
    </row>
    <row r="6642" spans="1:7" x14ac:dyDescent="0.35">
      <c r="A6642" t="s">
        <v>228</v>
      </c>
      <c r="B6642" t="s">
        <v>228</v>
      </c>
      <c r="C6642" s="2">
        <v>0.8851</v>
      </c>
      <c r="D6642" s="2">
        <v>7.0199999999999999E-2</v>
      </c>
      <c r="E6642" s="2">
        <v>4.4699999999999997E-2</v>
      </c>
      <c r="F6642" s="2">
        <v>0</v>
      </c>
      <c r="G6642">
        <v>2810</v>
      </c>
    </row>
    <row r="6644" spans="1:7" x14ac:dyDescent="0.35">
      <c r="A6644" s="1" t="s">
        <v>1744</v>
      </c>
    </row>
    <row r="6645" spans="1:7" x14ac:dyDescent="0.35">
      <c r="A6645" t="s">
        <v>219</v>
      </c>
      <c r="B6645" t="s">
        <v>301</v>
      </c>
      <c r="C6645" t="s">
        <v>298</v>
      </c>
      <c r="D6645" t="s">
        <v>277</v>
      </c>
      <c r="E6645" t="s">
        <v>299</v>
      </c>
      <c r="F6645" t="s">
        <v>282</v>
      </c>
      <c r="G6645" t="s">
        <v>226</v>
      </c>
    </row>
    <row r="6646" spans="1:7" x14ac:dyDescent="0.35">
      <c r="A6646" t="s">
        <v>227</v>
      </c>
      <c r="B6646" t="s">
        <v>346</v>
      </c>
      <c r="C6646" s="2">
        <v>0.89019999999999999</v>
      </c>
      <c r="D6646" s="2">
        <v>6.5500000000000003E-2</v>
      </c>
      <c r="E6646" s="2">
        <v>4.4200000000000003E-2</v>
      </c>
      <c r="G6646">
        <v>1461</v>
      </c>
    </row>
    <row r="6647" spans="1:7" x14ac:dyDescent="0.35">
      <c r="A6647" t="s">
        <v>227</v>
      </c>
      <c r="B6647" t="s">
        <v>347</v>
      </c>
      <c r="C6647" s="2">
        <v>0.81679999999999997</v>
      </c>
      <c r="D6647" s="2">
        <v>0.12180000000000001</v>
      </c>
      <c r="E6647" s="2">
        <v>6.1400000000000003E-2</v>
      </c>
      <c r="G6647">
        <v>584</v>
      </c>
    </row>
    <row r="6648" spans="1:7" x14ac:dyDescent="0.35">
      <c r="A6648" t="s">
        <v>227</v>
      </c>
      <c r="B6648" t="s">
        <v>348</v>
      </c>
      <c r="C6648" s="2">
        <v>0.86450000000000005</v>
      </c>
      <c r="D6648" s="2">
        <v>9.2999999999999999E-2</v>
      </c>
      <c r="E6648" s="2">
        <v>4.2200000000000001E-2</v>
      </c>
      <c r="F6648" s="2">
        <v>2.9999999999999997E-4</v>
      </c>
      <c r="G6648">
        <v>765</v>
      </c>
    </row>
    <row r="6649" spans="1:7" x14ac:dyDescent="0.35">
      <c r="A6649" t="s">
        <v>228</v>
      </c>
      <c r="B6649" t="s">
        <v>228</v>
      </c>
      <c r="C6649" s="2">
        <v>0.8851</v>
      </c>
      <c r="D6649" s="2">
        <v>7.0199999999999999E-2</v>
      </c>
      <c r="E6649" s="2">
        <v>4.4699999999999997E-2</v>
      </c>
      <c r="F6649" s="2">
        <v>0</v>
      </c>
      <c r="G6649">
        <v>2810</v>
      </c>
    </row>
    <row r="6651" spans="1:7" x14ac:dyDescent="0.35">
      <c r="A6651" s="1" t="s">
        <v>1745</v>
      </c>
    </row>
    <row r="6652" spans="1:7" x14ac:dyDescent="0.35">
      <c r="A6652" t="s">
        <v>219</v>
      </c>
      <c r="B6652" t="s">
        <v>301</v>
      </c>
      <c r="C6652" t="s">
        <v>298</v>
      </c>
      <c r="D6652" t="s">
        <v>277</v>
      </c>
      <c r="E6652" t="s">
        <v>299</v>
      </c>
      <c r="F6652" t="s">
        <v>282</v>
      </c>
      <c r="G6652" t="s">
        <v>226</v>
      </c>
    </row>
    <row r="6653" spans="1:7" x14ac:dyDescent="0.35">
      <c r="A6653" t="s">
        <v>227</v>
      </c>
      <c r="B6653" t="s">
        <v>251</v>
      </c>
      <c r="C6653" s="2">
        <v>0.87880000000000003</v>
      </c>
      <c r="D6653" s="2">
        <v>7.5700000000000003E-2</v>
      </c>
      <c r="E6653" s="2">
        <v>4.5499999999999999E-2</v>
      </c>
      <c r="G6653">
        <v>2027</v>
      </c>
    </row>
    <row r="6654" spans="1:7" x14ac:dyDescent="0.35">
      <c r="A6654" t="s">
        <v>227</v>
      </c>
      <c r="B6654" t="s">
        <v>252</v>
      </c>
      <c r="C6654" s="2">
        <v>0.90810000000000002</v>
      </c>
      <c r="D6654" s="2">
        <v>5.0599999999999999E-2</v>
      </c>
      <c r="E6654" s="2">
        <v>4.1200000000000001E-2</v>
      </c>
      <c r="F6654" s="2">
        <v>1E-4</v>
      </c>
      <c r="G6654">
        <v>621</v>
      </c>
    </row>
    <row r="6655" spans="1:7" x14ac:dyDescent="0.35">
      <c r="A6655" t="s">
        <v>227</v>
      </c>
      <c r="B6655" t="s">
        <v>253</v>
      </c>
      <c r="C6655" s="2">
        <v>0.86680000000000001</v>
      </c>
      <c r="D6655" s="2">
        <v>8.3599999999999994E-2</v>
      </c>
      <c r="E6655" s="2">
        <v>4.9700000000000001E-2</v>
      </c>
      <c r="G6655">
        <v>153</v>
      </c>
    </row>
    <row r="6656" spans="1:7" x14ac:dyDescent="0.35">
      <c r="A6656" s="3" t="s">
        <v>227</v>
      </c>
      <c r="B6656" s="3" t="s">
        <v>254</v>
      </c>
      <c r="C6656" s="4">
        <v>0.98570000000000002</v>
      </c>
      <c r="D6656" s="4">
        <v>1.43E-2</v>
      </c>
      <c r="E6656" s="5"/>
      <c r="F6656" s="5"/>
      <c r="G6656" s="5" t="s">
        <v>515</v>
      </c>
    </row>
    <row r="6657" spans="1:9" x14ac:dyDescent="0.35">
      <c r="A6657" t="s">
        <v>228</v>
      </c>
      <c r="B6657" t="s">
        <v>228</v>
      </c>
      <c r="C6657" s="2">
        <v>0.8851</v>
      </c>
      <c r="D6657" s="2">
        <v>7.0199999999999999E-2</v>
      </c>
      <c r="E6657" s="2">
        <v>4.4699999999999997E-2</v>
      </c>
      <c r="F6657" s="2">
        <v>0</v>
      </c>
      <c r="G6657">
        <v>2810</v>
      </c>
    </row>
    <row r="6659" spans="1:9" x14ac:dyDescent="0.35">
      <c r="A6659" s="1" t="s">
        <v>1746</v>
      </c>
    </row>
    <row r="6660" spans="1:9" x14ac:dyDescent="0.35">
      <c r="A6660" t="s">
        <v>219</v>
      </c>
      <c r="B6660" t="s">
        <v>298</v>
      </c>
      <c r="C6660" t="s">
        <v>1747</v>
      </c>
      <c r="D6660" t="s">
        <v>1748</v>
      </c>
      <c r="E6660" t="s">
        <v>277</v>
      </c>
      <c r="F6660" t="s">
        <v>1749</v>
      </c>
      <c r="G6660" t="s">
        <v>282</v>
      </c>
      <c r="H6660" t="s">
        <v>226</v>
      </c>
    </row>
    <row r="6661" spans="1:9" x14ac:dyDescent="0.35">
      <c r="A6661" t="s">
        <v>227</v>
      </c>
      <c r="B6661" s="2">
        <v>0.51</v>
      </c>
      <c r="C6661" s="2">
        <v>0.29759999999999998</v>
      </c>
      <c r="D6661" s="2">
        <v>0.15090000000000001</v>
      </c>
      <c r="E6661" s="2">
        <v>2.5100000000000001E-2</v>
      </c>
      <c r="F6661" s="2">
        <v>1.5800000000000002E-2</v>
      </c>
      <c r="G6661" s="2">
        <v>5.9999999999999995E-4</v>
      </c>
      <c r="H6661">
        <v>128</v>
      </c>
    </row>
    <row r="6662" spans="1:9" x14ac:dyDescent="0.35">
      <c r="A6662" t="s">
        <v>228</v>
      </c>
      <c r="B6662" s="2">
        <v>0.51</v>
      </c>
      <c r="C6662" s="2">
        <v>0.29759999999999998</v>
      </c>
      <c r="D6662" s="2">
        <v>0.15090000000000001</v>
      </c>
      <c r="E6662" s="2">
        <v>2.5100000000000001E-2</v>
      </c>
      <c r="F6662" s="2">
        <v>1.5800000000000002E-2</v>
      </c>
      <c r="G6662" s="2">
        <v>5.9999999999999995E-4</v>
      </c>
      <c r="H6662">
        <v>128</v>
      </c>
    </row>
    <row r="6664" spans="1:9" x14ac:dyDescent="0.35">
      <c r="A6664" s="1" t="s">
        <v>1750</v>
      </c>
    </row>
    <row r="6665" spans="1:9" x14ac:dyDescent="0.35">
      <c r="A6665" t="s">
        <v>219</v>
      </c>
      <c r="B6665" t="s">
        <v>301</v>
      </c>
      <c r="C6665" t="s">
        <v>298</v>
      </c>
      <c r="D6665" t="s">
        <v>1747</v>
      </c>
      <c r="E6665" t="s">
        <v>1748</v>
      </c>
      <c r="F6665" t="s">
        <v>277</v>
      </c>
      <c r="G6665" t="s">
        <v>1749</v>
      </c>
      <c r="H6665" t="s">
        <v>282</v>
      </c>
      <c r="I6665" t="s">
        <v>226</v>
      </c>
    </row>
    <row r="6666" spans="1:9" x14ac:dyDescent="0.35">
      <c r="A6666" t="s">
        <v>227</v>
      </c>
      <c r="B6666" t="s">
        <v>238</v>
      </c>
      <c r="C6666" s="2">
        <v>0.43440000000000001</v>
      </c>
      <c r="D6666" s="2">
        <v>0.33860000000000001</v>
      </c>
      <c r="E6666" s="2">
        <v>0.1716</v>
      </c>
      <c r="F6666" s="2">
        <v>4.1799999999999997E-2</v>
      </c>
      <c r="G6666" s="2">
        <v>1.3599999999999999E-2</v>
      </c>
      <c r="I6666">
        <v>65</v>
      </c>
    </row>
    <row r="6667" spans="1:9" x14ac:dyDescent="0.35">
      <c r="A6667" t="s">
        <v>227</v>
      </c>
      <c r="B6667" t="s">
        <v>237</v>
      </c>
      <c r="C6667" s="2">
        <v>0.59499999999999997</v>
      </c>
      <c r="D6667" s="2">
        <v>0.2515</v>
      </c>
      <c r="E6667" s="2">
        <v>0.12759999999999999</v>
      </c>
      <c r="F6667" s="2">
        <v>6.4000000000000003E-3</v>
      </c>
      <c r="G6667" s="2">
        <v>1.8100000000000002E-2</v>
      </c>
      <c r="H6667" s="2">
        <v>1.2999999999999999E-3</v>
      </c>
      <c r="I6667">
        <v>63</v>
      </c>
    </row>
    <row r="6668" spans="1:9" x14ac:dyDescent="0.35">
      <c r="A6668" t="s">
        <v>228</v>
      </c>
      <c r="B6668" t="s">
        <v>228</v>
      </c>
      <c r="C6668" s="2">
        <v>0.51</v>
      </c>
      <c r="D6668" s="2">
        <v>0.29759999999999998</v>
      </c>
      <c r="E6668" s="2">
        <v>0.15090000000000001</v>
      </c>
      <c r="F6668" s="2">
        <v>2.5100000000000001E-2</v>
      </c>
      <c r="G6668" s="2">
        <v>1.5800000000000002E-2</v>
      </c>
      <c r="H6668" s="2">
        <v>5.9999999999999995E-4</v>
      </c>
      <c r="I6668">
        <v>128</v>
      </c>
    </row>
    <row r="6670" spans="1:9" x14ac:dyDescent="0.35">
      <c r="A6670" s="1" t="s">
        <v>1751</v>
      </c>
    </row>
    <row r="6671" spans="1:9" x14ac:dyDescent="0.35">
      <c r="A6671" t="s">
        <v>219</v>
      </c>
      <c r="B6671" t="s">
        <v>301</v>
      </c>
      <c r="C6671" t="s">
        <v>298</v>
      </c>
      <c r="D6671" t="s">
        <v>1747</v>
      </c>
      <c r="E6671" t="s">
        <v>1748</v>
      </c>
      <c r="F6671" t="s">
        <v>277</v>
      </c>
      <c r="G6671" t="s">
        <v>1749</v>
      </c>
      <c r="H6671" t="s">
        <v>282</v>
      </c>
      <c r="I6671" t="s">
        <v>226</v>
      </c>
    </row>
    <row r="6672" spans="1:9" x14ac:dyDescent="0.35">
      <c r="A6672" t="s">
        <v>227</v>
      </c>
      <c r="B6672" t="s">
        <v>235</v>
      </c>
      <c r="C6672" s="2">
        <v>0.64200000000000002</v>
      </c>
      <c r="D6672" s="2">
        <v>0.2702</v>
      </c>
      <c r="E6672" s="2">
        <v>6.4799999999999996E-2</v>
      </c>
      <c r="F6672" s="2">
        <v>6.0000000000000001E-3</v>
      </c>
      <c r="G6672" s="2">
        <v>1.7100000000000001E-2</v>
      </c>
      <c r="I6672">
        <v>51</v>
      </c>
    </row>
    <row r="6673" spans="1:9" x14ac:dyDescent="0.35">
      <c r="A6673" t="s">
        <v>227</v>
      </c>
      <c r="B6673" t="s">
        <v>234</v>
      </c>
      <c r="C6673" s="2">
        <v>0.4456</v>
      </c>
      <c r="D6673" s="2">
        <v>0.311</v>
      </c>
      <c r="E6673" s="2">
        <v>0.19289999999999999</v>
      </c>
      <c r="F6673" s="2">
        <v>3.4500000000000003E-2</v>
      </c>
      <c r="G6673" s="2">
        <v>1.5100000000000001E-2</v>
      </c>
      <c r="H6673" s="2">
        <v>8.9999999999999998E-4</v>
      </c>
      <c r="I6673">
        <v>77</v>
      </c>
    </row>
    <row r="6674" spans="1:9" x14ac:dyDescent="0.35">
      <c r="A6674" t="s">
        <v>228</v>
      </c>
      <c r="B6674" t="s">
        <v>228</v>
      </c>
      <c r="C6674" s="2">
        <v>0.51</v>
      </c>
      <c r="D6674" s="2">
        <v>0.29759999999999998</v>
      </c>
      <c r="E6674" s="2">
        <v>0.15090000000000001</v>
      </c>
      <c r="F6674" s="2">
        <v>2.5100000000000001E-2</v>
      </c>
      <c r="G6674" s="2">
        <v>1.5800000000000002E-2</v>
      </c>
      <c r="H6674" s="2">
        <v>5.9999999999999995E-4</v>
      </c>
      <c r="I6674">
        <v>128</v>
      </c>
    </row>
    <row r="6676" spans="1:9" x14ac:dyDescent="0.35">
      <c r="A6676" s="1" t="s">
        <v>1752</v>
      </c>
    </row>
    <row r="6677" spans="1:9" x14ac:dyDescent="0.35">
      <c r="A6677" t="s">
        <v>219</v>
      </c>
      <c r="B6677" t="s">
        <v>301</v>
      </c>
      <c r="C6677" t="s">
        <v>298</v>
      </c>
      <c r="D6677" t="s">
        <v>1747</v>
      </c>
      <c r="E6677" t="s">
        <v>1748</v>
      </c>
      <c r="F6677" t="s">
        <v>277</v>
      </c>
      <c r="G6677" t="s">
        <v>1749</v>
      </c>
      <c r="H6677" t="s">
        <v>282</v>
      </c>
      <c r="I6677" t="s">
        <v>226</v>
      </c>
    </row>
    <row r="6678" spans="1:9" x14ac:dyDescent="0.35">
      <c r="A6678" t="s">
        <v>227</v>
      </c>
      <c r="B6678" t="s">
        <v>240</v>
      </c>
      <c r="C6678" s="2">
        <v>0.52769999999999995</v>
      </c>
      <c r="D6678" s="2">
        <v>0.31569999999999998</v>
      </c>
      <c r="E6678" s="2">
        <v>0.1125</v>
      </c>
      <c r="F6678" s="2">
        <v>3.1600000000000003E-2</v>
      </c>
      <c r="G6678" s="2">
        <v>1.18E-2</v>
      </c>
      <c r="H6678" s="2">
        <v>8.0000000000000004E-4</v>
      </c>
      <c r="I6678">
        <v>90</v>
      </c>
    </row>
    <row r="6679" spans="1:9" x14ac:dyDescent="0.35">
      <c r="A6679" s="3" t="s">
        <v>227</v>
      </c>
      <c r="B6679" s="3" t="s">
        <v>241</v>
      </c>
      <c r="C6679" s="4">
        <v>0.48720000000000002</v>
      </c>
      <c r="D6679" s="4">
        <v>0.14979999999999999</v>
      </c>
      <c r="E6679" s="4">
        <v>0.34460000000000002</v>
      </c>
      <c r="F6679" s="4">
        <v>7.1999999999999998E-3</v>
      </c>
      <c r="G6679" s="4">
        <v>1.1299999999999999E-2</v>
      </c>
      <c r="H6679" s="5"/>
      <c r="I6679" s="5" t="s">
        <v>1255</v>
      </c>
    </row>
    <row r="6680" spans="1:9" x14ac:dyDescent="0.35">
      <c r="A6680" s="3" t="s">
        <v>227</v>
      </c>
      <c r="B6680" s="3" t="s">
        <v>242</v>
      </c>
      <c r="C6680" s="4">
        <v>0.39639999999999997</v>
      </c>
      <c r="D6680" s="4">
        <v>0.38600000000000001</v>
      </c>
      <c r="E6680" s="4">
        <v>0.161</v>
      </c>
      <c r="F6680" s="5"/>
      <c r="G6680" s="4">
        <v>5.6599999999999998E-2</v>
      </c>
      <c r="H6680" s="5"/>
      <c r="I6680" s="5" t="s">
        <v>490</v>
      </c>
    </row>
    <row r="6681" spans="1:9" x14ac:dyDescent="0.35">
      <c r="A6681" t="s">
        <v>228</v>
      </c>
      <c r="B6681" t="s">
        <v>228</v>
      </c>
      <c r="C6681" s="2">
        <v>0.51</v>
      </c>
      <c r="D6681" s="2">
        <v>0.29759999999999998</v>
      </c>
      <c r="E6681" s="2">
        <v>0.15090000000000001</v>
      </c>
      <c r="F6681" s="2">
        <v>2.5100000000000001E-2</v>
      </c>
      <c r="G6681" s="2">
        <v>1.5800000000000002E-2</v>
      </c>
      <c r="H6681" s="2">
        <v>5.9999999999999995E-4</v>
      </c>
      <c r="I6681">
        <v>128</v>
      </c>
    </row>
    <row r="6683" spans="1:9" x14ac:dyDescent="0.35">
      <c r="A6683" s="1" t="s">
        <v>1753</v>
      </c>
    </row>
    <row r="6684" spans="1:9" x14ac:dyDescent="0.35">
      <c r="A6684" t="s">
        <v>219</v>
      </c>
      <c r="B6684" t="s">
        <v>301</v>
      </c>
      <c r="C6684" t="s">
        <v>298</v>
      </c>
      <c r="D6684" t="s">
        <v>1747</v>
      </c>
      <c r="E6684" t="s">
        <v>1748</v>
      </c>
      <c r="F6684" t="s">
        <v>277</v>
      </c>
      <c r="G6684" t="s">
        <v>1749</v>
      </c>
      <c r="H6684" t="s">
        <v>282</v>
      </c>
      <c r="I6684" t="s">
        <v>226</v>
      </c>
    </row>
    <row r="6685" spans="1:9" x14ac:dyDescent="0.35">
      <c r="A6685" t="s">
        <v>227</v>
      </c>
      <c r="B6685" t="s">
        <v>334</v>
      </c>
      <c r="C6685" s="2">
        <v>0.6391</v>
      </c>
      <c r="D6685" s="2">
        <v>0.2752</v>
      </c>
      <c r="E6685" s="2">
        <v>6.4100000000000004E-2</v>
      </c>
      <c r="G6685" s="2">
        <v>2.1600000000000001E-2</v>
      </c>
      <c r="I6685">
        <v>32</v>
      </c>
    </row>
    <row r="6686" spans="1:9" x14ac:dyDescent="0.35">
      <c r="A6686" s="3" t="s">
        <v>227</v>
      </c>
      <c r="B6686" s="3" t="s">
        <v>335</v>
      </c>
      <c r="C6686" s="4">
        <v>0.4335</v>
      </c>
      <c r="D6686" s="4">
        <v>0.31709999999999999</v>
      </c>
      <c r="E6686" s="4">
        <v>0.2495</v>
      </c>
      <c r="F6686" s="5"/>
      <c r="G6686" s="5"/>
      <c r="H6686" s="5"/>
      <c r="I6686" s="5" t="s">
        <v>477</v>
      </c>
    </row>
    <row r="6687" spans="1:9" x14ac:dyDescent="0.35">
      <c r="A6687" t="s">
        <v>227</v>
      </c>
      <c r="B6687" t="s">
        <v>336</v>
      </c>
      <c r="C6687" s="2">
        <v>0.37530000000000002</v>
      </c>
      <c r="D6687" s="2">
        <v>0.42649999999999999</v>
      </c>
      <c r="E6687" s="2">
        <v>0.15049999999999999</v>
      </c>
      <c r="F6687" s="2">
        <v>8.0000000000000002E-3</v>
      </c>
      <c r="G6687" s="2">
        <v>3.7100000000000001E-2</v>
      </c>
      <c r="H6687" s="2">
        <v>2.5000000000000001E-3</v>
      </c>
      <c r="I6687">
        <v>39</v>
      </c>
    </row>
    <row r="6688" spans="1:9" x14ac:dyDescent="0.35">
      <c r="A6688" s="3" t="s">
        <v>227</v>
      </c>
      <c r="B6688" s="3" t="s">
        <v>337</v>
      </c>
      <c r="C6688" s="4">
        <v>0.4607</v>
      </c>
      <c r="D6688" s="4">
        <v>0.25819999999999999</v>
      </c>
      <c r="E6688" s="4">
        <v>0.26279999999999998</v>
      </c>
      <c r="F6688" s="4">
        <v>8.9999999999999993E-3</v>
      </c>
      <c r="G6688" s="4">
        <v>9.1999999999999998E-3</v>
      </c>
      <c r="H6688" s="5"/>
      <c r="I6688" s="5" t="s">
        <v>429</v>
      </c>
    </row>
    <row r="6689" spans="1:9" x14ac:dyDescent="0.35">
      <c r="A6689" t="s">
        <v>228</v>
      </c>
      <c r="B6689" t="s">
        <v>228</v>
      </c>
      <c r="C6689" s="2">
        <v>0.51</v>
      </c>
      <c r="D6689" s="2">
        <v>0.29759999999999998</v>
      </c>
      <c r="E6689" s="2">
        <v>0.15090000000000001</v>
      </c>
      <c r="F6689" s="2">
        <v>2.5100000000000001E-2</v>
      </c>
      <c r="G6689" s="2">
        <v>1.5800000000000002E-2</v>
      </c>
      <c r="H6689" s="2">
        <v>5.9999999999999995E-4</v>
      </c>
      <c r="I6689">
        <v>112</v>
      </c>
    </row>
    <row r="6691" spans="1:9" x14ac:dyDescent="0.35">
      <c r="A6691" s="1" t="s">
        <v>1754</v>
      </c>
    </row>
    <row r="6692" spans="1:9" x14ac:dyDescent="0.35">
      <c r="A6692" t="s">
        <v>219</v>
      </c>
      <c r="B6692" t="s">
        <v>301</v>
      </c>
      <c r="C6692" t="s">
        <v>298</v>
      </c>
      <c r="D6692" t="s">
        <v>1747</v>
      </c>
      <c r="E6692" t="s">
        <v>1748</v>
      </c>
      <c r="F6692" t="s">
        <v>277</v>
      </c>
      <c r="G6692" t="s">
        <v>1749</v>
      </c>
      <c r="H6692" t="s">
        <v>282</v>
      </c>
      <c r="I6692" t="s">
        <v>226</v>
      </c>
    </row>
    <row r="6693" spans="1:9" x14ac:dyDescent="0.35">
      <c r="A6693" s="3" t="s">
        <v>227</v>
      </c>
      <c r="B6693" s="3" t="s">
        <v>263</v>
      </c>
      <c r="C6693" s="4">
        <v>0.4017</v>
      </c>
      <c r="D6693" s="4">
        <v>0.32729999999999998</v>
      </c>
      <c r="E6693" s="4">
        <v>0.25040000000000001</v>
      </c>
      <c r="F6693" s="4">
        <v>8.2000000000000007E-3</v>
      </c>
      <c r="G6693" s="4">
        <v>1.2500000000000001E-2</v>
      </c>
      <c r="H6693" s="5"/>
      <c r="I6693" s="5" t="s">
        <v>1255</v>
      </c>
    </row>
    <row r="6694" spans="1:9" x14ac:dyDescent="0.35">
      <c r="A6694" t="s">
        <v>227</v>
      </c>
      <c r="B6694" t="s">
        <v>262</v>
      </c>
      <c r="C6694" s="2">
        <v>0.4506</v>
      </c>
      <c r="D6694" s="2">
        <v>0.38379999999999997</v>
      </c>
      <c r="E6694" s="2">
        <v>0.1053</v>
      </c>
      <c r="F6694" s="2">
        <v>1.54E-2</v>
      </c>
      <c r="G6694" s="2">
        <v>4.2599999999999999E-2</v>
      </c>
      <c r="H6694" s="2">
        <v>2.3E-3</v>
      </c>
      <c r="I6694">
        <v>50</v>
      </c>
    </row>
    <row r="6695" spans="1:9" x14ac:dyDescent="0.35">
      <c r="A6695" t="s">
        <v>227</v>
      </c>
      <c r="B6695" t="s">
        <v>261</v>
      </c>
      <c r="C6695" s="2">
        <v>0.59319999999999995</v>
      </c>
      <c r="D6695" s="2">
        <v>0.23780000000000001</v>
      </c>
      <c r="E6695" s="2">
        <v>0.1275</v>
      </c>
      <c r="F6695" s="2">
        <v>3.8399999999999997E-2</v>
      </c>
      <c r="G6695" s="2">
        <v>3.0999999999999999E-3</v>
      </c>
      <c r="I6695">
        <v>52</v>
      </c>
    </row>
    <row r="6696" spans="1:9" x14ac:dyDescent="0.35">
      <c r="A6696" t="s">
        <v>228</v>
      </c>
      <c r="B6696" t="s">
        <v>228</v>
      </c>
      <c r="C6696" s="2">
        <v>0.51</v>
      </c>
      <c r="D6696" s="2">
        <v>0.29759999999999998</v>
      </c>
      <c r="E6696" s="2">
        <v>0.15090000000000001</v>
      </c>
      <c r="F6696" s="2">
        <v>2.5100000000000001E-2</v>
      </c>
      <c r="G6696" s="2">
        <v>1.5800000000000002E-2</v>
      </c>
      <c r="H6696" s="2">
        <v>5.9999999999999995E-4</v>
      </c>
      <c r="I6696">
        <v>128</v>
      </c>
    </row>
    <row r="6698" spans="1:9" x14ac:dyDescent="0.35">
      <c r="A6698" s="1" t="s">
        <v>1755</v>
      </c>
    </row>
    <row r="6699" spans="1:9" x14ac:dyDescent="0.35">
      <c r="A6699" t="s">
        <v>219</v>
      </c>
      <c r="B6699" t="s">
        <v>301</v>
      </c>
      <c r="C6699" t="s">
        <v>298</v>
      </c>
      <c r="D6699" t="s">
        <v>1747</v>
      </c>
      <c r="E6699" t="s">
        <v>1748</v>
      </c>
      <c r="F6699" t="s">
        <v>277</v>
      </c>
      <c r="G6699" t="s">
        <v>1749</v>
      </c>
      <c r="H6699" t="s">
        <v>282</v>
      </c>
      <c r="I6699" t="s">
        <v>226</v>
      </c>
    </row>
    <row r="6700" spans="1:9" x14ac:dyDescent="0.35">
      <c r="A6700" s="3" t="s">
        <v>227</v>
      </c>
      <c r="B6700" s="3" t="s">
        <v>248</v>
      </c>
      <c r="C6700" s="4">
        <v>0.33019999999999999</v>
      </c>
      <c r="D6700" s="4">
        <v>0.47020000000000001</v>
      </c>
      <c r="E6700" s="4">
        <v>0.19650000000000001</v>
      </c>
      <c r="F6700" s="5"/>
      <c r="G6700" s="4">
        <v>3.2000000000000002E-3</v>
      </c>
      <c r="H6700" s="5"/>
      <c r="I6700" s="5" t="s">
        <v>1255</v>
      </c>
    </row>
    <row r="6701" spans="1:9" x14ac:dyDescent="0.35">
      <c r="A6701" t="s">
        <v>227</v>
      </c>
      <c r="B6701" t="s">
        <v>249</v>
      </c>
      <c r="C6701" s="2">
        <v>0.66279999999999994</v>
      </c>
      <c r="D6701" s="2">
        <v>0.24490000000000001</v>
      </c>
      <c r="E6701" s="2">
        <v>8.5199999999999998E-2</v>
      </c>
      <c r="G6701" s="2">
        <v>7.1000000000000004E-3</v>
      </c>
      <c r="I6701">
        <v>34</v>
      </c>
    </row>
    <row r="6702" spans="1:9" x14ac:dyDescent="0.35">
      <c r="A6702" t="s">
        <v>227</v>
      </c>
      <c r="B6702" t="s">
        <v>247</v>
      </c>
      <c r="C6702" s="2">
        <v>0.47360000000000002</v>
      </c>
      <c r="D6702" s="2">
        <v>0.26740000000000003</v>
      </c>
      <c r="E6702" s="2">
        <v>0.17879999999999999</v>
      </c>
      <c r="F6702" s="2">
        <v>5.2299999999999999E-2</v>
      </c>
      <c r="G6702" s="2">
        <v>2.6599999999999999E-2</v>
      </c>
      <c r="H6702" s="2">
        <v>1.2999999999999999E-3</v>
      </c>
      <c r="I6702">
        <v>68</v>
      </c>
    </row>
    <row r="6703" spans="1:9" x14ac:dyDescent="0.35">
      <c r="A6703" t="s">
        <v>228</v>
      </c>
      <c r="B6703" t="s">
        <v>228</v>
      </c>
      <c r="C6703" s="2">
        <v>0.51</v>
      </c>
      <c r="D6703" s="2">
        <v>0.29759999999999998</v>
      </c>
      <c r="E6703" s="2">
        <v>0.15090000000000001</v>
      </c>
      <c r="F6703" s="2">
        <v>2.5100000000000001E-2</v>
      </c>
      <c r="G6703" s="2">
        <v>1.5800000000000002E-2</v>
      </c>
      <c r="H6703" s="2">
        <v>5.9999999999999995E-4</v>
      </c>
      <c r="I6703">
        <v>128</v>
      </c>
    </row>
    <row r="6705" spans="1:9" x14ac:dyDescent="0.35">
      <c r="A6705" s="1" t="s">
        <v>1756</v>
      </c>
    </row>
    <row r="6706" spans="1:9" x14ac:dyDescent="0.35">
      <c r="A6706" t="s">
        <v>219</v>
      </c>
      <c r="B6706" t="s">
        <v>301</v>
      </c>
      <c r="C6706" t="s">
        <v>298</v>
      </c>
      <c r="D6706" t="s">
        <v>1747</v>
      </c>
      <c r="E6706" t="s">
        <v>1748</v>
      </c>
      <c r="F6706" t="s">
        <v>277</v>
      </c>
      <c r="G6706" t="s">
        <v>1749</v>
      </c>
      <c r="H6706" t="s">
        <v>282</v>
      </c>
      <c r="I6706" t="s">
        <v>226</v>
      </c>
    </row>
    <row r="6707" spans="1:9" x14ac:dyDescent="0.35">
      <c r="A6707" t="s">
        <v>227</v>
      </c>
      <c r="B6707" t="s">
        <v>245</v>
      </c>
      <c r="C6707" s="2">
        <v>0.45519999999999999</v>
      </c>
      <c r="D6707" s="2">
        <v>0.48720000000000002</v>
      </c>
      <c r="E6707" s="2">
        <v>6.6E-3</v>
      </c>
      <c r="F6707" s="2">
        <v>1.11E-2</v>
      </c>
      <c r="G6707" s="2">
        <v>3.7600000000000001E-2</v>
      </c>
      <c r="H6707" s="2">
        <v>2.2000000000000001E-3</v>
      </c>
      <c r="I6707">
        <v>45</v>
      </c>
    </row>
    <row r="6708" spans="1:9" x14ac:dyDescent="0.35">
      <c r="A6708" t="s">
        <v>227</v>
      </c>
      <c r="B6708" t="s">
        <v>244</v>
      </c>
      <c r="C6708" s="2">
        <v>0.53029999999999999</v>
      </c>
      <c r="D6708" s="2">
        <v>0.22739999999999999</v>
      </c>
      <c r="E6708" s="2">
        <v>0.20430000000000001</v>
      </c>
      <c r="F6708" s="2">
        <v>3.0300000000000001E-2</v>
      </c>
      <c r="G6708" s="2">
        <v>7.7000000000000002E-3</v>
      </c>
      <c r="I6708">
        <v>83</v>
      </c>
    </row>
    <row r="6709" spans="1:9" x14ac:dyDescent="0.35">
      <c r="A6709" t="s">
        <v>228</v>
      </c>
      <c r="B6709" t="s">
        <v>228</v>
      </c>
      <c r="C6709" s="2">
        <v>0.51</v>
      </c>
      <c r="D6709" s="2">
        <v>0.29759999999999998</v>
      </c>
      <c r="E6709" s="2">
        <v>0.15090000000000001</v>
      </c>
      <c r="F6709" s="2">
        <v>2.5100000000000001E-2</v>
      </c>
      <c r="G6709" s="2">
        <v>1.5800000000000002E-2</v>
      </c>
      <c r="H6709" s="2">
        <v>5.9999999999999995E-4</v>
      </c>
      <c r="I6709">
        <v>128</v>
      </c>
    </row>
    <row r="6711" spans="1:9" x14ac:dyDescent="0.35">
      <c r="A6711" s="1" t="s">
        <v>1757</v>
      </c>
    </row>
    <row r="6712" spans="1:9" x14ac:dyDescent="0.35">
      <c r="A6712" t="s">
        <v>219</v>
      </c>
      <c r="B6712" t="s">
        <v>301</v>
      </c>
      <c r="C6712" t="s">
        <v>298</v>
      </c>
      <c r="D6712" t="s">
        <v>1747</v>
      </c>
      <c r="E6712" t="s">
        <v>1748</v>
      </c>
      <c r="F6712" t="s">
        <v>277</v>
      </c>
      <c r="G6712" t="s">
        <v>1749</v>
      </c>
      <c r="H6712" t="s">
        <v>282</v>
      </c>
      <c r="I6712" t="s">
        <v>226</v>
      </c>
    </row>
    <row r="6713" spans="1:9" x14ac:dyDescent="0.35">
      <c r="A6713" s="3" t="s">
        <v>227</v>
      </c>
      <c r="B6713" s="3" t="s">
        <v>259</v>
      </c>
      <c r="C6713" s="4">
        <v>0.27550000000000002</v>
      </c>
      <c r="D6713" s="4">
        <v>0.59079999999999999</v>
      </c>
      <c r="E6713" s="4">
        <v>7.3499999999999996E-2</v>
      </c>
      <c r="F6713" s="4">
        <v>6.0199999999999997E-2</v>
      </c>
      <c r="G6713" s="5"/>
      <c r="H6713" s="5"/>
      <c r="I6713" s="5" t="s">
        <v>437</v>
      </c>
    </row>
    <row r="6714" spans="1:9" x14ac:dyDescent="0.35">
      <c r="A6714" t="s">
        <v>227</v>
      </c>
      <c r="B6714" t="s">
        <v>257</v>
      </c>
      <c r="C6714" s="2">
        <v>0.41320000000000001</v>
      </c>
      <c r="D6714" s="2">
        <v>0.43540000000000001</v>
      </c>
      <c r="E6714" s="2">
        <v>0.10390000000000001</v>
      </c>
      <c r="F6714" s="2">
        <v>4.2000000000000003E-2</v>
      </c>
      <c r="G6714" s="2">
        <v>5.4999999999999997E-3</v>
      </c>
      <c r="I6714">
        <v>52</v>
      </c>
    </row>
    <row r="6715" spans="1:9" x14ac:dyDescent="0.35">
      <c r="A6715" t="s">
        <v>227</v>
      </c>
      <c r="B6715" t="s">
        <v>256</v>
      </c>
      <c r="C6715" s="2">
        <v>0.6018</v>
      </c>
      <c r="D6715" s="2">
        <v>0.16209999999999999</v>
      </c>
      <c r="E6715" s="2">
        <v>0.2283</v>
      </c>
      <c r="G6715" s="2">
        <v>6.1999999999999998E-3</v>
      </c>
      <c r="H6715" s="2">
        <v>1.6000000000000001E-3</v>
      </c>
      <c r="I6715">
        <v>41</v>
      </c>
    </row>
    <row r="6716" spans="1:9" x14ac:dyDescent="0.35">
      <c r="A6716" s="3" t="s">
        <v>227</v>
      </c>
      <c r="B6716" s="3" t="s">
        <v>258</v>
      </c>
      <c r="C6716" s="4">
        <v>0.69</v>
      </c>
      <c r="D6716" s="4">
        <v>7.1199999999999999E-2</v>
      </c>
      <c r="E6716" s="4">
        <v>0.1091</v>
      </c>
      <c r="F6716" s="4">
        <v>2.8299999999999999E-2</v>
      </c>
      <c r="G6716" s="4">
        <v>0.1013</v>
      </c>
      <c r="H6716" s="5"/>
      <c r="I6716" s="5" t="s">
        <v>851</v>
      </c>
    </row>
    <row r="6717" spans="1:9" x14ac:dyDescent="0.35">
      <c r="A6717" t="s">
        <v>228</v>
      </c>
      <c r="B6717" t="s">
        <v>228</v>
      </c>
      <c r="C6717" s="2">
        <v>0.51</v>
      </c>
      <c r="D6717" s="2">
        <v>0.29759999999999998</v>
      </c>
      <c r="E6717" s="2">
        <v>0.15090000000000001</v>
      </c>
      <c r="F6717" s="2">
        <v>2.5100000000000001E-2</v>
      </c>
      <c r="G6717" s="2">
        <v>1.5800000000000002E-2</v>
      </c>
      <c r="H6717" s="2">
        <v>5.9999999999999995E-4</v>
      </c>
      <c r="I6717">
        <v>128</v>
      </c>
    </row>
    <row r="6719" spans="1:9" x14ac:dyDescent="0.35">
      <c r="A6719" s="1" t="s">
        <v>1758</v>
      </c>
    </row>
    <row r="6720" spans="1:9" x14ac:dyDescent="0.35">
      <c r="A6720" t="s">
        <v>219</v>
      </c>
      <c r="B6720" t="s">
        <v>301</v>
      </c>
      <c r="C6720" t="s">
        <v>298</v>
      </c>
      <c r="D6720" t="s">
        <v>1747</v>
      </c>
      <c r="E6720" t="s">
        <v>1748</v>
      </c>
      <c r="F6720" t="s">
        <v>277</v>
      </c>
      <c r="G6720" t="s">
        <v>1749</v>
      </c>
      <c r="H6720" t="s">
        <v>282</v>
      </c>
      <c r="I6720" t="s">
        <v>226</v>
      </c>
    </row>
    <row r="6721" spans="1:9" x14ac:dyDescent="0.35">
      <c r="A6721" t="s">
        <v>227</v>
      </c>
      <c r="B6721" t="s">
        <v>343</v>
      </c>
      <c r="C6721" s="2">
        <v>0.41320000000000001</v>
      </c>
      <c r="D6721" s="2">
        <v>0.43540000000000001</v>
      </c>
      <c r="E6721" s="2">
        <v>0.10390000000000001</v>
      </c>
      <c r="F6721" s="2">
        <v>4.2000000000000003E-2</v>
      </c>
      <c r="G6721" s="2">
        <v>5.4999999999999997E-3</v>
      </c>
      <c r="I6721">
        <v>52</v>
      </c>
    </row>
    <row r="6722" spans="1:9" x14ac:dyDescent="0.35">
      <c r="A6722" t="s">
        <v>227</v>
      </c>
      <c r="B6722" t="s">
        <v>344</v>
      </c>
      <c r="C6722" s="2">
        <v>0.59940000000000004</v>
      </c>
      <c r="D6722" s="2">
        <v>0.17030000000000001</v>
      </c>
      <c r="E6722" s="2">
        <v>0.1943</v>
      </c>
      <c r="F6722" s="2">
        <v>9.4999999999999998E-3</v>
      </c>
      <c r="G6722" s="2">
        <v>2.52E-2</v>
      </c>
      <c r="H6722" s="2">
        <v>1.1999999999999999E-3</v>
      </c>
      <c r="I6722">
        <v>76</v>
      </c>
    </row>
    <row r="6723" spans="1:9" x14ac:dyDescent="0.35">
      <c r="A6723" t="s">
        <v>228</v>
      </c>
      <c r="B6723" t="s">
        <v>228</v>
      </c>
      <c r="C6723" s="2">
        <v>0.51</v>
      </c>
      <c r="D6723" s="2">
        <v>0.29759999999999998</v>
      </c>
      <c r="E6723" s="2">
        <v>0.15090000000000001</v>
      </c>
      <c r="F6723" s="2">
        <v>2.5100000000000001E-2</v>
      </c>
      <c r="G6723" s="2">
        <v>1.5800000000000002E-2</v>
      </c>
      <c r="H6723" s="2">
        <v>5.9999999999999995E-4</v>
      </c>
      <c r="I6723">
        <v>128</v>
      </c>
    </row>
    <row r="6725" spans="1:9" x14ac:dyDescent="0.35">
      <c r="A6725" s="1" t="s">
        <v>1759</v>
      </c>
    </row>
    <row r="6726" spans="1:9" x14ac:dyDescent="0.35">
      <c r="A6726" t="s">
        <v>219</v>
      </c>
      <c r="B6726" t="s">
        <v>301</v>
      </c>
      <c r="C6726" t="s">
        <v>298</v>
      </c>
      <c r="D6726" t="s">
        <v>1747</v>
      </c>
      <c r="E6726" t="s">
        <v>1748</v>
      </c>
      <c r="F6726" t="s">
        <v>277</v>
      </c>
      <c r="G6726" t="s">
        <v>1749</v>
      </c>
      <c r="H6726" t="s">
        <v>282</v>
      </c>
      <c r="I6726" t="s">
        <v>226</v>
      </c>
    </row>
    <row r="6727" spans="1:9" x14ac:dyDescent="0.35">
      <c r="A6727" t="s">
        <v>227</v>
      </c>
      <c r="B6727" t="s">
        <v>346</v>
      </c>
      <c r="C6727" s="2">
        <v>0.49220000000000003</v>
      </c>
      <c r="D6727" s="2">
        <v>0.30840000000000001</v>
      </c>
      <c r="E6727" s="2">
        <v>0.16950000000000001</v>
      </c>
      <c r="F6727" s="2">
        <v>2.6800000000000001E-2</v>
      </c>
      <c r="G6727" s="2">
        <v>3.0999999999999999E-3</v>
      </c>
      <c r="I6727">
        <v>53</v>
      </c>
    </row>
    <row r="6728" spans="1:9" x14ac:dyDescent="0.35">
      <c r="A6728" t="s">
        <v>227</v>
      </c>
      <c r="B6728" t="s">
        <v>347</v>
      </c>
      <c r="C6728" s="2">
        <v>0.63629999999999998</v>
      </c>
      <c r="D6728" s="2">
        <v>0.223</v>
      </c>
      <c r="E6728" s="2">
        <v>4.7800000000000002E-2</v>
      </c>
      <c r="F6728" s="2">
        <v>2.12E-2</v>
      </c>
      <c r="G6728" s="2">
        <v>5.96E-2</v>
      </c>
      <c r="H6728" s="2">
        <v>1.2200000000000001E-2</v>
      </c>
      <c r="I6728">
        <v>38</v>
      </c>
    </row>
    <row r="6729" spans="1:9" x14ac:dyDescent="0.35">
      <c r="A6729" t="s">
        <v>227</v>
      </c>
      <c r="B6729" t="s">
        <v>348</v>
      </c>
      <c r="C6729" s="2">
        <v>0.60850000000000004</v>
      </c>
      <c r="D6729" s="2">
        <v>0.23669999999999999</v>
      </c>
      <c r="E6729" s="2">
        <v>3.1399999999999997E-2</v>
      </c>
      <c r="F6729" s="2">
        <v>1.1599999999999999E-2</v>
      </c>
      <c r="G6729" s="2">
        <v>0.1118</v>
      </c>
      <c r="I6729">
        <v>37</v>
      </c>
    </row>
    <row r="6730" spans="1:9" x14ac:dyDescent="0.35">
      <c r="A6730" t="s">
        <v>228</v>
      </c>
      <c r="B6730" t="s">
        <v>228</v>
      </c>
      <c r="C6730" s="2">
        <v>0.51</v>
      </c>
      <c r="D6730" s="2">
        <v>0.29759999999999998</v>
      </c>
      <c r="E6730" s="2">
        <v>0.15090000000000001</v>
      </c>
      <c r="F6730" s="2">
        <v>2.5100000000000001E-2</v>
      </c>
      <c r="G6730" s="2">
        <v>1.5800000000000002E-2</v>
      </c>
      <c r="H6730" s="2">
        <v>5.9999999999999995E-4</v>
      </c>
      <c r="I6730">
        <v>128</v>
      </c>
    </row>
    <row r="6732" spans="1:9" x14ac:dyDescent="0.35">
      <c r="A6732" s="1" t="s">
        <v>1760</v>
      </c>
    </row>
    <row r="6733" spans="1:9" x14ac:dyDescent="0.35">
      <c r="A6733" t="s">
        <v>219</v>
      </c>
      <c r="B6733" t="s">
        <v>301</v>
      </c>
      <c r="C6733" t="s">
        <v>298</v>
      </c>
      <c r="D6733" t="s">
        <v>1747</v>
      </c>
      <c r="E6733" t="s">
        <v>1748</v>
      </c>
      <c r="F6733" t="s">
        <v>277</v>
      </c>
      <c r="G6733" t="s">
        <v>1749</v>
      </c>
      <c r="H6733" t="s">
        <v>282</v>
      </c>
      <c r="I6733" t="s">
        <v>226</v>
      </c>
    </row>
    <row r="6734" spans="1:9" x14ac:dyDescent="0.35">
      <c r="A6734" t="s">
        <v>227</v>
      </c>
      <c r="B6734" t="s">
        <v>251</v>
      </c>
      <c r="C6734" s="2">
        <v>0.53029999999999999</v>
      </c>
      <c r="D6734" s="2">
        <v>0.22739999999999999</v>
      </c>
      <c r="E6734" s="2">
        <v>0.20430000000000001</v>
      </c>
      <c r="F6734" s="2">
        <v>3.0300000000000001E-2</v>
      </c>
      <c r="G6734" s="2">
        <v>7.7000000000000002E-3</v>
      </c>
      <c r="I6734">
        <v>83</v>
      </c>
    </row>
    <row r="6735" spans="1:9" x14ac:dyDescent="0.35">
      <c r="A6735" t="s">
        <v>227</v>
      </c>
      <c r="B6735" t="s">
        <v>252</v>
      </c>
      <c r="C6735" s="2">
        <v>0.56479999999999997</v>
      </c>
      <c r="D6735" s="2">
        <v>0.40339999999999998</v>
      </c>
      <c r="F6735" s="2">
        <v>5.0000000000000001E-3</v>
      </c>
      <c r="G6735" s="2">
        <v>2.4E-2</v>
      </c>
      <c r="H6735" s="2">
        <v>2.8999999999999998E-3</v>
      </c>
      <c r="I6735">
        <v>34</v>
      </c>
    </row>
    <row r="6736" spans="1:9" x14ac:dyDescent="0.35">
      <c r="A6736" s="3" t="s">
        <v>227</v>
      </c>
      <c r="B6736" s="3" t="s">
        <v>253</v>
      </c>
      <c r="C6736" s="4">
        <v>5.7500000000000002E-2</v>
      </c>
      <c r="D6736" s="4">
        <v>0.79139999999999999</v>
      </c>
      <c r="E6736" s="4">
        <v>3.0800000000000001E-2</v>
      </c>
      <c r="F6736" s="4">
        <v>3.3399999999999999E-2</v>
      </c>
      <c r="G6736" s="4">
        <v>8.6900000000000005E-2</v>
      </c>
      <c r="H6736" s="5"/>
      <c r="I6736" s="5" t="s">
        <v>307</v>
      </c>
    </row>
    <row r="6737" spans="1:18" x14ac:dyDescent="0.35">
      <c r="A6737" t="s">
        <v>228</v>
      </c>
      <c r="B6737" t="s">
        <v>228</v>
      </c>
      <c r="C6737" s="2">
        <v>0.51</v>
      </c>
      <c r="D6737" s="2">
        <v>0.29759999999999998</v>
      </c>
      <c r="E6737" s="2">
        <v>0.15090000000000001</v>
      </c>
      <c r="F6737" s="2">
        <v>2.5100000000000001E-2</v>
      </c>
      <c r="G6737" s="2">
        <v>1.5800000000000002E-2</v>
      </c>
      <c r="H6737" s="2">
        <v>5.9999999999999995E-4</v>
      </c>
      <c r="I6737">
        <v>128</v>
      </c>
    </row>
    <row r="6739" spans="1:18" x14ac:dyDescent="0.35">
      <c r="A6739" s="1" t="s">
        <v>1761</v>
      </c>
    </row>
    <row r="6740" spans="1:18" x14ac:dyDescent="0.35">
      <c r="A6740" t="s">
        <v>219</v>
      </c>
      <c r="B6740" t="s">
        <v>1762</v>
      </c>
      <c r="C6740" t="s">
        <v>1763</v>
      </c>
      <c r="D6740" t="s">
        <v>1764</v>
      </c>
      <c r="E6740" t="s">
        <v>1765</v>
      </c>
      <c r="F6740" t="s">
        <v>1766</v>
      </c>
      <c r="G6740" t="s">
        <v>1767</v>
      </c>
      <c r="H6740" t="s">
        <v>1768</v>
      </c>
      <c r="I6740" t="s">
        <v>1769</v>
      </c>
      <c r="J6740" t="s">
        <v>1770</v>
      </c>
      <c r="K6740" t="s">
        <v>318</v>
      </c>
      <c r="L6740" t="s">
        <v>1771</v>
      </c>
      <c r="M6740" t="s">
        <v>1772</v>
      </c>
      <c r="N6740" t="s">
        <v>277</v>
      </c>
      <c r="O6740" t="s">
        <v>1773</v>
      </c>
      <c r="P6740" t="s">
        <v>282</v>
      </c>
      <c r="Q6740" t="s">
        <v>226</v>
      </c>
    </row>
    <row r="6741" spans="1:18" x14ac:dyDescent="0.35">
      <c r="A6741" t="s">
        <v>227</v>
      </c>
      <c r="B6741" s="2">
        <v>0.73970000000000002</v>
      </c>
      <c r="C6741" s="2">
        <v>0.1208</v>
      </c>
      <c r="D6741" s="2">
        <v>5.6599999999999998E-2</v>
      </c>
      <c r="E6741" s="2">
        <v>5.6300000000000003E-2</v>
      </c>
      <c r="F6741" s="2">
        <v>4.7100000000000003E-2</v>
      </c>
      <c r="G6741" s="2">
        <v>3.0599999999999999E-2</v>
      </c>
      <c r="H6741" s="2">
        <v>2.07E-2</v>
      </c>
      <c r="I6741" s="2">
        <v>1.61E-2</v>
      </c>
      <c r="J6741" s="2">
        <v>1.4800000000000001E-2</v>
      </c>
      <c r="K6741" s="2">
        <v>1.3100000000000001E-2</v>
      </c>
      <c r="L6741" s="2">
        <v>1.2999999999999999E-2</v>
      </c>
      <c r="M6741" s="2">
        <v>8.6999999999999994E-3</v>
      </c>
      <c r="N6741" s="2">
        <v>3.8E-3</v>
      </c>
      <c r="O6741" s="2">
        <v>2.2000000000000001E-3</v>
      </c>
      <c r="P6741" s="2">
        <v>2.0000000000000001E-4</v>
      </c>
      <c r="Q6741">
        <v>2749</v>
      </c>
    </row>
    <row r="6742" spans="1:18" x14ac:dyDescent="0.35">
      <c r="A6742" t="s">
        <v>228</v>
      </c>
      <c r="B6742" s="2">
        <v>0.73970000000000002</v>
      </c>
      <c r="C6742" s="2">
        <v>0.1208</v>
      </c>
      <c r="D6742" s="2">
        <v>5.6599999999999998E-2</v>
      </c>
      <c r="E6742" s="2">
        <v>5.6300000000000003E-2</v>
      </c>
      <c r="F6742" s="2">
        <v>4.7100000000000003E-2</v>
      </c>
      <c r="G6742" s="2">
        <v>3.0599999999999999E-2</v>
      </c>
      <c r="H6742" s="2">
        <v>2.07E-2</v>
      </c>
      <c r="I6742" s="2">
        <v>1.61E-2</v>
      </c>
      <c r="J6742" s="2">
        <v>1.4800000000000001E-2</v>
      </c>
      <c r="K6742" s="2">
        <v>1.3100000000000001E-2</v>
      </c>
      <c r="L6742" s="2">
        <v>1.2999999999999999E-2</v>
      </c>
      <c r="M6742" s="2">
        <v>8.6999999999999994E-3</v>
      </c>
      <c r="N6742" s="2">
        <v>3.8E-3</v>
      </c>
      <c r="O6742" s="2">
        <v>2.2000000000000001E-3</v>
      </c>
      <c r="P6742" s="2">
        <v>2.0000000000000001E-4</v>
      </c>
      <c r="Q6742">
        <v>2749</v>
      </c>
    </row>
    <row r="6744" spans="1:18" x14ac:dyDescent="0.35">
      <c r="A6744" s="1" t="s">
        <v>1774</v>
      </c>
    </row>
    <row r="6745" spans="1:18" x14ac:dyDescent="0.35">
      <c r="A6745" t="s">
        <v>219</v>
      </c>
      <c r="B6745" t="s">
        <v>301</v>
      </c>
      <c r="C6745" t="s">
        <v>1762</v>
      </c>
      <c r="D6745" t="s">
        <v>1763</v>
      </c>
      <c r="E6745" t="s">
        <v>1764</v>
      </c>
      <c r="F6745" t="s">
        <v>1765</v>
      </c>
      <c r="G6745" t="s">
        <v>1766</v>
      </c>
      <c r="H6745" t="s">
        <v>1767</v>
      </c>
      <c r="I6745" t="s">
        <v>1768</v>
      </c>
      <c r="J6745" t="s">
        <v>1769</v>
      </c>
      <c r="K6745" t="s">
        <v>1770</v>
      </c>
      <c r="L6745" t="s">
        <v>318</v>
      </c>
      <c r="M6745" t="s">
        <v>1771</v>
      </c>
      <c r="N6745" t="s">
        <v>1772</v>
      </c>
      <c r="O6745" t="s">
        <v>277</v>
      </c>
      <c r="P6745" t="s">
        <v>1773</v>
      </c>
      <c r="Q6745" t="s">
        <v>282</v>
      </c>
      <c r="R6745" t="s">
        <v>226</v>
      </c>
    </row>
    <row r="6746" spans="1:18" x14ac:dyDescent="0.35">
      <c r="A6746" t="s">
        <v>227</v>
      </c>
      <c r="B6746" t="s">
        <v>238</v>
      </c>
      <c r="C6746" s="2">
        <v>0.67120000000000002</v>
      </c>
      <c r="D6746" s="2">
        <v>0.15540000000000001</v>
      </c>
      <c r="E6746" s="2">
        <v>8.77E-2</v>
      </c>
      <c r="F6746" s="2">
        <v>6.4199999999999993E-2</v>
      </c>
      <c r="G6746" s="2">
        <v>5.79E-2</v>
      </c>
      <c r="H6746" s="2">
        <v>3.8600000000000002E-2</v>
      </c>
      <c r="I6746" s="2">
        <v>4.58E-2</v>
      </c>
      <c r="J6746" s="2">
        <v>2.5999999999999999E-2</v>
      </c>
      <c r="K6746" s="2">
        <v>1.17E-2</v>
      </c>
      <c r="L6746" s="2">
        <v>1.8200000000000001E-2</v>
      </c>
      <c r="M6746" s="2">
        <v>1.2500000000000001E-2</v>
      </c>
      <c r="N6746" s="2">
        <v>1.24E-2</v>
      </c>
      <c r="O6746" s="2">
        <v>2.7000000000000001E-3</v>
      </c>
      <c r="P6746" s="2">
        <v>5.1000000000000004E-3</v>
      </c>
      <c r="Q6746" s="2">
        <v>1E-4</v>
      </c>
      <c r="R6746">
        <v>981</v>
      </c>
    </row>
    <row r="6747" spans="1:18" x14ac:dyDescent="0.35">
      <c r="A6747" t="s">
        <v>227</v>
      </c>
      <c r="B6747" t="s">
        <v>237</v>
      </c>
      <c r="C6747" s="2">
        <v>0.77959999999999996</v>
      </c>
      <c r="D6747" s="2">
        <v>0.1007</v>
      </c>
      <c r="E6747" s="2">
        <v>3.85E-2</v>
      </c>
      <c r="F6747" s="2">
        <v>5.1700000000000003E-2</v>
      </c>
      <c r="G6747" s="2">
        <v>4.0899999999999999E-2</v>
      </c>
      <c r="H6747" s="2">
        <v>2.5999999999999999E-2</v>
      </c>
      <c r="I6747" s="2">
        <v>6.1000000000000004E-3</v>
      </c>
      <c r="J6747" s="2">
        <v>1.03E-2</v>
      </c>
      <c r="K6747" s="2">
        <v>1.66E-2</v>
      </c>
      <c r="L6747" s="2">
        <v>1.01E-2</v>
      </c>
      <c r="M6747" s="2">
        <v>1.3299999999999999E-2</v>
      </c>
      <c r="N6747" s="2">
        <v>6.6E-3</v>
      </c>
      <c r="O6747" s="2">
        <v>4.4999999999999997E-3</v>
      </c>
      <c r="P6747" s="2">
        <v>5.0000000000000001E-4</v>
      </c>
      <c r="Q6747" s="2">
        <v>2.9999999999999997E-4</v>
      </c>
      <c r="R6747">
        <v>1768</v>
      </c>
    </row>
    <row r="6748" spans="1:18" x14ac:dyDescent="0.35">
      <c r="A6748" t="s">
        <v>228</v>
      </c>
      <c r="B6748" t="s">
        <v>228</v>
      </c>
      <c r="C6748" s="2">
        <v>0.73970000000000002</v>
      </c>
      <c r="D6748" s="2">
        <v>0.1208</v>
      </c>
      <c r="E6748" s="2">
        <v>5.6599999999999998E-2</v>
      </c>
      <c r="F6748" s="2">
        <v>5.6300000000000003E-2</v>
      </c>
      <c r="G6748" s="2">
        <v>4.7100000000000003E-2</v>
      </c>
      <c r="H6748" s="2">
        <v>3.0599999999999999E-2</v>
      </c>
      <c r="I6748" s="2">
        <v>2.07E-2</v>
      </c>
      <c r="J6748" s="2">
        <v>1.61E-2</v>
      </c>
      <c r="K6748" s="2">
        <v>1.4800000000000001E-2</v>
      </c>
      <c r="L6748" s="2">
        <v>1.3100000000000001E-2</v>
      </c>
      <c r="M6748" s="2">
        <v>1.2999999999999999E-2</v>
      </c>
      <c r="N6748" s="2">
        <v>8.6999999999999994E-3</v>
      </c>
      <c r="O6748" s="2">
        <v>3.8E-3</v>
      </c>
      <c r="P6748" s="2">
        <v>2.2000000000000001E-3</v>
      </c>
      <c r="Q6748" s="2">
        <v>2.0000000000000001E-4</v>
      </c>
      <c r="R6748">
        <v>2749</v>
      </c>
    </row>
    <row r="6750" spans="1:18" x14ac:dyDescent="0.35">
      <c r="A6750" s="1" t="s">
        <v>1775</v>
      </c>
    </row>
    <row r="6751" spans="1:18" x14ac:dyDescent="0.35">
      <c r="A6751" t="s">
        <v>219</v>
      </c>
      <c r="B6751" t="s">
        <v>301</v>
      </c>
      <c r="C6751" t="s">
        <v>1762</v>
      </c>
      <c r="D6751" t="s">
        <v>1763</v>
      </c>
      <c r="E6751" t="s">
        <v>1764</v>
      </c>
      <c r="F6751" t="s">
        <v>1765</v>
      </c>
      <c r="G6751" t="s">
        <v>1766</v>
      </c>
      <c r="H6751" t="s">
        <v>1767</v>
      </c>
      <c r="I6751" t="s">
        <v>1768</v>
      </c>
      <c r="J6751" t="s">
        <v>1769</v>
      </c>
      <c r="K6751" t="s">
        <v>1770</v>
      </c>
      <c r="L6751" t="s">
        <v>318</v>
      </c>
      <c r="M6751" t="s">
        <v>1771</v>
      </c>
      <c r="N6751" t="s">
        <v>1772</v>
      </c>
      <c r="O6751" t="s">
        <v>277</v>
      </c>
      <c r="P6751" t="s">
        <v>1773</v>
      </c>
      <c r="Q6751" t="s">
        <v>282</v>
      </c>
      <c r="R6751" t="s">
        <v>226</v>
      </c>
    </row>
    <row r="6752" spans="1:18" x14ac:dyDescent="0.35">
      <c r="A6752" t="s">
        <v>227</v>
      </c>
      <c r="B6752" t="s">
        <v>235</v>
      </c>
      <c r="C6752" s="2">
        <v>0.75190000000000001</v>
      </c>
      <c r="D6752" s="2">
        <v>0.10780000000000001</v>
      </c>
      <c r="E6752" s="2">
        <v>6.8699999999999997E-2</v>
      </c>
      <c r="F6752" s="2">
        <v>7.8100000000000003E-2</v>
      </c>
      <c r="G6752" s="2">
        <v>3.3799999999999997E-2</v>
      </c>
      <c r="H6752" s="2">
        <v>2.7E-2</v>
      </c>
      <c r="I6752" s="2">
        <v>1.0699999999999999E-2</v>
      </c>
      <c r="J6752" s="2">
        <v>1.44E-2</v>
      </c>
      <c r="K6752" s="2">
        <v>8.8000000000000005E-3</v>
      </c>
      <c r="L6752" s="2">
        <v>1.14E-2</v>
      </c>
      <c r="M6752" s="2">
        <v>9.1000000000000004E-3</v>
      </c>
      <c r="N6752" s="2">
        <v>2.5999999999999999E-3</v>
      </c>
      <c r="O6752" s="2">
        <v>4.0000000000000001E-3</v>
      </c>
      <c r="P6752" s="2">
        <v>1.6999999999999999E-3</v>
      </c>
      <c r="R6752">
        <v>970</v>
      </c>
    </row>
    <row r="6753" spans="1:18" x14ac:dyDescent="0.35">
      <c r="A6753" t="s">
        <v>227</v>
      </c>
      <c r="B6753" t="s">
        <v>234</v>
      </c>
      <c r="C6753" s="2">
        <v>0.73460000000000003</v>
      </c>
      <c r="D6753" s="2">
        <v>0.1263</v>
      </c>
      <c r="E6753" s="2">
        <v>5.1499999999999997E-2</v>
      </c>
      <c r="F6753" s="2">
        <v>4.7100000000000003E-2</v>
      </c>
      <c r="G6753" s="2">
        <v>5.28E-2</v>
      </c>
      <c r="H6753" s="2">
        <v>3.2199999999999999E-2</v>
      </c>
      <c r="I6753" s="2">
        <v>2.4899999999999999E-2</v>
      </c>
      <c r="J6753" s="2">
        <v>1.6799999999999999E-2</v>
      </c>
      <c r="K6753" s="2">
        <v>1.7399999999999999E-2</v>
      </c>
      <c r="L6753" s="2">
        <v>1.38E-2</v>
      </c>
      <c r="M6753" s="2">
        <v>1.46E-2</v>
      </c>
      <c r="N6753" s="2">
        <v>1.1299999999999999E-2</v>
      </c>
      <c r="O6753" s="2">
        <v>3.8E-3</v>
      </c>
      <c r="P6753" s="2">
        <v>2.3999999999999998E-3</v>
      </c>
      <c r="Q6753" s="2">
        <v>2.9999999999999997E-4</v>
      </c>
      <c r="R6753">
        <v>1779</v>
      </c>
    </row>
    <row r="6754" spans="1:18" x14ac:dyDescent="0.35">
      <c r="A6754" t="s">
        <v>228</v>
      </c>
      <c r="B6754" t="s">
        <v>228</v>
      </c>
      <c r="C6754" s="2">
        <v>0.73970000000000002</v>
      </c>
      <c r="D6754" s="2">
        <v>0.1208</v>
      </c>
      <c r="E6754" s="2">
        <v>5.6599999999999998E-2</v>
      </c>
      <c r="F6754" s="2">
        <v>5.6300000000000003E-2</v>
      </c>
      <c r="G6754" s="2">
        <v>4.7100000000000003E-2</v>
      </c>
      <c r="H6754" s="2">
        <v>3.0599999999999999E-2</v>
      </c>
      <c r="I6754" s="2">
        <v>2.07E-2</v>
      </c>
      <c r="J6754" s="2">
        <v>1.61E-2</v>
      </c>
      <c r="K6754" s="2">
        <v>1.4800000000000001E-2</v>
      </c>
      <c r="L6754" s="2">
        <v>1.3100000000000001E-2</v>
      </c>
      <c r="M6754" s="2">
        <v>1.2999999999999999E-2</v>
      </c>
      <c r="N6754" s="2">
        <v>8.6999999999999994E-3</v>
      </c>
      <c r="O6754" s="2">
        <v>3.8E-3</v>
      </c>
      <c r="P6754" s="2">
        <v>2.2000000000000001E-3</v>
      </c>
      <c r="Q6754" s="2">
        <v>2.0000000000000001E-4</v>
      </c>
      <c r="R6754">
        <v>2749</v>
      </c>
    </row>
    <row r="6756" spans="1:18" x14ac:dyDescent="0.35">
      <c r="A6756" s="1" t="s">
        <v>1776</v>
      </c>
    </row>
    <row r="6757" spans="1:18" x14ac:dyDescent="0.35">
      <c r="A6757" t="s">
        <v>219</v>
      </c>
      <c r="B6757" t="s">
        <v>301</v>
      </c>
      <c r="C6757" t="s">
        <v>1762</v>
      </c>
      <c r="D6757" t="s">
        <v>1763</v>
      </c>
      <c r="E6757" t="s">
        <v>1764</v>
      </c>
      <c r="F6757" t="s">
        <v>1765</v>
      </c>
      <c r="G6757" t="s">
        <v>1766</v>
      </c>
      <c r="H6757" t="s">
        <v>1767</v>
      </c>
      <c r="I6757" t="s">
        <v>1768</v>
      </c>
      <c r="J6757" t="s">
        <v>1769</v>
      </c>
      <c r="K6757" t="s">
        <v>1770</v>
      </c>
      <c r="L6757" t="s">
        <v>318</v>
      </c>
      <c r="M6757" t="s">
        <v>1771</v>
      </c>
      <c r="N6757" t="s">
        <v>1772</v>
      </c>
      <c r="O6757" t="s">
        <v>277</v>
      </c>
      <c r="P6757" t="s">
        <v>1773</v>
      </c>
      <c r="Q6757" t="s">
        <v>282</v>
      </c>
      <c r="R6757" t="s">
        <v>226</v>
      </c>
    </row>
    <row r="6758" spans="1:18" x14ac:dyDescent="0.35">
      <c r="A6758" t="s">
        <v>227</v>
      </c>
      <c r="B6758" t="s">
        <v>240</v>
      </c>
      <c r="C6758" s="2">
        <v>0.73229999999999995</v>
      </c>
      <c r="D6758" s="2">
        <v>0.12590000000000001</v>
      </c>
      <c r="E6758" s="2">
        <v>5.6899999999999999E-2</v>
      </c>
      <c r="F6758" s="2">
        <v>5.5899999999999998E-2</v>
      </c>
      <c r="G6758" s="2">
        <v>0.05</v>
      </c>
      <c r="H6758" s="2">
        <v>3.2099999999999997E-2</v>
      </c>
      <c r="I6758" s="2">
        <v>2.4400000000000002E-2</v>
      </c>
      <c r="J6758" s="2">
        <v>1.61E-2</v>
      </c>
      <c r="K6758" s="2">
        <v>1.4E-2</v>
      </c>
      <c r="L6758" s="2">
        <v>1.3899999999999999E-2</v>
      </c>
      <c r="M6758" s="2">
        <v>1.2E-2</v>
      </c>
      <c r="N6758" s="2">
        <v>6.8999999999999999E-3</v>
      </c>
      <c r="O6758" s="2">
        <v>1.5E-3</v>
      </c>
      <c r="P6758" s="2">
        <v>1.6000000000000001E-3</v>
      </c>
      <c r="Q6758" s="2">
        <v>2.0000000000000001E-4</v>
      </c>
      <c r="R6758">
        <v>1720</v>
      </c>
    </row>
    <row r="6759" spans="1:18" x14ac:dyDescent="0.35">
      <c r="A6759" t="s">
        <v>227</v>
      </c>
      <c r="B6759" t="s">
        <v>241</v>
      </c>
      <c r="C6759" s="2">
        <v>0.77149999999999996</v>
      </c>
      <c r="D6759" s="2">
        <v>0.1023</v>
      </c>
      <c r="E6759" s="2">
        <v>5.2200000000000003E-2</v>
      </c>
      <c r="F6759" s="2">
        <v>4.8399999999999999E-2</v>
      </c>
      <c r="G6759" s="2">
        <v>1.7399999999999999E-2</v>
      </c>
      <c r="H6759" s="2">
        <v>2.4400000000000002E-2</v>
      </c>
      <c r="I6759" s="2">
        <v>1.2699999999999999E-2</v>
      </c>
      <c r="J6759" s="2">
        <v>9.1000000000000004E-3</v>
      </c>
      <c r="K6759" s="2">
        <v>5.7999999999999996E-3</v>
      </c>
      <c r="L6759" s="2">
        <v>1.06E-2</v>
      </c>
      <c r="M6759" s="2">
        <v>1.54E-2</v>
      </c>
      <c r="N6759" s="2">
        <v>1.3299999999999999E-2</v>
      </c>
      <c r="O6759" s="2">
        <v>9.7000000000000003E-3</v>
      </c>
      <c r="P6759" s="2">
        <v>3.8999999999999998E-3</v>
      </c>
      <c r="Q6759" s="2">
        <v>4.0000000000000002E-4</v>
      </c>
      <c r="R6759">
        <v>867</v>
      </c>
    </row>
    <row r="6760" spans="1:18" x14ac:dyDescent="0.35">
      <c r="A6760" t="s">
        <v>227</v>
      </c>
      <c r="B6760" t="s">
        <v>242</v>
      </c>
      <c r="C6760" s="2">
        <v>0.67169999999999996</v>
      </c>
      <c r="D6760" s="2">
        <v>0.15329999999999999</v>
      </c>
      <c r="E6760" s="2">
        <v>7.2999999999999995E-2</v>
      </c>
      <c r="F6760" s="2">
        <v>9.5100000000000004E-2</v>
      </c>
      <c r="G6760" s="2">
        <v>0.1502</v>
      </c>
      <c r="H6760" s="2">
        <v>4.3499999999999997E-2</v>
      </c>
      <c r="I6760" s="2">
        <v>2.06E-2</v>
      </c>
      <c r="J6760" s="2">
        <v>4.5900000000000003E-2</v>
      </c>
      <c r="K6760" s="2">
        <v>6.2E-2</v>
      </c>
      <c r="L6760" s="2">
        <v>1.5699999999999999E-2</v>
      </c>
      <c r="M6760" s="2">
        <v>1.21E-2</v>
      </c>
      <c r="N6760" s="2">
        <v>6.0000000000000001E-3</v>
      </c>
      <c r="P6760" s="2">
        <v>4.0000000000000002E-4</v>
      </c>
      <c r="R6760">
        <v>162</v>
      </c>
    </row>
    <row r="6761" spans="1:18" x14ac:dyDescent="0.35">
      <c r="A6761" t="s">
        <v>228</v>
      </c>
      <c r="B6761" t="s">
        <v>228</v>
      </c>
      <c r="C6761" s="2">
        <v>0.73970000000000002</v>
      </c>
      <c r="D6761" s="2">
        <v>0.1208</v>
      </c>
      <c r="E6761" s="2">
        <v>5.6599999999999998E-2</v>
      </c>
      <c r="F6761" s="2">
        <v>5.6300000000000003E-2</v>
      </c>
      <c r="G6761" s="2">
        <v>4.7100000000000003E-2</v>
      </c>
      <c r="H6761" s="2">
        <v>3.0599999999999999E-2</v>
      </c>
      <c r="I6761" s="2">
        <v>2.07E-2</v>
      </c>
      <c r="J6761" s="2">
        <v>1.61E-2</v>
      </c>
      <c r="K6761" s="2">
        <v>1.4800000000000001E-2</v>
      </c>
      <c r="L6761" s="2">
        <v>1.3100000000000001E-2</v>
      </c>
      <c r="M6761" s="2">
        <v>1.2999999999999999E-2</v>
      </c>
      <c r="N6761" s="2">
        <v>8.6999999999999994E-3</v>
      </c>
      <c r="O6761" s="2">
        <v>3.8E-3</v>
      </c>
      <c r="P6761" s="2">
        <v>2.2000000000000001E-3</v>
      </c>
      <c r="Q6761" s="2">
        <v>2.0000000000000001E-4</v>
      </c>
      <c r="R6761">
        <v>2749</v>
      </c>
    </row>
    <row r="6763" spans="1:18" x14ac:dyDescent="0.35">
      <c r="A6763" s="1" t="s">
        <v>1777</v>
      </c>
    </row>
    <row r="6764" spans="1:18" x14ac:dyDescent="0.35">
      <c r="A6764" t="s">
        <v>219</v>
      </c>
      <c r="B6764" t="s">
        <v>301</v>
      </c>
      <c r="C6764" t="s">
        <v>1762</v>
      </c>
      <c r="D6764" t="s">
        <v>1763</v>
      </c>
      <c r="E6764" t="s">
        <v>1764</v>
      </c>
      <c r="F6764" t="s">
        <v>1765</v>
      </c>
      <c r="G6764" t="s">
        <v>1766</v>
      </c>
      <c r="H6764" t="s">
        <v>1767</v>
      </c>
      <c r="I6764" t="s">
        <v>1768</v>
      </c>
      <c r="J6764" t="s">
        <v>1769</v>
      </c>
      <c r="K6764" t="s">
        <v>1770</v>
      </c>
      <c r="L6764" t="s">
        <v>318</v>
      </c>
      <c r="M6764" t="s">
        <v>1771</v>
      </c>
      <c r="N6764" t="s">
        <v>1772</v>
      </c>
      <c r="O6764" t="s">
        <v>277</v>
      </c>
      <c r="P6764" t="s">
        <v>1773</v>
      </c>
      <c r="Q6764" t="s">
        <v>282</v>
      </c>
      <c r="R6764" t="s">
        <v>226</v>
      </c>
    </row>
    <row r="6765" spans="1:18" x14ac:dyDescent="0.35">
      <c r="A6765" t="s">
        <v>227</v>
      </c>
      <c r="B6765" t="s">
        <v>334</v>
      </c>
      <c r="C6765" s="2">
        <v>0.67330000000000001</v>
      </c>
      <c r="D6765" s="2">
        <v>0.1351</v>
      </c>
      <c r="E6765" s="2">
        <v>0.10009999999999999</v>
      </c>
      <c r="F6765" s="2">
        <v>7.7100000000000002E-2</v>
      </c>
      <c r="G6765" s="2">
        <v>6.8900000000000003E-2</v>
      </c>
      <c r="H6765" s="2">
        <v>2.23E-2</v>
      </c>
      <c r="I6765" s="2">
        <v>3.7100000000000001E-2</v>
      </c>
      <c r="J6765" s="2">
        <v>1.34E-2</v>
      </c>
      <c r="K6765" s="2">
        <v>2.53E-2</v>
      </c>
      <c r="L6765" s="2">
        <v>2.0500000000000001E-2</v>
      </c>
      <c r="M6765" s="2">
        <v>1.24E-2</v>
      </c>
      <c r="N6765" s="2">
        <v>9.1000000000000004E-3</v>
      </c>
      <c r="O6765" s="2">
        <v>5.0000000000000001E-3</v>
      </c>
      <c r="P6765" s="2">
        <v>7.3000000000000001E-3</v>
      </c>
      <c r="R6765">
        <v>610</v>
      </c>
    </row>
    <row r="6766" spans="1:18" x14ac:dyDescent="0.35">
      <c r="A6766" t="s">
        <v>227</v>
      </c>
      <c r="B6766" t="s">
        <v>335</v>
      </c>
      <c r="C6766" s="2">
        <v>0.78100000000000003</v>
      </c>
      <c r="D6766" s="2">
        <v>9.2100000000000001E-2</v>
      </c>
      <c r="E6766" s="2">
        <v>4.0399999999999998E-2</v>
      </c>
      <c r="F6766" s="2">
        <v>3.4599999999999999E-2</v>
      </c>
      <c r="G6766" s="2">
        <v>4.5900000000000003E-2</v>
      </c>
      <c r="H6766" s="2">
        <v>3.3099999999999997E-2</v>
      </c>
      <c r="I6766" s="2">
        <v>1.52E-2</v>
      </c>
      <c r="J6766" s="2">
        <v>2.4E-2</v>
      </c>
      <c r="L6766" s="2">
        <v>1.2500000000000001E-2</v>
      </c>
      <c r="M6766" s="2">
        <v>2.0899999999999998E-2</v>
      </c>
      <c r="N6766" s="2">
        <v>9.1999999999999998E-3</v>
      </c>
      <c r="O6766" s="2">
        <v>8.3999999999999995E-3</v>
      </c>
      <c r="Q6766" s="2">
        <v>1E-4</v>
      </c>
      <c r="R6766">
        <v>610</v>
      </c>
    </row>
    <row r="6767" spans="1:18" x14ac:dyDescent="0.35">
      <c r="A6767" t="s">
        <v>227</v>
      </c>
      <c r="B6767" t="s">
        <v>336</v>
      </c>
      <c r="C6767" s="2">
        <v>0.77659999999999996</v>
      </c>
      <c r="D6767" s="2">
        <v>0.14480000000000001</v>
      </c>
      <c r="E6767" s="2">
        <v>4.7E-2</v>
      </c>
      <c r="F6767" s="2">
        <v>5.8099999999999999E-2</v>
      </c>
      <c r="G6767" s="2">
        <v>2.5700000000000001E-2</v>
      </c>
      <c r="H6767" s="2">
        <v>4.07E-2</v>
      </c>
      <c r="I6767" s="2">
        <v>1.9099999999999999E-2</v>
      </c>
      <c r="J6767" s="2">
        <v>1.0699999999999999E-2</v>
      </c>
      <c r="K6767" s="2">
        <v>5.1000000000000004E-3</v>
      </c>
      <c r="L6767" s="2">
        <v>3.5999999999999999E-3</v>
      </c>
      <c r="M6767" s="2">
        <v>4.4000000000000003E-3</v>
      </c>
      <c r="N6767" s="2">
        <v>6.4999999999999997E-3</v>
      </c>
      <c r="P6767" s="2">
        <v>3.3E-3</v>
      </c>
      <c r="Q6767" s="2">
        <v>4.0000000000000002E-4</v>
      </c>
      <c r="R6767">
        <v>616</v>
      </c>
    </row>
    <row r="6768" spans="1:18" x14ac:dyDescent="0.35">
      <c r="A6768" t="s">
        <v>227</v>
      </c>
      <c r="B6768" t="s">
        <v>337</v>
      </c>
      <c r="C6768" s="2">
        <v>0.69710000000000005</v>
      </c>
      <c r="D6768" s="2">
        <v>0.13600000000000001</v>
      </c>
      <c r="E6768" s="2">
        <v>5.0999999999999997E-2</v>
      </c>
      <c r="F6768" s="2">
        <v>5.7000000000000002E-2</v>
      </c>
      <c r="G6768" s="2">
        <v>5.5100000000000003E-2</v>
      </c>
      <c r="H6768" s="2">
        <v>3.1199999999999999E-2</v>
      </c>
      <c r="I6768" s="2">
        <v>1.72E-2</v>
      </c>
      <c r="J6768" s="2">
        <v>1.83E-2</v>
      </c>
      <c r="K6768" s="2">
        <v>3.1899999999999998E-2</v>
      </c>
      <c r="L6768" s="2">
        <v>2.0500000000000001E-2</v>
      </c>
      <c r="M6768" s="2">
        <v>1.18E-2</v>
      </c>
      <c r="N6768" s="2">
        <v>1.17E-2</v>
      </c>
      <c r="O6768" s="2">
        <v>1.1000000000000001E-3</v>
      </c>
      <c r="R6768">
        <v>586</v>
      </c>
    </row>
    <row r="6769" spans="1:18" x14ac:dyDescent="0.35">
      <c r="A6769" t="s">
        <v>228</v>
      </c>
      <c r="B6769" t="s">
        <v>228</v>
      </c>
      <c r="C6769" s="2">
        <v>0.73970000000000002</v>
      </c>
      <c r="D6769" s="2">
        <v>0.1208</v>
      </c>
      <c r="E6769" s="2">
        <v>5.6599999999999998E-2</v>
      </c>
      <c r="F6769" s="2">
        <v>5.6300000000000003E-2</v>
      </c>
      <c r="G6769" s="2">
        <v>4.7100000000000003E-2</v>
      </c>
      <c r="H6769" s="2">
        <v>3.0599999999999999E-2</v>
      </c>
      <c r="I6769" s="2">
        <v>2.07E-2</v>
      </c>
      <c r="J6769" s="2">
        <v>1.61E-2</v>
      </c>
      <c r="K6769" s="2">
        <v>1.4800000000000001E-2</v>
      </c>
      <c r="L6769" s="2">
        <v>1.3100000000000001E-2</v>
      </c>
      <c r="M6769" s="2">
        <v>1.2999999999999999E-2</v>
      </c>
      <c r="N6769" s="2">
        <v>8.6999999999999994E-3</v>
      </c>
      <c r="O6769" s="2">
        <v>3.8E-3</v>
      </c>
      <c r="P6769" s="2">
        <v>2.2000000000000001E-3</v>
      </c>
      <c r="Q6769" s="2">
        <v>2.0000000000000001E-4</v>
      </c>
      <c r="R6769">
        <v>2422</v>
      </c>
    </row>
    <row r="6771" spans="1:18" x14ac:dyDescent="0.35">
      <c r="A6771" s="1" t="s">
        <v>1778</v>
      </c>
    </row>
    <row r="6772" spans="1:18" x14ac:dyDescent="0.35">
      <c r="A6772" t="s">
        <v>219</v>
      </c>
      <c r="B6772" t="s">
        <v>301</v>
      </c>
      <c r="C6772" t="s">
        <v>1762</v>
      </c>
      <c r="D6772" t="s">
        <v>1763</v>
      </c>
      <c r="E6772" t="s">
        <v>1764</v>
      </c>
      <c r="F6772" t="s">
        <v>1765</v>
      </c>
      <c r="G6772" t="s">
        <v>1766</v>
      </c>
      <c r="H6772" t="s">
        <v>1767</v>
      </c>
      <c r="I6772" t="s">
        <v>1768</v>
      </c>
      <c r="J6772" t="s">
        <v>1769</v>
      </c>
      <c r="K6772" t="s">
        <v>1770</v>
      </c>
      <c r="L6772" t="s">
        <v>318</v>
      </c>
      <c r="M6772" t="s">
        <v>1771</v>
      </c>
      <c r="N6772" t="s">
        <v>1772</v>
      </c>
      <c r="O6772" t="s">
        <v>277</v>
      </c>
      <c r="P6772" t="s">
        <v>1773</v>
      </c>
      <c r="Q6772" t="s">
        <v>282</v>
      </c>
      <c r="R6772" t="s">
        <v>226</v>
      </c>
    </row>
    <row r="6773" spans="1:18" x14ac:dyDescent="0.35">
      <c r="A6773" t="s">
        <v>227</v>
      </c>
      <c r="B6773" t="s">
        <v>263</v>
      </c>
      <c r="C6773" s="2">
        <v>0.76190000000000002</v>
      </c>
      <c r="D6773" s="2">
        <v>0.10299999999999999</v>
      </c>
      <c r="E6773" s="2">
        <v>3.4200000000000001E-2</v>
      </c>
      <c r="F6773" s="2">
        <v>6.4199999999999993E-2</v>
      </c>
      <c r="G6773" s="2">
        <v>0.04</v>
      </c>
      <c r="H6773" s="2">
        <v>3.3399999999999999E-2</v>
      </c>
      <c r="I6773" s="2">
        <v>1.84E-2</v>
      </c>
      <c r="J6773" s="2">
        <v>1.5599999999999999E-2</v>
      </c>
      <c r="K6773" s="2">
        <v>1.8200000000000001E-2</v>
      </c>
      <c r="L6773" s="2">
        <v>1.1599999999999999E-2</v>
      </c>
      <c r="M6773" s="2">
        <v>1.52E-2</v>
      </c>
      <c r="N6773" s="2">
        <v>1.52E-2</v>
      </c>
      <c r="Q6773" s="2">
        <v>5.0000000000000001E-4</v>
      </c>
      <c r="R6773">
        <v>573</v>
      </c>
    </row>
    <row r="6774" spans="1:18" x14ac:dyDescent="0.35">
      <c r="A6774" t="s">
        <v>227</v>
      </c>
      <c r="B6774" t="s">
        <v>262</v>
      </c>
      <c r="C6774" s="2">
        <v>0.72140000000000004</v>
      </c>
      <c r="D6774" s="2">
        <v>0.12479999999999999</v>
      </c>
      <c r="E6774" s="2">
        <v>7.7600000000000002E-2</v>
      </c>
      <c r="F6774" s="2">
        <v>4.87E-2</v>
      </c>
      <c r="G6774" s="2">
        <v>3.7600000000000001E-2</v>
      </c>
      <c r="H6774" s="2">
        <v>2.8199999999999999E-2</v>
      </c>
      <c r="I6774" s="2">
        <v>2.5000000000000001E-2</v>
      </c>
      <c r="J6774" s="2">
        <v>1.4800000000000001E-2</v>
      </c>
      <c r="K6774" s="2">
        <v>7.4000000000000003E-3</v>
      </c>
      <c r="L6774" s="2">
        <v>1.6E-2</v>
      </c>
      <c r="M6774" s="2">
        <v>1.9400000000000001E-2</v>
      </c>
      <c r="N6774" s="2">
        <v>1.2999999999999999E-2</v>
      </c>
      <c r="O6774" s="2">
        <v>8.0999999999999996E-3</v>
      </c>
      <c r="P6774" s="2">
        <v>5.4000000000000003E-3</v>
      </c>
      <c r="Q6774" s="2">
        <v>2.9999999999999997E-4</v>
      </c>
      <c r="R6774">
        <v>1132</v>
      </c>
    </row>
    <row r="6775" spans="1:18" x14ac:dyDescent="0.35">
      <c r="A6775" t="s">
        <v>227</v>
      </c>
      <c r="B6775" t="s">
        <v>261</v>
      </c>
      <c r="C6775" s="2">
        <v>0.74609999999999999</v>
      </c>
      <c r="D6775" s="2">
        <v>0.12620000000000001</v>
      </c>
      <c r="E6775" s="2">
        <v>4.9200000000000001E-2</v>
      </c>
      <c r="F6775" s="2">
        <v>5.7700000000000001E-2</v>
      </c>
      <c r="G6775" s="2">
        <v>5.8900000000000001E-2</v>
      </c>
      <c r="H6775" s="2">
        <v>0.03</v>
      </c>
      <c r="I6775" s="2">
        <v>1.8100000000000002E-2</v>
      </c>
      <c r="J6775" s="2">
        <v>1.7399999999999999E-2</v>
      </c>
      <c r="K6775" s="2">
        <v>1.9699999999999999E-2</v>
      </c>
      <c r="L6775" s="2">
        <v>1.12E-2</v>
      </c>
      <c r="M6775" s="2">
        <v>6.4000000000000003E-3</v>
      </c>
      <c r="N6775" s="2">
        <v>2E-3</v>
      </c>
      <c r="O6775" s="2">
        <v>2E-3</v>
      </c>
      <c r="P6775" s="2">
        <v>5.0000000000000001E-4</v>
      </c>
      <c r="R6775">
        <v>1043</v>
      </c>
    </row>
    <row r="6776" spans="1:18" x14ac:dyDescent="0.35">
      <c r="A6776" s="3" t="s">
        <v>227</v>
      </c>
      <c r="B6776" s="3" t="s">
        <v>232</v>
      </c>
      <c r="C6776" s="5"/>
      <c r="D6776" s="5"/>
      <c r="E6776" s="5"/>
      <c r="F6776" s="4">
        <v>1</v>
      </c>
      <c r="G6776" s="5"/>
      <c r="H6776" s="4">
        <v>1</v>
      </c>
      <c r="I6776" s="5"/>
      <c r="J6776" s="5"/>
      <c r="K6776" s="5"/>
      <c r="L6776" s="5"/>
      <c r="M6776" s="5"/>
      <c r="N6776" s="5"/>
      <c r="O6776" s="5"/>
      <c r="P6776" s="5"/>
      <c r="Q6776" s="5"/>
      <c r="R6776" s="5" t="s">
        <v>323</v>
      </c>
    </row>
    <row r="6777" spans="1:18" x14ac:dyDescent="0.35">
      <c r="A6777" t="s">
        <v>228</v>
      </c>
      <c r="B6777" t="s">
        <v>228</v>
      </c>
      <c r="C6777" s="2">
        <v>0.73970000000000002</v>
      </c>
      <c r="D6777" s="2">
        <v>0.1208</v>
      </c>
      <c r="E6777" s="2">
        <v>5.6599999999999998E-2</v>
      </c>
      <c r="F6777" s="2">
        <v>5.6300000000000003E-2</v>
      </c>
      <c r="G6777" s="2">
        <v>4.7100000000000003E-2</v>
      </c>
      <c r="H6777" s="2">
        <v>3.0599999999999999E-2</v>
      </c>
      <c r="I6777" s="2">
        <v>2.07E-2</v>
      </c>
      <c r="J6777" s="2">
        <v>1.61E-2</v>
      </c>
      <c r="K6777" s="2">
        <v>1.4800000000000001E-2</v>
      </c>
      <c r="L6777" s="2">
        <v>1.3100000000000001E-2</v>
      </c>
      <c r="M6777" s="2">
        <v>1.2999999999999999E-2</v>
      </c>
      <c r="N6777" s="2">
        <v>8.6999999999999994E-3</v>
      </c>
      <c r="O6777" s="2">
        <v>3.8E-3</v>
      </c>
      <c r="P6777" s="2">
        <v>2.2000000000000001E-3</v>
      </c>
      <c r="Q6777" s="2">
        <v>2.0000000000000001E-4</v>
      </c>
      <c r="R6777">
        <v>2749</v>
      </c>
    </row>
    <row r="6779" spans="1:18" x14ac:dyDescent="0.35">
      <c r="A6779" s="1" t="s">
        <v>1779</v>
      </c>
    </row>
    <row r="6780" spans="1:18" x14ac:dyDescent="0.35">
      <c r="A6780" t="s">
        <v>219</v>
      </c>
      <c r="B6780" t="s">
        <v>301</v>
      </c>
      <c r="C6780" t="s">
        <v>1762</v>
      </c>
      <c r="D6780" t="s">
        <v>1763</v>
      </c>
      <c r="E6780" t="s">
        <v>1764</v>
      </c>
      <c r="F6780" t="s">
        <v>1765</v>
      </c>
      <c r="G6780" t="s">
        <v>1766</v>
      </c>
      <c r="H6780" t="s">
        <v>1767</v>
      </c>
      <c r="I6780" t="s">
        <v>1768</v>
      </c>
      <c r="J6780" t="s">
        <v>1769</v>
      </c>
      <c r="K6780" t="s">
        <v>1770</v>
      </c>
      <c r="L6780" t="s">
        <v>318</v>
      </c>
      <c r="M6780" t="s">
        <v>1771</v>
      </c>
      <c r="N6780" t="s">
        <v>1772</v>
      </c>
      <c r="O6780" t="s">
        <v>277</v>
      </c>
      <c r="P6780" t="s">
        <v>1773</v>
      </c>
      <c r="Q6780" t="s">
        <v>282</v>
      </c>
      <c r="R6780" t="s">
        <v>226</v>
      </c>
    </row>
    <row r="6781" spans="1:18" x14ac:dyDescent="0.35">
      <c r="A6781" t="s">
        <v>227</v>
      </c>
      <c r="B6781" t="s">
        <v>248</v>
      </c>
      <c r="C6781" s="2">
        <v>0.79100000000000004</v>
      </c>
      <c r="D6781" s="2">
        <v>0.108</v>
      </c>
      <c r="E6781" s="2">
        <v>4.8599999999999997E-2</v>
      </c>
      <c r="F6781" s="2">
        <v>5.2400000000000002E-2</v>
      </c>
      <c r="G6781" s="2">
        <v>1.0500000000000001E-2</v>
      </c>
      <c r="H6781" s="2">
        <v>2.52E-2</v>
      </c>
      <c r="I6781" s="2">
        <v>1.4999999999999999E-2</v>
      </c>
      <c r="J6781" s="2">
        <v>2.5999999999999999E-3</v>
      </c>
      <c r="K6781" s="2">
        <v>6.1000000000000004E-3</v>
      </c>
      <c r="L6781" s="2">
        <v>1.0500000000000001E-2</v>
      </c>
      <c r="M6781" s="2">
        <v>4.0000000000000001E-3</v>
      </c>
      <c r="N6781" s="2">
        <v>8.2000000000000007E-3</v>
      </c>
      <c r="O6781" s="2">
        <v>1.2999999999999999E-3</v>
      </c>
      <c r="P6781" s="2">
        <v>6.1999999999999998E-3</v>
      </c>
      <c r="Q6781" s="2">
        <v>4.0000000000000002E-4</v>
      </c>
      <c r="R6781">
        <v>782</v>
      </c>
    </row>
    <row r="6782" spans="1:18" x14ac:dyDescent="0.35">
      <c r="A6782" t="s">
        <v>227</v>
      </c>
      <c r="B6782" t="s">
        <v>249</v>
      </c>
      <c r="C6782" s="2">
        <v>0.67359999999999998</v>
      </c>
      <c r="D6782" s="2">
        <v>0.13589999999999999</v>
      </c>
      <c r="E6782" s="2">
        <v>8.9800000000000005E-2</v>
      </c>
      <c r="F6782" s="2">
        <v>4.3700000000000003E-2</v>
      </c>
      <c r="G6782" s="2">
        <v>7.3899999999999993E-2</v>
      </c>
      <c r="H6782" s="2">
        <v>4.4299999999999999E-2</v>
      </c>
      <c r="I6782" s="2">
        <v>4.2099999999999999E-2</v>
      </c>
      <c r="J6782" s="2">
        <v>2.07E-2</v>
      </c>
      <c r="K6782" s="2">
        <v>2.6800000000000001E-2</v>
      </c>
      <c r="L6782" s="2">
        <v>1.35E-2</v>
      </c>
      <c r="M6782" s="2">
        <v>1.9699999999999999E-2</v>
      </c>
      <c r="N6782" s="2">
        <v>5.7999999999999996E-3</v>
      </c>
      <c r="P6782" s="2">
        <v>8.0000000000000004E-4</v>
      </c>
      <c r="R6782">
        <v>526</v>
      </c>
    </row>
    <row r="6783" spans="1:18" x14ac:dyDescent="0.35">
      <c r="A6783" t="s">
        <v>227</v>
      </c>
      <c r="B6783" t="s">
        <v>247</v>
      </c>
      <c r="C6783" s="2">
        <v>0.73699999999999999</v>
      </c>
      <c r="D6783" s="2">
        <v>0.122</v>
      </c>
      <c r="E6783" s="2">
        <v>4.8599999999999997E-2</v>
      </c>
      <c r="F6783" s="2">
        <v>6.3E-2</v>
      </c>
      <c r="G6783" s="2">
        <v>5.6599999999999998E-2</v>
      </c>
      <c r="H6783" s="2">
        <v>2.8500000000000001E-2</v>
      </c>
      <c r="I6783" s="2">
        <v>1.5900000000000001E-2</v>
      </c>
      <c r="J6783" s="2">
        <v>2.1499999999999998E-2</v>
      </c>
      <c r="K6783" s="2">
        <v>1.4999999999999999E-2</v>
      </c>
      <c r="L6783" s="2">
        <v>1.43E-2</v>
      </c>
      <c r="M6783" s="2">
        <v>1.5299999999999999E-2</v>
      </c>
      <c r="N6783" s="2">
        <v>1.01E-2</v>
      </c>
      <c r="O6783" s="2">
        <v>6.6E-3</v>
      </c>
      <c r="P6783" s="2">
        <v>5.9999999999999995E-4</v>
      </c>
      <c r="Q6783" s="2">
        <v>2.0000000000000001E-4</v>
      </c>
      <c r="R6783">
        <v>1441</v>
      </c>
    </row>
    <row r="6784" spans="1:18" x14ac:dyDescent="0.35">
      <c r="A6784" t="s">
        <v>228</v>
      </c>
      <c r="B6784" t="s">
        <v>228</v>
      </c>
      <c r="C6784" s="2">
        <v>0.73970000000000002</v>
      </c>
      <c r="D6784" s="2">
        <v>0.1208</v>
      </c>
      <c r="E6784" s="2">
        <v>5.6599999999999998E-2</v>
      </c>
      <c r="F6784" s="2">
        <v>5.6300000000000003E-2</v>
      </c>
      <c r="G6784" s="2">
        <v>4.7100000000000003E-2</v>
      </c>
      <c r="H6784" s="2">
        <v>3.0599999999999999E-2</v>
      </c>
      <c r="I6784" s="2">
        <v>2.07E-2</v>
      </c>
      <c r="J6784" s="2">
        <v>1.61E-2</v>
      </c>
      <c r="K6784" s="2">
        <v>1.4800000000000001E-2</v>
      </c>
      <c r="L6784" s="2">
        <v>1.3100000000000001E-2</v>
      </c>
      <c r="M6784" s="2">
        <v>1.2999999999999999E-2</v>
      </c>
      <c r="N6784" s="2">
        <v>8.6999999999999994E-3</v>
      </c>
      <c r="O6784" s="2">
        <v>3.8E-3</v>
      </c>
      <c r="P6784" s="2">
        <v>2.2000000000000001E-3</v>
      </c>
      <c r="Q6784" s="2">
        <v>2.0000000000000001E-4</v>
      </c>
      <c r="R6784">
        <v>2749</v>
      </c>
    </row>
    <row r="6786" spans="1:18" x14ac:dyDescent="0.35">
      <c r="A6786" s="1" t="s">
        <v>1780</v>
      </c>
    </row>
    <row r="6787" spans="1:18" x14ac:dyDescent="0.35">
      <c r="A6787" t="s">
        <v>219</v>
      </c>
      <c r="B6787" t="s">
        <v>301</v>
      </c>
      <c r="C6787" t="s">
        <v>1762</v>
      </c>
      <c r="D6787" t="s">
        <v>1763</v>
      </c>
      <c r="E6787" t="s">
        <v>1764</v>
      </c>
      <c r="F6787" t="s">
        <v>1765</v>
      </c>
      <c r="G6787" t="s">
        <v>1766</v>
      </c>
      <c r="H6787" t="s">
        <v>1767</v>
      </c>
      <c r="I6787" t="s">
        <v>1768</v>
      </c>
      <c r="J6787" t="s">
        <v>1769</v>
      </c>
      <c r="K6787" t="s">
        <v>1770</v>
      </c>
      <c r="L6787" t="s">
        <v>318</v>
      </c>
      <c r="M6787" t="s">
        <v>1771</v>
      </c>
      <c r="N6787" t="s">
        <v>1772</v>
      </c>
      <c r="O6787" t="s">
        <v>277</v>
      </c>
      <c r="P6787" t="s">
        <v>1773</v>
      </c>
      <c r="Q6787" t="s">
        <v>282</v>
      </c>
      <c r="R6787" t="s">
        <v>226</v>
      </c>
    </row>
    <row r="6788" spans="1:18" x14ac:dyDescent="0.35">
      <c r="A6788" t="s">
        <v>227</v>
      </c>
      <c r="B6788" t="s">
        <v>245</v>
      </c>
      <c r="C6788" s="2">
        <v>0.65669999999999995</v>
      </c>
      <c r="D6788" s="2">
        <v>0.1608</v>
      </c>
      <c r="E6788" s="2">
        <v>7.6999999999999999E-2</v>
      </c>
      <c r="F6788" s="2">
        <v>6.9900000000000004E-2</v>
      </c>
      <c r="G6788" s="2">
        <v>0.1158</v>
      </c>
      <c r="H6788" s="2">
        <v>4.07E-2</v>
      </c>
      <c r="I6788" s="2">
        <v>3.1399999999999997E-2</v>
      </c>
      <c r="J6788" s="2">
        <v>3.85E-2</v>
      </c>
      <c r="K6788" s="2">
        <v>3.1600000000000003E-2</v>
      </c>
      <c r="L6788" s="2">
        <v>1.9199999999999998E-2</v>
      </c>
      <c r="M6788" s="2">
        <v>1.2E-2</v>
      </c>
      <c r="N6788" s="2">
        <v>1.32E-2</v>
      </c>
      <c r="O6788" s="2">
        <v>1E-4</v>
      </c>
      <c r="P6788" s="2">
        <v>8.0000000000000004E-4</v>
      </c>
      <c r="R6788">
        <v>770</v>
      </c>
    </row>
    <row r="6789" spans="1:18" x14ac:dyDescent="0.35">
      <c r="A6789" t="s">
        <v>227</v>
      </c>
      <c r="B6789" t="s">
        <v>244</v>
      </c>
      <c r="C6789" s="2">
        <v>0.77290000000000003</v>
      </c>
      <c r="D6789" s="2">
        <v>0.10489999999999999</v>
      </c>
      <c r="E6789" s="2">
        <v>4.8399999999999999E-2</v>
      </c>
      <c r="F6789" s="2">
        <v>5.0900000000000001E-2</v>
      </c>
      <c r="G6789" s="2">
        <v>1.9699999999999999E-2</v>
      </c>
      <c r="H6789" s="2">
        <v>2.6599999999999999E-2</v>
      </c>
      <c r="I6789" s="2">
        <v>1.6500000000000001E-2</v>
      </c>
      <c r="J6789" s="2">
        <v>7.1000000000000004E-3</v>
      </c>
      <c r="K6789" s="2">
        <v>8.0999999999999996E-3</v>
      </c>
      <c r="L6789" s="2">
        <v>1.06E-2</v>
      </c>
      <c r="M6789" s="2">
        <v>1.34E-2</v>
      </c>
      <c r="N6789" s="2">
        <v>7.0000000000000001E-3</v>
      </c>
      <c r="O6789" s="2">
        <v>5.3E-3</v>
      </c>
      <c r="P6789" s="2">
        <v>2.7000000000000001E-3</v>
      </c>
      <c r="Q6789" s="2">
        <v>2.9999999999999997E-4</v>
      </c>
      <c r="R6789">
        <v>1979</v>
      </c>
    </row>
    <row r="6790" spans="1:18" x14ac:dyDescent="0.35">
      <c r="A6790" t="s">
        <v>228</v>
      </c>
      <c r="B6790" t="s">
        <v>228</v>
      </c>
      <c r="C6790" s="2">
        <v>0.73970000000000002</v>
      </c>
      <c r="D6790" s="2">
        <v>0.1208</v>
      </c>
      <c r="E6790" s="2">
        <v>5.6599999999999998E-2</v>
      </c>
      <c r="F6790" s="2">
        <v>5.6300000000000003E-2</v>
      </c>
      <c r="G6790" s="2">
        <v>4.7100000000000003E-2</v>
      </c>
      <c r="H6790" s="2">
        <v>3.0599999999999999E-2</v>
      </c>
      <c r="I6790" s="2">
        <v>2.07E-2</v>
      </c>
      <c r="J6790" s="2">
        <v>1.61E-2</v>
      </c>
      <c r="K6790" s="2">
        <v>1.4800000000000001E-2</v>
      </c>
      <c r="L6790" s="2">
        <v>1.3100000000000001E-2</v>
      </c>
      <c r="M6790" s="2">
        <v>1.2999999999999999E-2</v>
      </c>
      <c r="N6790" s="2">
        <v>8.6999999999999994E-3</v>
      </c>
      <c r="O6790" s="2">
        <v>3.8E-3</v>
      </c>
      <c r="P6790" s="2">
        <v>2.2000000000000001E-3</v>
      </c>
      <c r="Q6790" s="2">
        <v>2.0000000000000001E-4</v>
      </c>
      <c r="R6790">
        <v>2749</v>
      </c>
    </row>
    <row r="6792" spans="1:18" x14ac:dyDescent="0.35">
      <c r="A6792" s="1" t="s">
        <v>1781</v>
      </c>
    </row>
    <row r="6793" spans="1:18" x14ac:dyDescent="0.35">
      <c r="A6793" t="s">
        <v>219</v>
      </c>
      <c r="B6793" t="s">
        <v>301</v>
      </c>
      <c r="C6793" t="s">
        <v>1762</v>
      </c>
      <c r="D6793" t="s">
        <v>1763</v>
      </c>
      <c r="E6793" t="s">
        <v>1764</v>
      </c>
      <c r="F6793" t="s">
        <v>1765</v>
      </c>
      <c r="G6793" t="s">
        <v>1766</v>
      </c>
      <c r="H6793" t="s">
        <v>1767</v>
      </c>
      <c r="I6793" t="s">
        <v>1768</v>
      </c>
      <c r="J6793" t="s">
        <v>1769</v>
      </c>
      <c r="K6793" t="s">
        <v>1770</v>
      </c>
      <c r="L6793" t="s">
        <v>318</v>
      </c>
      <c r="M6793" t="s">
        <v>1771</v>
      </c>
      <c r="N6793" t="s">
        <v>1772</v>
      </c>
      <c r="O6793" t="s">
        <v>277</v>
      </c>
      <c r="P6793" t="s">
        <v>1773</v>
      </c>
      <c r="Q6793" t="s">
        <v>282</v>
      </c>
      <c r="R6793" t="s">
        <v>226</v>
      </c>
    </row>
    <row r="6794" spans="1:18" x14ac:dyDescent="0.35">
      <c r="A6794" t="s">
        <v>227</v>
      </c>
      <c r="B6794" t="s">
        <v>259</v>
      </c>
      <c r="C6794" s="2">
        <v>0.48980000000000001</v>
      </c>
      <c r="D6794" s="2">
        <v>0.26240000000000002</v>
      </c>
      <c r="E6794" s="2">
        <v>1.2200000000000001E-2</v>
      </c>
      <c r="F6794" s="2">
        <v>0.1961</v>
      </c>
      <c r="G6794" s="2">
        <v>0.1474</v>
      </c>
      <c r="H6794" s="2">
        <v>5.0700000000000002E-2</v>
      </c>
      <c r="I6794" s="2">
        <v>6.7000000000000004E-2</v>
      </c>
      <c r="J6794" s="2">
        <v>3.0700000000000002E-2</v>
      </c>
      <c r="K6794" s="2">
        <v>6.3E-3</v>
      </c>
      <c r="L6794" s="2">
        <v>1.6000000000000001E-3</v>
      </c>
      <c r="O6794" s="2">
        <v>5.3100000000000001E-2</v>
      </c>
      <c r="R6794">
        <v>69</v>
      </c>
    </row>
    <row r="6795" spans="1:18" x14ac:dyDescent="0.35">
      <c r="A6795" t="s">
        <v>227</v>
      </c>
      <c r="B6795" t="s">
        <v>257</v>
      </c>
      <c r="C6795" s="2">
        <v>0.70150000000000001</v>
      </c>
      <c r="D6795" s="2">
        <v>0.18</v>
      </c>
      <c r="E6795" s="2">
        <v>4.7199999999999999E-2</v>
      </c>
      <c r="F6795" s="2">
        <v>5.0999999999999997E-2</v>
      </c>
      <c r="G6795" s="2">
        <v>0.08</v>
      </c>
      <c r="H6795" s="2">
        <v>5.2400000000000002E-2</v>
      </c>
      <c r="I6795" s="2">
        <v>1.6899999999999998E-2</v>
      </c>
      <c r="J6795" s="2">
        <v>2.2800000000000001E-2</v>
      </c>
      <c r="K6795" s="2">
        <v>4.1399999999999999E-2</v>
      </c>
      <c r="L6795" s="2">
        <v>4.7999999999999996E-3</v>
      </c>
      <c r="M6795" s="2">
        <v>2.5999999999999999E-3</v>
      </c>
      <c r="N6795" s="2">
        <v>2E-3</v>
      </c>
      <c r="P6795" s="2">
        <v>5.0000000000000001E-4</v>
      </c>
      <c r="Q6795" s="2">
        <v>5.0000000000000001E-4</v>
      </c>
      <c r="R6795">
        <v>388</v>
      </c>
    </row>
    <row r="6796" spans="1:18" x14ac:dyDescent="0.35">
      <c r="A6796" t="s">
        <v>227</v>
      </c>
      <c r="B6796" t="s">
        <v>256</v>
      </c>
      <c r="C6796" s="2">
        <v>0.77129999999999999</v>
      </c>
      <c r="D6796" s="2">
        <v>0.1007</v>
      </c>
      <c r="E6796" s="2">
        <v>6.1499999999999999E-2</v>
      </c>
      <c r="F6796" s="2">
        <v>5.3800000000000001E-2</v>
      </c>
      <c r="G6796" s="2">
        <v>3.5400000000000001E-2</v>
      </c>
      <c r="H6796" s="2">
        <v>2.4500000000000001E-2</v>
      </c>
      <c r="I6796" s="2">
        <v>2.07E-2</v>
      </c>
      <c r="J6796" s="2">
        <v>1.24E-2</v>
      </c>
      <c r="K6796" s="2">
        <v>7.7000000000000002E-3</v>
      </c>
      <c r="L6796" s="2">
        <v>1.01E-2</v>
      </c>
      <c r="M6796" s="2">
        <v>1.14E-2</v>
      </c>
      <c r="N6796" s="2">
        <v>8.0000000000000002E-3</v>
      </c>
      <c r="O6796" s="2">
        <v>3.3E-3</v>
      </c>
      <c r="P6796" s="2">
        <v>2.0999999999999999E-3</v>
      </c>
      <c r="Q6796" s="2">
        <v>2.0000000000000001E-4</v>
      </c>
      <c r="R6796">
        <v>1773</v>
      </c>
    </row>
    <row r="6797" spans="1:18" x14ac:dyDescent="0.35">
      <c r="A6797" s="3" t="s">
        <v>227</v>
      </c>
      <c r="B6797" s="3" t="s">
        <v>232</v>
      </c>
      <c r="C6797" s="4">
        <v>0.53459999999999996</v>
      </c>
      <c r="D6797" s="4">
        <v>0.26569999999999999</v>
      </c>
      <c r="E6797" s="4">
        <v>0.26569999999999999</v>
      </c>
      <c r="F6797" s="4">
        <v>0.1167</v>
      </c>
      <c r="G6797" s="5"/>
      <c r="H6797" s="5"/>
      <c r="I6797" s="4">
        <v>8.3000000000000004E-2</v>
      </c>
      <c r="J6797" s="5"/>
      <c r="K6797" s="5"/>
      <c r="L6797" s="5"/>
      <c r="M6797" s="4">
        <v>8.3000000000000004E-2</v>
      </c>
      <c r="N6797" s="5"/>
      <c r="O6797" s="5"/>
      <c r="P6797" s="5"/>
      <c r="Q6797" s="5"/>
      <c r="R6797" s="5" t="s">
        <v>606</v>
      </c>
    </row>
    <row r="6798" spans="1:18" x14ac:dyDescent="0.35">
      <c r="A6798" t="s">
        <v>227</v>
      </c>
      <c r="B6798" t="s">
        <v>258</v>
      </c>
      <c r="C6798" s="2">
        <v>0.67020000000000002</v>
      </c>
      <c r="D6798" s="2">
        <v>0.127</v>
      </c>
      <c r="E6798" s="2">
        <v>4.6899999999999997E-2</v>
      </c>
      <c r="F6798" s="2">
        <v>5.6800000000000003E-2</v>
      </c>
      <c r="G6798" s="2">
        <v>5.2499999999999998E-2</v>
      </c>
      <c r="H6798" s="2">
        <v>3.1899999999999998E-2</v>
      </c>
      <c r="I6798" s="2">
        <v>1.8700000000000001E-2</v>
      </c>
      <c r="J6798" s="2">
        <v>2.3800000000000002E-2</v>
      </c>
      <c r="K6798" s="2">
        <v>1.83E-2</v>
      </c>
      <c r="L6798" s="2">
        <v>3.7699999999999997E-2</v>
      </c>
      <c r="M6798" s="2">
        <v>3.3000000000000002E-2</v>
      </c>
      <c r="N6798" s="2">
        <v>2.0899999999999998E-2</v>
      </c>
      <c r="O6798" s="2">
        <v>5.0000000000000001E-3</v>
      </c>
      <c r="P6798" s="2">
        <v>4.8999999999999998E-3</v>
      </c>
      <c r="R6798">
        <v>509</v>
      </c>
    </row>
    <row r="6799" spans="1:18" x14ac:dyDescent="0.35">
      <c r="A6799" t="s">
        <v>228</v>
      </c>
      <c r="B6799" t="s">
        <v>228</v>
      </c>
      <c r="C6799" s="2">
        <v>0.73970000000000002</v>
      </c>
      <c r="D6799" s="2">
        <v>0.1208</v>
      </c>
      <c r="E6799" s="2">
        <v>5.6599999999999998E-2</v>
      </c>
      <c r="F6799" s="2">
        <v>5.6300000000000003E-2</v>
      </c>
      <c r="G6799" s="2">
        <v>4.7100000000000003E-2</v>
      </c>
      <c r="H6799" s="2">
        <v>3.0599999999999999E-2</v>
      </c>
      <c r="I6799" s="2">
        <v>2.07E-2</v>
      </c>
      <c r="J6799" s="2">
        <v>1.61E-2</v>
      </c>
      <c r="K6799" s="2">
        <v>1.4800000000000001E-2</v>
      </c>
      <c r="L6799" s="2">
        <v>1.3100000000000001E-2</v>
      </c>
      <c r="M6799" s="2">
        <v>1.2999999999999999E-2</v>
      </c>
      <c r="N6799" s="2">
        <v>8.6999999999999994E-3</v>
      </c>
      <c r="O6799" s="2">
        <v>3.8E-3</v>
      </c>
      <c r="P6799" s="2">
        <v>2.2000000000000001E-3</v>
      </c>
      <c r="Q6799" s="2">
        <v>2.0000000000000001E-4</v>
      </c>
      <c r="R6799">
        <v>2749</v>
      </c>
    </row>
    <row r="6801" spans="1:18" x14ac:dyDescent="0.35">
      <c r="A6801" s="1" t="s">
        <v>1782</v>
      </c>
    </row>
    <row r="6802" spans="1:18" x14ac:dyDescent="0.35">
      <c r="A6802" t="s">
        <v>219</v>
      </c>
      <c r="B6802" t="s">
        <v>301</v>
      </c>
      <c r="C6802" t="s">
        <v>1762</v>
      </c>
      <c r="D6802" t="s">
        <v>1763</v>
      </c>
      <c r="E6802" t="s">
        <v>1764</v>
      </c>
      <c r="F6802" t="s">
        <v>1765</v>
      </c>
      <c r="G6802" t="s">
        <v>1766</v>
      </c>
      <c r="H6802" t="s">
        <v>1767</v>
      </c>
      <c r="I6802" t="s">
        <v>1768</v>
      </c>
      <c r="J6802" t="s">
        <v>1769</v>
      </c>
      <c r="K6802" t="s">
        <v>1770</v>
      </c>
      <c r="L6802" t="s">
        <v>318</v>
      </c>
      <c r="M6802" t="s">
        <v>1771</v>
      </c>
      <c r="N6802" t="s">
        <v>1772</v>
      </c>
      <c r="O6802" t="s">
        <v>277</v>
      </c>
      <c r="P6802" t="s">
        <v>1773</v>
      </c>
      <c r="Q6802" t="s">
        <v>282</v>
      </c>
      <c r="R6802" t="s">
        <v>226</v>
      </c>
    </row>
    <row r="6803" spans="1:18" x14ac:dyDescent="0.35">
      <c r="A6803" t="s">
        <v>227</v>
      </c>
      <c r="B6803" t="s">
        <v>343</v>
      </c>
      <c r="C6803" s="2">
        <v>0.70150000000000001</v>
      </c>
      <c r="D6803" s="2">
        <v>0.18</v>
      </c>
      <c r="E6803" s="2">
        <v>4.7199999999999999E-2</v>
      </c>
      <c r="F6803" s="2">
        <v>5.0999999999999997E-2</v>
      </c>
      <c r="G6803" s="2">
        <v>0.08</v>
      </c>
      <c r="H6803" s="2">
        <v>5.2400000000000002E-2</v>
      </c>
      <c r="I6803" s="2">
        <v>1.6899999999999998E-2</v>
      </c>
      <c r="J6803" s="2">
        <v>2.2800000000000001E-2</v>
      </c>
      <c r="K6803" s="2">
        <v>4.1399999999999999E-2</v>
      </c>
      <c r="L6803" s="2">
        <v>4.7999999999999996E-3</v>
      </c>
      <c r="M6803" s="2">
        <v>2.5999999999999999E-3</v>
      </c>
      <c r="N6803" s="2">
        <v>2E-3</v>
      </c>
      <c r="P6803" s="2">
        <v>5.0000000000000001E-4</v>
      </c>
      <c r="Q6803" s="2">
        <v>5.0000000000000001E-4</v>
      </c>
      <c r="R6803">
        <v>388</v>
      </c>
    </row>
    <row r="6804" spans="1:18" x14ac:dyDescent="0.35">
      <c r="A6804" t="s">
        <v>227</v>
      </c>
      <c r="B6804" t="s">
        <v>344</v>
      </c>
      <c r="C6804" s="2">
        <v>0.74739999999999995</v>
      </c>
      <c r="D6804" s="2">
        <v>0.109</v>
      </c>
      <c r="E6804" s="2">
        <v>5.8500000000000003E-2</v>
      </c>
      <c r="F6804" s="2">
        <v>5.74E-2</v>
      </c>
      <c r="G6804" s="2">
        <v>4.0599999999999997E-2</v>
      </c>
      <c r="H6804" s="2">
        <v>2.63E-2</v>
      </c>
      <c r="I6804" s="2">
        <v>2.1499999999999998E-2</v>
      </c>
      <c r="J6804" s="2">
        <v>1.47E-2</v>
      </c>
      <c r="K6804" s="2">
        <v>9.4999999999999998E-3</v>
      </c>
      <c r="L6804" s="2">
        <v>1.47E-2</v>
      </c>
      <c r="M6804" s="2">
        <v>1.5100000000000001E-2</v>
      </c>
      <c r="N6804" s="2">
        <v>1.01E-2</v>
      </c>
      <c r="O6804" s="2">
        <v>4.5999999999999999E-3</v>
      </c>
      <c r="P6804" s="2">
        <v>2.5000000000000001E-3</v>
      </c>
      <c r="Q6804" s="2">
        <v>2.0000000000000001E-4</v>
      </c>
      <c r="R6804">
        <v>2361</v>
      </c>
    </row>
    <row r="6805" spans="1:18" x14ac:dyDescent="0.35">
      <c r="A6805" t="s">
        <v>228</v>
      </c>
      <c r="B6805" t="s">
        <v>228</v>
      </c>
      <c r="C6805" s="2">
        <v>0.73970000000000002</v>
      </c>
      <c r="D6805" s="2">
        <v>0.1208</v>
      </c>
      <c r="E6805" s="2">
        <v>5.6599999999999998E-2</v>
      </c>
      <c r="F6805" s="2">
        <v>5.6300000000000003E-2</v>
      </c>
      <c r="G6805" s="2">
        <v>4.7100000000000003E-2</v>
      </c>
      <c r="H6805" s="2">
        <v>3.0599999999999999E-2</v>
      </c>
      <c r="I6805" s="2">
        <v>2.07E-2</v>
      </c>
      <c r="J6805" s="2">
        <v>1.61E-2</v>
      </c>
      <c r="K6805" s="2">
        <v>1.4800000000000001E-2</v>
      </c>
      <c r="L6805" s="2">
        <v>1.3100000000000001E-2</v>
      </c>
      <c r="M6805" s="2">
        <v>1.2999999999999999E-2</v>
      </c>
      <c r="N6805" s="2">
        <v>8.6999999999999994E-3</v>
      </c>
      <c r="O6805" s="2">
        <v>3.8E-3</v>
      </c>
      <c r="P6805" s="2">
        <v>2.2000000000000001E-3</v>
      </c>
      <c r="Q6805" s="2">
        <v>2.0000000000000001E-4</v>
      </c>
      <c r="R6805">
        <v>2749</v>
      </c>
    </row>
    <row r="6807" spans="1:18" x14ac:dyDescent="0.35">
      <c r="A6807" s="1" t="s">
        <v>1783</v>
      </c>
    </row>
    <row r="6808" spans="1:18" x14ac:dyDescent="0.35">
      <c r="A6808" t="s">
        <v>219</v>
      </c>
      <c r="B6808" t="s">
        <v>301</v>
      </c>
      <c r="C6808" t="s">
        <v>1762</v>
      </c>
      <c r="D6808" t="s">
        <v>1763</v>
      </c>
      <c r="E6808" t="s">
        <v>1764</v>
      </c>
      <c r="F6808" t="s">
        <v>1765</v>
      </c>
      <c r="G6808" t="s">
        <v>1766</v>
      </c>
      <c r="H6808" t="s">
        <v>1767</v>
      </c>
      <c r="I6808" t="s">
        <v>1768</v>
      </c>
      <c r="J6808" t="s">
        <v>1769</v>
      </c>
      <c r="K6808" t="s">
        <v>1770</v>
      </c>
      <c r="L6808" t="s">
        <v>318</v>
      </c>
      <c r="M6808" t="s">
        <v>1771</v>
      </c>
      <c r="N6808" t="s">
        <v>1772</v>
      </c>
      <c r="O6808" t="s">
        <v>277</v>
      </c>
      <c r="P6808" t="s">
        <v>1773</v>
      </c>
      <c r="Q6808" t="s">
        <v>282</v>
      </c>
      <c r="R6808" t="s">
        <v>226</v>
      </c>
    </row>
    <row r="6809" spans="1:18" x14ac:dyDescent="0.35">
      <c r="A6809" t="s">
        <v>227</v>
      </c>
      <c r="B6809" t="s">
        <v>346</v>
      </c>
      <c r="C6809" s="2">
        <v>0.73550000000000004</v>
      </c>
      <c r="D6809" s="2">
        <v>0.12479999999999999</v>
      </c>
      <c r="E6809" s="2">
        <v>5.5899999999999998E-2</v>
      </c>
      <c r="F6809" s="2">
        <v>5.8500000000000003E-2</v>
      </c>
      <c r="G6809" s="2">
        <v>4.9000000000000002E-2</v>
      </c>
      <c r="H6809" s="2">
        <v>3.3000000000000002E-2</v>
      </c>
      <c r="I6809" s="2">
        <v>2.1899999999999999E-2</v>
      </c>
      <c r="J6809" s="2">
        <v>1.6E-2</v>
      </c>
      <c r="K6809" s="2">
        <v>1.52E-2</v>
      </c>
      <c r="L6809" s="2">
        <v>1.35E-2</v>
      </c>
      <c r="M6809" s="2">
        <v>1.1599999999999999E-2</v>
      </c>
      <c r="N6809" s="2">
        <v>7.7000000000000002E-3</v>
      </c>
      <c r="O6809" s="2">
        <v>3.5999999999999999E-3</v>
      </c>
      <c r="P6809" s="2">
        <v>2.0999999999999999E-3</v>
      </c>
      <c r="R6809">
        <v>1433</v>
      </c>
    </row>
    <row r="6810" spans="1:18" x14ac:dyDescent="0.35">
      <c r="A6810" t="s">
        <v>227</v>
      </c>
      <c r="B6810" t="s">
        <v>347</v>
      </c>
      <c r="C6810" s="2">
        <v>0.74239999999999995</v>
      </c>
      <c r="D6810" s="2">
        <v>9.1200000000000003E-2</v>
      </c>
      <c r="E6810" s="2">
        <v>8.48E-2</v>
      </c>
      <c r="F6810" s="2">
        <v>4.8300000000000003E-2</v>
      </c>
      <c r="G6810" s="2">
        <v>2.3E-2</v>
      </c>
      <c r="H6810" s="2">
        <v>2.81E-2</v>
      </c>
      <c r="I6810" s="2">
        <v>2.1999999999999999E-2</v>
      </c>
      <c r="J6810" s="2">
        <v>9.7000000000000003E-3</v>
      </c>
      <c r="K6810" s="2">
        <v>8.6999999999999994E-3</v>
      </c>
      <c r="L6810" s="2">
        <v>1.5100000000000001E-2</v>
      </c>
      <c r="M6810" s="2">
        <v>2.5700000000000001E-2</v>
      </c>
      <c r="N6810" s="2">
        <v>2.1299999999999999E-2</v>
      </c>
      <c r="O6810" s="2">
        <v>1.14E-2</v>
      </c>
      <c r="P6810" s="2">
        <v>5.4000000000000003E-3</v>
      </c>
      <c r="Q6810" s="2">
        <v>6.9999999999999999E-4</v>
      </c>
      <c r="R6810">
        <v>566</v>
      </c>
    </row>
    <row r="6811" spans="1:18" x14ac:dyDescent="0.35">
      <c r="A6811" t="s">
        <v>227</v>
      </c>
      <c r="B6811" t="s">
        <v>348</v>
      </c>
      <c r="C6811" s="2">
        <v>0.77729999999999999</v>
      </c>
      <c r="D6811" s="2">
        <v>9.6000000000000002E-2</v>
      </c>
      <c r="E6811" s="2">
        <v>5.2200000000000003E-2</v>
      </c>
      <c r="F6811" s="2">
        <v>3.9600000000000003E-2</v>
      </c>
      <c r="G6811" s="2">
        <v>3.9199999999999999E-2</v>
      </c>
      <c r="H6811" s="2">
        <v>1.0500000000000001E-2</v>
      </c>
      <c r="I6811" s="2">
        <v>9.4000000000000004E-3</v>
      </c>
      <c r="J6811" s="2">
        <v>1.8700000000000001E-2</v>
      </c>
      <c r="K6811" s="2">
        <v>1.3299999999999999E-2</v>
      </c>
      <c r="L6811" s="2">
        <v>8.2000000000000007E-3</v>
      </c>
      <c r="M6811" s="2">
        <v>2.0400000000000001E-2</v>
      </c>
      <c r="N6811" s="2">
        <v>1.2999999999999999E-2</v>
      </c>
      <c r="O6811" s="2">
        <v>2.7000000000000001E-3</v>
      </c>
      <c r="P6811" s="2">
        <v>1.6999999999999999E-3</v>
      </c>
      <c r="Q6811" s="2">
        <v>2E-3</v>
      </c>
      <c r="R6811">
        <v>750</v>
      </c>
    </row>
    <row r="6812" spans="1:18" x14ac:dyDescent="0.35">
      <c r="A6812" t="s">
        <v>228</v>
      </c>
      <c r="B6812" t="s">
        <v>228</v>
      </c>
      <c r="C6812" s="2">
        <v>0.73970000000000002</v>
      </c>
      <c r="D6812" s="2">
        <v>0.1208</v>
      </c>
      <c r="E6812" s="2">
        <v>5.6599999999999998E-2</v>
      </c>
      <c r="F6812" s="2">
        <v>5.6300000000000003E-2</v>
      </c>
      <c r="G6812" s="2">
        <v>4.7100000000000003E-2</v>
      </c>
      <c r="H6812" s="2">
        <v>3.0599999999999999E-2</v>
      </c>
      <c r="I6812" s="2">
        <v>2.07E-2</v>
      </c>
      <c r="J6812" s="2">
        <v>1.61E-2</v>
      </c>
      <c r="K6812" s="2">
        <v>1.4800000000000001E-2</v>
      </c>
      <c r="L6812" s="2">
        <v>1.3100000000000001E-2</v>
      </c>
      <c r="M6812" s="2">
        <v>1.2999999999999999E-2</v>
      </c>
      <c r="N6812" s="2">
        <v>8.6999999999999994E-3</v>
      </c>
      <c r="O6812" s="2">
        <v>3.8E-3</v>
      </c>
      <c r="P6812" s="2">
        <v>2.2000000000000001E-3</v>
      </c>
      <c r="Q6812" s="2">
        <v>2.0000000000000001E-4</v>
      </c>
      <c r="R6812">
        <v>2749</v>
      </c>
    </row>
    <row r="6814" spans="1:18" x14ac:dyDescent="0.35">
      <c r="A6814" s="1" t="s">
        <v>1784</v>
      </c>
    </row>
    <row r="6815" spans="1:18" x14ac:dyDescent="0.35">
      <c r="A6815" t="s">
        <v>219</v>
      </c>
      <c r="B6815" t="s">
        <v>301</v>
      </c>
      <c r="C6815" t="s">
        <v>1762</v>
      </c>
      <c r="D6815" t="s">
        <v>1763</v>
      </c>
      <c r="E6815" t="s">
        <v>1764</v>
      </c>
      <c r="F6815" t="s">
        <v>1765</v>
      </c>
      <c r="G6815" t="s">
        <v>1766</v>
      </c>
      <c r="H6815" t="s">
        <v>1767</v>
      </c>
      <c r="I6815" t="s">
        <v>1768</v>
      </c>
      <c r="J6815" t="s">
        <v>1769</v>
      </c>
      <c r="K6815" t="s">
        <v>1770</v>
      </c>
      <c r="L6815" t="s">
        <v>318</v>
      </c>
      <c r="M6815" t="s">
        <v>1771</v>
      </c>
      <c r="N6815" t="s">
        <v>1772</v>
      </c>
      <c r="O6815" t="s">
        <v>277</v>
      </c>
      <c r="P6815" t="s">
        <v>1773</v>
      </c>
      <c r="Q6815" t="s">
        <v>282</v>
      </c>
      <c r="R6815" t="s">
        <v>226</v>
      </c>
    </row>
    <row r="6816" spans="1:18" x14ac:dyDescent="0.35">
      <c r="A6816" t="s">
        <v>227</v>
      </c>
      <c r="B6816" t="s">
        <v>251</v>
      </c>
      <c r="C6816" s="2">
        <v>0.77290000000000003</v>
      </c>
      <c r="D6816" s="2">
        <v>0.10489999999999999</v>
      </c>
      <c r="E6816" s="2">
        <v>4.8399999999999999E-2</v>
      </c>
      <c r="F6816" s="2">
        <v>5.0900000000000001E-2</v>
      </c>
      <c r="G6816" s="2">
        <v>1.9699999999999999E-2</v>
      </c>
      <c r="H6816" s="2">
        <v>2.6599999999999999E-2</v>
      </c>
      <c r="I6816" s="2">
        <v>1.6500000000000001E-2</v>
      </c>
      <c r="J6816" s="2">
        <v>7.1000000000000004E-3</v>
      </c>
      <c r="K6816" s="2">
        <v>8.0999999999999996E-3</v>
      </c>
      <c r="L6816" s="2">
        <v>1.06E-2</v>
      </c>
      <c r="M6816" s="2">
        <v>1.34E-2</v>
      </c>
      <c r="N6816" s="2">
        <v>7.0000000000000001E-3</v>
      </c>
      <c r="O6816" s="2">
        <v>5.3E-3</v>
      </c>
      <c r="P6816" s="2">
        <v>2.7000000000000001E-3</v>
      </c>
      <c r="Q6816" s="2">
        <v>2.9999999999999997E-4</v>
      </c>
      <c r="R6816">
        <v>1979</v>
      </c>
    </row>
    <row r="6817" spans="1:18" x14ac:dyDescent="0.35">
      <c r="A6817" t="s">
        <v>227</v>
      </c>
      <c r="B6817" t="s">
        <v>252</v>
      </c>
      <c r="C6817" s="2">
        <v>0.66490000000000005</v>
      </c>
      <c r="D6817" s="2">
        <v>0.154</v>
      </c>
      <c r="E6817" s="2">
        <v>7.3400000000000007E-2</v>
      </c>
      <c r="F6817" s="2">
        <v>7.1400000000000005E-2</v>
      </c>
      <c r="G6817" s="2">
        <v>0.1222</v>
      </c>
      <c r="H6817" s="2">
        <v>3.8899999999999997E-2</v>
      </c>
      <c r="I6817" s="2">
        <v>3.5499999999999997E-2</v>
      </c>
      <c r="J6817" s="2">
        <v>4.1799999999999997E-2</v>
      </c>
      <c r="K6817" s="2">
        <v>3.5299999999999998E-2</v>
      </c>
      <c r="L6817" s="2">
        <v>1.15E-2</v>
      </c>
      <c r="M6817" s="2">
        <v>8.8999999999999999E-3</v>
      </c>
      <c r="N6817" s="2">
        <v>1.49E-2</v>
      </c>
      <c r="O6817" s="2">
        <v>1E-4</v>
      </c>
      <c r="P6817" s="2">
        <v>1E-4</v>
      </c>
      <c r="R6817">
        <v>609</v>
      </c>
    </row>
    <row r="6818" spans="1:18" x14ac:dyDescent="0.35">
      <c r="A6818" t="s">
        <v>227</v>
      </c>
      <c r="B6818" t="s">
        <v>253</v>
      </c>
      <c r="C6818" s="2">
        <v>0.6159</v>
      </c>
      <c r="D6818" s="2">
        <v>0.19600000000000001</v>
      </c>
      <c r="E6818" s="2">
        <v>9.0800000000000006E-2</v>
      </c>
      <c r="F6818" s="2">
        <v>6.5500000000000003E-2</v>
      </c>
      <c r="G6818" s="2">
        <v>9.2700000000000005E-2</v>
      </c>
      <c r="H6818" s="2">
        <v>4.7500000000000001E-2</v>
      </c>
      <c r="I6818" s="2">
        <v>1.47E-2</v>
      </c>
      <c r="J6818" s="2">
        <v>2.5600000000000001E-2</v>
      </c>
      <c r="K6818" s="2">
        <v>1.66E-2</v>
      </c>
      <c r="L6818" s="2">
        <v>5.0599999999999999E-2</v>
      </c>
      <c r="M6818" s="2">
        <v>2.5499999999999998E-2</v>
      </c>
      <c r="N6818" s="2">
        <v>6.1000000000000004E-3</v>
      </c>
      <c r="P6818" s="2">
        <v>4.0000000000000001E-3</v>
      </c>
      <c r="R6818">
        <v>152</v>
      </c>
    </row>
    <row r="6819" spans="1:18" x14ac:dyDescent="0.35">
      <c r="A6819" s="3" t="s">
        <v>227</v>
      </c>
      <c r="B6819" s="3" t="s">
        <v>254</v>
      </c>
      <c r="C6819" s="4">
        <v>0.80379999999999996</v>
      </c>
      <c r="D6819" s="5"/>
      <c r="E6819" s="4">
        <v>0.1308</v>
      </c>
      <c r="F6819" s="5"/>
      <c r="G6819" s="5"/>
      <c r="H6819" s="4">
        <v>5.8000000000000003E-2</v>
      </c>
      <c r="I6819" s="5"/>
      <c r="J6819" s="5"/>
      <c r="K6819" s="5"/>
      <c r="L6819" s="4">
        <v>6.5500000000000003E-2</v>
      </c>
      <c r="M6819" s="5"/>
      <c r="N6819" s="5"/>
      <c r="O6819" s="5"/>
      <c r="P6819" s="5"/>
      <c r="Q6819" s="5"/>
      <c r="R6819" s="5" t="s">
        <v>515</v>
      </c>
    </row>
    <row r="6820" spans="1:18" x14ac:dyDescent="0.35">
      <c r="A6820" t="s">
        <v>228</v>
      </c>
      <c r="B6820" t="s">
        <v>228</v>
      </c>
      <c r="C6820" s="2">
        <v>0.73970000000000002</v>
      </c>
      <c r="D6820" s="2">
        <v>0.1208</v>
      </c>
      <c r="E6820" s="2">
        <v>5.6599999999999998E-2</v>
      </c>
      <c r="F6820" s="2">
        <v>5.6300000000000003E-2</v>
      </c>
      <c r="G6820" s="2">
        <v>4.7100000000000003E-2</v>
      </c>
      <c r="H6820" s="2">
        <v>3.0599999999999999E-2</v>
      </c>
      <c r="I6820" s="2">
        <v>2.07E-2</v>
      </c>
      <c r="J6820" s="2">
        <v>1.61E-2</v>
      </c>
      <c r="K6820" s="2">
        <v>1.4800000000000001E-2</v>
      </c>
      <c r="L6820" s="2">
        <v>1.3100000000000001E-2</v>
      </c>
      <c r="M6820" s="2">
        <v>1.2999999999999999E-2</v>
      </c>
      <c r="N6820" s="2">
        <v>8.6999999999999994E-3</v>
      </c>
      <c r="O6820" s="2">
        <v>3.8E-3</v>
      </c>
      <c r="P6820" s="2">
        <v>2.2000000000000001E-3</v>
      </c>
      <c r="Q6820" s="2">
        <v>2.0000000000000001E-4</v>
      </c>
      <c r="R6820">
        <v>2749</v>
      </c>
    </row>
    <row r="6822" spans="1:18" x14ac:dyDescent="0.35">
      <c r="A6822" s="1" t="s">
        <v>1785</v>
      </c>
    </row>
    <row r="6823" spans="1:18" x14ac:dyDescent="0.35">
      <c r="A6823" t="s">
        <v>219</v>
      </c>
      <c r="B6823" t="s">
        <v>298</v>
      </c>
      <c r="C6823" t="s">
        <v>299</v>
      </c>
      <c r="D6823" t="s">
        <v>282</v>
      </c>
      <c r="E6823" t="s">
        <v>226</v>
      </c>
    </row>
    <row r="6824" spans="1:18" x14ac:dyDescent="0.35">
      <c r="A6824" t="s">
        <v>227</v>
      </c>
      <c r="B6824" s="2">
        <v>0.90300000000000002</v>
      </c>
      <c r="C6824" s="2">
        <v>9.6799999999999997E-2</v>
      </c>
      <c r="D6824" s="2">
        <v>2.0000000000000001E-4</v>
      </c>
      <c r="E6824">
        <v>2810</v>
      </c>
    </row>
    <row r="6825" spans="1:18" x14ac:dyDescent="0.35">
      <c r="A6825" t="s">
        <v>228</v>
      </c>
      <c r="B6825" s="2">
        <v>0.90300000000000002</v>
      </c>
      <c r="C6825" s="2">
        <v>9.6799999999999997E-2</v>
      </c>
      <c r="D6825" s="2">
        <v>2.0000000000000001E-4</v>
      </c>
      <c r="E6825">
        <v>2810</v>
      </c>
    </row>
    <row r="6827" spans="1:18" x14ac:dyDescent="0.35">
      <c r="A6827" s="1" t="s">
        <v>1786</v>
      </c>
    </row>
    <row r="6828" spans="1:18" x14ac:dyDescent="0.35">
      <c r="A6828" t="s">
        <v>219</v>
      </c>
      <c r="B6828" t="s">
        <v>301</v>
      </c>
      <c r="C6828" t="s">
        <v>298</v>
      </c>
      <c r="D6828" t="s">
        <v>299</v>
      </c>
      <c r="E6828" t="s">
        <v>282</v>
      </c>
      <c r="F6828" t="s">
        <v>226</v>
      </c>
    </row>
    <row r="6829" spans="1:18" x14ac:dyDescent="0.35">
      <c r="A6829" t="s">
        <v>227</v>
      </c>
      <c r="B6829" t="s">
        <v>238</v>
      </c>
      <c r="C6829" s="2">
        <v>0.90439999999999998</v>
      </c>
      <c r="D6829" s="2">
        <v>9.5399999999999999E-2</v>
      </c>
      <c r="E6829" s="2">
        <v>2.0000000000000001E-4</v>
      </c>
      <c r="F6829">
        <v>1003</v>
      </c>
    </row>
    <row r="6830" spans="1:18" x14ac:dyDescent="0.35">
      <c r="A6830" t="s">
        <v>227</v>
      </c>
      <c r="B6830" t="s">
        <v>237</v>
      </c>
      <c r="C6830" s="2">
        <v>0.9022</v>
      </c>
      <c r="D6830" s="2">
        <v>9.7600000000000006E-2</v>
      </c>
      <c r="E6830" s="2">
        <v>2.0000000000000001E-4</v>
      </c>
      <c r="F6830">
        <v>1807</v>
      </c>
    </row>
    <row r="6831" spans="1:18" x14ac:dyDescent="0.35">
      <c r="A6831" t="s">
        <v>228</v>
      </c>
      <c r="B6831" t="s">
        <v>228</v>
      </c>
      <c r="C6831" s="2">
        <v>0.90300000000000002</v>
      </c>
      <c r="D6831" s="2">
        <v>9.6799999999999997E-2</v>
      </c>
      <c r="E6831" s="2">
        <v>2.0000000000000001E-4</v>
      </c>
      <c r="F6831">
        <v>2810</v>
      </c>
    </row>
    <row r="6833" spans="1:6" x14ac:dyDescent="0.35">
      <c r="A6833" s="1" t="s">
        <v>1787</v>
      </c>
    </row>
    <row r="6834" spans="1:6" x14ac:dyDescent="0.35">
      <c r="A6834" t="s">
        <v>219</v>
      </c>
      <c r="B6834" t="s">
        <v>301</v>
      </c>
      <c r="C6834" t="s">
        <v>298</v>
      </c>
      <c r="D6834" t="s">
        <v>299</v>
      </c>
      <c r="E6834" t="s">
        <v>282</v>
      </c>
      <c r="F6834" t="s">
        <v>226</v>
      </c>
    </row>
    <row r="6835" spans="1:6" x14ac:dyDescent="0.35">
      <c r="A6835" t="s">
        <v>227</v>
      </c>
      <c r="B6835" t="s">
        <v>235</v>
      </c>
      <c r="C6835" s="2">
        <v>0.91539999999999999</v>
      </c>
      <c r="D6835" s="2">
        <v>8.4199999999999997E-2</v>
      </c>
      <c r="E6835" s="2">
        <v>2.9999999999999997E-4</v>
      </c>
      <c r="F6835">
        <v>992</v>
      </c>
    </row>
    <row r="6836" spans="1:6" x14ac:dyDescent="0.35">
      <c r="A6836" t="s">
        <v>227</v>
      </c>
      <c r="B6836" t="s">
        <v>234</v>
      </c>
      <c r="C6836" s="2">
        <v>0.89780000000000004</v>
      </c>
      <c r="D6836" s="2">
        <v>0.10199999999999999</v>
      </c>
      <c r="E6836" s="2">
        <v>2.0000000000000001E-4</v>
      </c>
      <c r="F6836">
        <v>1818</v>
      </c>
    </row>
    <row r="6837" spans="1:6" x14ac:dyDescent="0.35">
      <c r="A6837" t="s">
        <v>228</v>
      </c>
      <c r="B6837" t="s">
        <v>228</v>
      </c>
      <c r="C6837" s="2">
        <v>0.90300000000000002</v>
      </c>
      <c r="D6837" s="2">
        <v>9.6799999999999997E-2</v>
      </c>
      <c r="E6837" s="2">
        <v>2.0000000000000001E-4</v>
      </c>
      <c r="F6837">
        <v>2810</v>
      </c>
    </row>
    <row r="6839" spans="1:6" x14ac:dyDescent="0.35">
      <c r="A6839" s="1" t="s">
        <v>1788</v>
      </c>
    </row>
    <row r="6840" spans="1:6" x14ac:dyDescent="0.35">
      <c r="A6840" t="s">
        <v>219</v>
      </c>
      <c r="B6840" t="s">
        <v>301</v>
      </c>
      <c r="C6840" t="s">
        <v>298</v>
      </c>
      <c r="D6840" t="s">
        <v>299</v>
      </c>
      <c r="E6840" t="s">
        <v>282</v>
      </c>
      <c r="F6840" t="s">
        <v>226</v>
      </c>
    </row>
    <row r="6841" spans="1:6" x14ac:dyDescent="0.35">
      <c r="A6841" t="s">
        <v>227</v>
      </c>
      <c r="B6841" t="s">
        <v>240</v>
      </c>
      <c r="C6841" s="2">
        <v>0.89749999999999996</v>
      </c>
      <c r="D6841" s="2">
        <v>0.1022</v>
      </c>
      <c r="E6841" s="2">
        <v>2.9999999999999997E-4</v>
      </c>
      <c r="F6841">
        <v>1754</v>
      </c>
    </row>
    <row r="6842" spans="1:6" x14ac:dyDescent="0.35">
      <c r="A6842" t="s">
        <v>227</v>
      </c>
      <c r="B6842" t="s">
        <v>241</v>
      </c>
      <c r="C6842" s="2">
        <v>0.90569999999999995</v>
      </c>
      <c r="D6842" s="2">
        <v>9.4200000000000006E-2</v>
      </c>
      <c r="E6842" s="2">
        <v>1E-4</v>
      </c>
      <c r="F6842">
        <v>890</v>
      </c>
    </row>
    <row r="6843" spans="1:6" x14ac:dyDescent="0.35">
      <c r="A6843" t="s">
        <v>227</v>
      </c>
      <c r="B6843" t="s">
        <v>242</v>
      </c>
      <c r="C6843" s="2">
        <v>0.94399999999999995</v>
      </c>
      <c r="D6843" s="2">
        <v>5.6000000000000001E-2</v>
      </c>
      <c r="F6843">
        <v>166</v>
      </c>
    </row>
    <row r="6844" spans="1:6" x14ac:dyDescent="0.35">
      <c r="A6844" t="s">
        <v>228</v>
      </c>
      <c r="B6844" t="s">
        <v>228</v>
      </c>
      <c r="C6844" s="2">
        <v>0.90300000000000002</v>
      </c>
      <c r="D6844" s="2">
        <v>9.6799999999999997E-2</v>
      </c>
      <c r="E6844" s="2">
        <v>2.0000000000000001E-4</v>
      </c>
      <c r="F6844">
        <v>2810</v>
      </c>
    </row>
    <row r="6846" spans="1:6" x14ac:dyDescent="0.35">
      <c r="A6846" s="1" t="s">
        <v>1789</v>
      </c>
    </row>
    <row r="6847" spans="1:6" x14ac:dyDescent="0.35">
      <c r="A6847" t="s">
        <v>219</v>
      </c>
      <c r="B6847" t="s">
        <v>301</v>
      </c>
      <c r="C6847" t="s">
        <v>298</v>
      </c>
      <c r="D6847" t="s">
        <v>299</v>
      </c>
      <c r="E6847" t="s">
        <v>282</v>
      </c>
      <c r="F6847" t="s">
        <v>226</v>
      </c>
    </row>
    <row r="6848" spans="1:6" x14ac:dyDescent="0.35">
      <c r="A6848" t="s">
        <v>227</v>
      </c>
      <c r="B6848" t="s">
        <v>334</v>
      </c>
      <c r="C6848" s="2">
        <v>0.91639999999999999</v>
      </c>
      <c r="D6848" s="2">
        <v>8.3000000000000004E-2</v>
      </c>
      <c r="E6848" s="2">
        <v>5.9999999999999995E-4</v>
      </c>
      <c r="F6848">
        <v>624</v>
      </c>
    </row>
    <row r="6849" spans="1:6" x14ac:dyDescent="0.35">
      <c r="A6849" t="s">
        <v>227</v>
      </c>
      <c r="B6849" t="s">
        <v>335</v>
      </c>
      <c r="C6849" s="2">
        <v>0.88649999999999995</v>
      </c>
      <c r="D6849" s="2">
        <v>0.1135</v>
      </c>
      <c r="F6849">
        <v>628</v>
      </c>
    </row>
    <row r="6850" spans="1:6" x14ac:dyDescent="0.35">
      <c r="A6850" t="s">
        <v>227</v>
      </c>
      <c r="B6850" t="s">
        <v>336</v>
      </c>
      <c r="C6850" s="2">
        <v>0.92700000000000005</v>
      </c>
      <c r="D6850" s="2">
        <v>7.2999999999999995E-2</v>
      </c>
      <c r="F6850">
        <v>621</v>
      </c>
    </row>
    <row r="6851" spans="1:6" x14ac:dyDescent="0.35">
      <c r="A6851" t="s">
        <v>227</v>
      </c>
      <c r="B6851" t="s">
        <v>337</v>
      </c>
      <c r="C6851" s="2">
        <v>0.90139999999999998</v>
      </c>
      <c r="D6851" s="2">
        <v>9.8199999999999996E-2</v>
      </c>
      <c r="E6851" s="2">
        <v>5.0000000000000001E-4</v>
      </c>
      <c r="F6851">
        <v>601</v>
      </c>
    </row>
    <row r="6852" spans="1:6" x14ac:dyDescent="0.35">
      <c r="A6852" t="s">
        <v>228</v>
      </c>
      <c r="B6852" t="s">
        <v>228</v>
      </c>
      <c r="C6852" s="2">
        <v>0.90300000000000002</v>
      </c>
      <c r="D6852" s="2">
        <v>9.6799999999999997E-2</v>
      </c>
      <c r="E6852" s="2">
        <v>2.0000000000000001E-4</v>
      </c>
      <c r="F6852">
        <v>2474</v>
      </c>
    </row>
    <row r="6854" spans="1:6" x14ac:dyDescent="0.35">
      <c r="A6854" s="1" t="s">
        <v>1790</v>
      </c>
    </row>
    <row r="6855" spans="1:6" x14ac:dyDescent="0.35">
      <c r="A6855" t="s">
        <v>219</v>
      </c>
      <c r="B6855" t="s">
        <v>301</v>
      </c>
      <c r="C6855" t="s">
        <v>298</v>
      </c>
      <c r="D6855" t="s">
        <v>299</v>
      </c>
      <c r="E6855" t="s">
        <v>282</v>
      </c>
      <c r="F6855" t="s">
        <v>226</v>
      </c>
    </row>
    <row r="6856" spans="1:6" x14ac:dyDescent="0.35">
      <c r="A6856" t="s">
        <v>227</v>
      </c>
      <c r="B6856" t="s">
        <v>263</v>
      </c>
      <c r="C6856" s="2">
        <v>0.89839999999999998</v>
      </c>
      <c r="D6856" s="2">
        <v>0.1016</v>
      </c>
      <c r="F6856">
        <v>589</v>
      </c>
    </row>
    <row r="6857" spans="1:6" x14ac:dyDescent="0.35">
      <c r="A6857" t="s">
        <v>227</v>
      </c>
      <c r="B6857" t="s">
        <v>262</v>
      </c>
      <c r="C6857" s="2">
        <v>0.90269999999999995</v>
      </c>
      <c r="D6857" s="2">
        <v>9.69E-2</v>
      </c>
      <c r="E6857" s="2">
        <v>2.9999999999999997E-4</v>
      </c>
      <c r="F6857">
        <v>1158</v>
      </c>
    </row>
    <row r="6858" spans="1:6" x14ac:dyDescent="0.35">
      <c r="A6858" t="s">
        <v>227</v>
      </c>
      <c r="B6858" t="s">
        <v>261</v>
      </c>
      <c r="C6858" s="2">
        <v>0.9052</v>
      </c>
      <c r="D6858" s="2">
        <v>9.4600000000000004E-2</v>
      </c>
      <c r="E6858" s="2">
        <v>2.0000000000000001E-4</v>
      </c>
      <c r="F6858">
        <v>1061</v>
      </c>
    </row>
    <row r="6859" spans="1:6" x14ac:dyDescent="0.35">
      <c r="A6859" s="3" t="s">
        <v>227</v>
      </c>
      <c r="B6859" s="3" t="s">
        <v>232</v>
      </c>
      <c r="C6859" s="4">
        <v>1</v>
      </c>
      <c r="D6859" s="5"/>
      <c r="E6859" s="5"/>
      <c r="F6859" s="5" t="s">
        <v>434</v>
      </c>
    </row>
    <row r="6860" spans="1:6" x14ac:dyDescent="0.35">
      <c r="A6860" t="s">
        <v>228</v>
      </c>
      <c r="B6860" t="s">
        <v>228</v>
      </c>
      <c r="C6860" s="2">
        <v>0.90300000000000002</v>
      </c>
      <c r="D6860" s="2">
        <v>9.6799999999999997E-2</v>
      </c>
      <c r="E6860" s="2">
        <v>2.0000000000000001E-4</v>
      </c>
      <c r="F6860">
        <v>2810</v>
      </c>
    </row>
    <row r="6862" spans="1:6" x14ac:dyDescent="0.35">
      <c r="A6862" s="1" t="s">
        <v>1791</v>
      </c>
    </row>
    <row r="6863" spans="1:6" x14ac:dyDescent="0.35">
      <c r="A6863" t="s">
        <v>219</v>
      </c>
      <c r="B6863" t="s">
        <v>301</v>
      </c>
      <c r="C6863" t="s">
        <v>298</v>
      </c>
      <c r="D6863" t="s">
        <v>299</v>
      </c>
      <c r="E6863" t="s">
        <v>282</v>
      </c>
      <c r="F6863" t="s">
        <v>226</v>
      </c>
    </row>
    <row r="6864" spans="1:6" x14ac:dyDescent="0.35">
      <c r="A6864" t="s">
        <v>227</v>
      </c>
      <c r="B6864" t="s">
        <v>248</v>
      </c>
      <c r="C6864" s="2">
        <v>0.91020000000000001</v>
      </c>
      <c r="D6864" s="2">
        <v>8.9499999999999996E-2</v>
      </c>
      <c r="E6864" s="2">
        <v>2.9999999999999997E-4</v>
      </c>
      <c r="F6864">
        <v>795</v>
      </c>
    </row>
    <row r="6865" spans="1:6" x14ac:dyDescent="0.35">
      <c r="A6865" t="s">
        <v>227</v>
      </c>
      <c r="B6865" t="s">
        <v>249</v>
      </c>
      <c r="C6865" s="2">
        <v>0.89019999999999999</v>
      </c>
      <c r="D6865" s="2">
        <v>0.10979999999999999</v>
      </c>
      <c r="F6865">
        <v>541</v>
      </c>
    </row>
    <row r="6866" spans="1:6" x14ac:dyDescent="0.35">
      <c r="A6866" t="s">
        <v>227</v>
      </c>
      <c r="B6866" t="s">
        <v>247</v>
      </c>
      <c r="C6866" s="2">
        <v>0.90400000000000003</v>
      </c>
      <c r="D6866" s="2">
        <v>9.5799999999999996E-2</v>
      </c>
      <c r="E6866" s="2">
        <v>2.9999999999999997E-4</v>
      </c>
      <c r="F6866">
        <v>1474</v>
      </c>
    </row>
    <row r="6867" spans="1:6" x14ac:dyDescent="0.35">
      <c r="A6867" t="s">
        <v>228</v>
      </c>
      <c r="B6867" t="s">
        <v>228</v>
      </c>
      <c r="C6867" s="2">
        <v>0.90300000000000002</v>
      </c>
      <c r="D6867" s="2">
        <v>9.6799999999999997E-2</v>
      </c>
      <c r="E6867" s="2">
        <v>2.0000000000000001E-4</v>
      </c>
      <c r="F6867">
        <v>2810</v>
      </c>
    </row>
    <row r="6869" spans="1:6" x14ac:dyDescent="0.35">
      <c r="A6869" s="1" t="s">
        <v>1792</v>
      </c>
    </row>
    <row r="6870" spans="1:6" x14ac:dyDescent="0.35">
      <c r="A6870" t="s">
        <v>219</v>
      </c>
      <c r="B6870" t="s">
        <v>301</v>
      </c>
      <c r="C6870" t="s">
        <v>298</v>
      </c>
      <c r="D6870" t="s">
        <v>299</v>
      </c>
      <c r="E6870" t="s">
        <v>282</v>
      </c>
      <c r="F6870" t="s">
        <v>226</v>
      </c>
    </row>
    <row r="6871" spans="1:6" x14ac:dyDescent="0.35">
      <c r="A6871" t="s">
        <v>227</v>
      </c>
      <c r="B6871" t="s">
        <v>245</v>
      </c>
      <c r="C6871" s="2">
        <v>0.90559999999999996</v>
      </c>
      <c r="D6871" s="2">
        <v>9.4200000000000006E-2</v>
      </c>
      <c r="E6871" s="2">
        <v>2.0000000000000001E-4</v>
      </c>
      <c r="F6871">
        <v>783</v>
      </c>
    </row>
    <row r="6872" spans="1:6" x14ac:dyDescent="0.35">
      <c r="A6872" t="s">
        <v>227</v>
      </c>
      <c r="B6872" t="s">
        <v>244</v>
      </c>
      <c r="C6872" s="2">
        <v>0.90200000000000002</v>
      </c>
      <c r="D6872" s="2">
        <v>9.7799999999999998E-2</v>
      </c>
      <c r="E6872" s="2">
        <v>2.0000000000000001E-4</v>
      </c>
      <c r="F6872">
        <v>2027</v>
      </c>
    </row>
    <row r="6873" spans="1:6" x14ac:dyDescent="0.35">
      <c r="A6873" t="s">
        <v>228</v>
      </c>
      <c r="B6873" t="s">
        <v>228</v>
      </c>
      <c r="C6873" s="2">
        <v>0.90300000000000002</v>
      </c>
      <c r="D6873" s="2">
        <v>9.6799999999999997E-2</v>
      </c>
      <c r="E6873" s="2">
        <v>2.0000000000000001E-4</v>
      </c>
      <c r="F6873">
        <v>2810</v>
      </c>
    </row>
    <row r="6875" spans="1:6" x14ac:dyDescent="0.35">
      <c r="A6875" s="1" t="s">
        <v>1793</v>
      </c>
    </row>
    <row r="6876" spans="1:6" x14ac:dyDescent="0.35">
      <c r="A6876" t="s">
        <v>219</v>
      </c>
      <c r="B6876" t="s">
        <v>301</v>
      </c>
      <c r="C6876" t="s">
        <v>298</v>
      </c>
      <c r="D6876" t="s">
        <v>299</v>
      </c>
      <c r="E6876" t="s">
        <v>282</v>
      </c>
      <c r="F6876" t="s">
        <v>226</v>
      </c>
    </row>
    <row r="6877" spans="1:6" x14ac:dyDescent="0.35">
      <c r="A6877" t="s">
        <v>227</v>
      </c>
      <c r="B6877" t="s">
        <v>259</v>
      </c>
      <c r="C6877" s="2">
        <v>0.82950000000000002</v>
      </c>
      <c r="D6877" s="2">
        <v>0.1661</v>
      </c>
      <c r="E6877" s="2">
        <v>4.3E-3</v>
      </c>
      <c r="F6877">
        <v>69</v>
      </c>
    </row>
    <row r="6878" spans="1:6" x14ac:dyDescent="0.35">
      <c r="A6878" t="s">
        <v>227</v>
      </c>
      <c r="B6878" t="s">
        <v>257</v>
      </c>
      <c r="C6878" s="2">
        <v>0.9103</v>
      </c>
      <c r="D6878" s="2">
        <v>8.9700000000000002E-2</v>
      </c>
      <c r="F6878">
        <v>405</v>
      </c>
    </row>
    <row r="6879" spans="1:6" x14ac:dyDescent="0.35">
      <c r="A6879" t="s">
        <v>227</v>
      </c>
      <c r="B6879" t="s">
        <v>256</v>
      </c>
      <c r="C6879" s="2">
        <v>0.92789999999999995</v>
      </c>
      <c r="D6879" s="2">
        <v>7.1900000000000006E-2</v>
      </c>
      <c r="E6879" s="2">
        <v>2.0000000000000001E-4</v>
      </c>
      <c r="F6879">
        <v>1803</v>
      </c>
    </row>
    <row r="6880" spans="1:6" x14ac:dyDescent="0.35">
      <c r="A6880" s="3" t="s">
        <v>227</v>
      </c>
      <c r="B6880" s="3" t="s">
        <v>232</v>
      </c>
      <c r="C6880" s="4">
        <v>0.80679999999999996</v>
      </c>
      <c r="D6880" s="4">
        <v>0.19320000000000001</v>
      </c>
      <c r="E6880" s="5"/>
      <c r="F6880" s="5" t="s">
        <v>307</v>
      </c>
    </row>
    <row r="6881" spans="1:6" x14ac:dyDescent="0.35">
      <c r="A6881" t="s">
        <v>227</v>
      </c>
      <c r="B6881" t="s">
        <v>258</v>
      </c>
      <c r="C6881" s="2">
        <v>0.79110000000000003</v>
      </c>
      <c r="D6881" s="2">
        <v>0.2089</v>
      </c>
      <c r="F6881">
        <v>522</v>
      </c>
    </row>
    <row r="6882" spans="1:6" x14ac:dyDescent="0.35">
      <c r="A6882" t="s">
        <v>228</v>
      </c>
      <c r="B6882" t="s">
        <v>228</v>
      </c>
      <c r="C6882" s="2">
        <v>0.90300000000000002</v>
      </c>
      <c r="D6882" s="2">
        <v>9.6799999999999997E-2</v>
      </c>
      <c r="E6882" s="2">
        <v>2.0000000000000001E-4</v>
      </c>
      <c r="F6882">
        <v>2810</v>
      </c>
    </row>
    <row r="6884" spans="1:6" x14ac:dyDescent="0.35">
      <c r="A6884" s="1" t="s">
        <v>1794</v>
      </c>
    </row>
    <row r="6885" spans="1:6" x14ac:dyDescent="0.35">
      <c r="A6885" t="s">
        <v>219</v>
      </c>
      <c r="B6885" t="s">
        <v>301</v>
      </c>
      <c r="C6885" t="s">
        <v>298</v>
      </c>
      <c r="D6885" t="s">
        <v>299</v>
      </c>
      <c r="E6885" t="s">
        <v>282</v>
      </c>
      <c r="F6885" t="s">
        <v>226</v>
      </c>
    </row>
    <row r="6886" spans="1:6" x14ac:dyDescent="0.35">
      <c r="A6886" t="s">
        <v>227</v>
      </c>
      <c r="B6886" t="s">
        <v>343</v>
      </c>
      <c r="C6886" s="2">
        <v>0.9103</v>
      </c>
      <c r="D6886" s="2">
        <v>8.9700000000000002E-2</v>
      </c>
      <c r="F6886">
        <v>405</v>
      </c>
    </row>
    <row r="6887" spans="1:6" x14ac:dyDescent="0.35">
      <c r="A6887" t="s">
        <v>227</v>
      </c>
      <c r="B6887" t="s">
        <v>344</v>
      </c>
      <c r="C6887" s="2">
        <v>0.90149999999999997</v>
      </c>
      <c r="D6887" s="2">
        <v>9.8199999999999996E-2</v>
      </c>
      <c r="E6887" s="2">
        <v>2.9999999999999997E-4</v>
      </c>
      <c r="F6887">
        <v>2405</v>
      </c>
    </row>
    <row r="6888" spans="1:6" x14ac:dyDescent="0.35">
      <c r="A6888" t="s">
        <v>228</v>
      </c>
      <c r="B6888" t="s">
        <v>228</v>
      </c>
      <c r="C6888" s="2">
        <v>0.90300000000000002</v>
      </c>
      <c r="D6888" s="2">
        <v>9.6799999999999997E-2</v>
      </c>
      <c r="E6888" s="2">
        <v>2.0000000000000001E-4</v>
      </c>
      <c r="F6888">
        <v>2810</v>
      </c>
    </row>
    <row r="6890" spans="1:6" x14ac:dyDescent="0.35">
      <c r="A6890" s="1" t="s">
        <v>1795</v>
      </c>
    </row>
    <row r="6891" spans="1:6" x14ac:dyDescent="0.35">
      <c r="A6891" t="s">
        <v>219</v>
      </c>
      <c r="B6891" t="s">
        <v>301</v>
      </c>
      <c r="C6891" t="s">
        <v>298</v>
      </c>
      <c r="D6891" t="s">
        <v>299</v>
      </c>
      <c r="E6891" t="s">
        <v>282</v>
      </c>
      <c r="F6891" t="s">
        <v>226</v>
      </c>
    </row>
    <row r="6892" spans="1:6" x14ac:dyDescent="0.35">
      <c r="A6892" t="s">
        <v>227</v>
      </c>
      <c r="B6892" t="s">
        <v>346</v>
      </c>
      <c r="C6892" s="2">
        <v>0.93569999999999998</v>
      </c>
      <c r="D6892" s="2">
        <v>6.4299999999999996E-2</v>
      </c>
      <c r="F6892">
        <v>1461</v>
      </c>
    </row>
    <row r="6893" spans="1:6" x14ac:dyDescent="0.35">
      <c r="A6893" t="s">
        <v>227</v>
      </c>
      <c r="B6893" t="s">
        <v>347</v>
      </c>
      <c r="C6893" s="2">
        <v>0.61299999999999999</v>
      </c>
      <c r="D6893" s="2">
        <v>0.38369999999999999</v>
      </c>
      <c r="E6893" s="2">
        <v>3.3E-3</v>
      </c>
      <c r="F6893">
        <v>584</v>
      </c>
    </row>
    <row r="6894" spans="1:6" x14ac:dyDescent="0.35">
      <c r="A6894" t="s">
        <v>227</v>
      </c>
      <c r="B6894" t="s">
        <v>348</v>
      </c>
      <c r="C6894" s="2">
        <v>0.71709999999999996</v>
      </c>
      <c r="D6894" s="2">
        <v>0.28189999999999998</v>
      </c>
      <c r="E6894" s="2">
        <v>1E-3</v>
      </c>
      <c r="F6894">
        <v>765</v>
      </c>
    </row>
    <row r="6895" spans="1:6" x14ac:dyDescent="0.35">
      <c r="A6895" t="s">
        <v>228</v>
      </c>
      <c r="B6895" t="s">
        <v>228</v>
      </c>
      <c r="C6895" s="2">
        <v>0.90300000000000002</v>
      </c>
      <c r="D6895" s="2">
        <v>9.6799999999999997E-2</v>
      </c>
      <c r="E6895" s="2">
        <v>2.0000000000000001E-4</v>
      </c>
      <c r="F6895">
        <v>2810</v>
      </c>
    </row>
    <row r="6897" spans="1:6" x14ac:dyDescent="0.35">
      <c r="A6897" s="1" t="s">
        <v>1796</v>
      </c>
    </row>
    <row r="6898" spans="1:6" x14ac:dyDescent="0.35">
      <c r="A6898" t="s">
        <v>219</v>
      </c>
      <c r="B6898" t="s">
        <v>301</v>
      </c>
      <c r="C6898" t="s">
        <v>298</v>
      </c>
      <c r="D6898" t="s">
        <v>299</v>
      </c>
      <c r="E6898" t="s">
        <v>282</v>
      </c>
      <c r="F6898" t="s">
        <v>226</v>
      </c>
    </row>
    <row r="6899" spans="1:6" x14ac:dyDescent="0.35">
      <c r="A6899" t="s">
        <v>227</v>
      </c>
      <c r="B6899" t="s">
        <v>251</v>
      </c>
      <c r="C6899" s="2">
        <v>0.90200000000000002</v>
      </c>
      <c r="D6899" s="2">
        <v>9.7799999999999998E-2</v>
      </c>
      <c r="E6899" s="2">
        <v>2.0000000000000001E-4</v>
      </c>
      <c r="F6899">
        <v>2027</v>
      </c>
    </row>
    <row r="6900" spans="1:6" x14ac:dyDescent="0.35">
      <c r="A6900" t="s">
        <v>227</v>
      </c>
      <c r="B6900" t="s">
        <v>252</v>
      </c>
      <c r="C6900" s="2">
        <v>0.89500000000000002</v>
      </c>
      <c r="D6900" s="2">
        <v>0.105</v>
      </c>
      <c r="F6900">
        <v>621</v>
      </c>
    </row>
    <row r="6901" spans="1:6" x14ac:dyDescent="0.35">
      <c r="A6901" t="s">
        <v>227</v>
      </c>
      <c r="B6901" t="s">
        <v>253</v>
      </c>
      <c r="C6901" s="2">
        <v>0.95669999999999999</v>
      </c>
      <c r="D6901" s="2">
        <v>4.24E-2</v>
      </c>
      <c r="E6901" s="2">
        <v>8.9999999999999998E-4</v>
      </c>
      <c r="F6901">
        <v>153</v>
      </c>
    </row>
    <row r="6902" spans="1:6" x14ac:dyDescent="0.35">
      <c r="A6902" s="3" t="s">
        <v>227</v>
      </c>
      <c r="B6902" s="3" t="s">
        <v>254</v>
      </c>
      <c r="C6902" s="4">
        <v>0.77210000000000001</v>
      </c>
      <c r="D6902" s="4">
        <v>0.22789999999999999</v>
      </c>
      <c r="E6902" s="5"/>
      <c r="F6902" s="5" t="s">
        <v>515</v>
      </c>
    </row>
    <row r="6903" spans="1:6" x14ac:dyDescent="0.35">
      <c r="A6903" t="s">
        <v>228</v>
      </c>
      <c r="B6903" t="s">
        <v>228</v>
      </c>
      <c r="C6903" s="2">
        <v>0.90300000000000002</v>
      </c>
      <c r="D6903" s="2">
        <v>9.6799999999999997E-2</v>
      </c>
      <c r="E6903" s="2">
        <v>2.0000000000000001E-4</v>
      </c>
      <c r="F6903">
        <v>2810</v>
      </c>
    </row>
    <row r="6905" spans="1:6" x14ac:dyDescent="0.35">
      <c r="A6905" s="1" t="s">
        <v>1797</v>
      </c>
    </row>
    <row r="6906" spans="1:6" x14ac:dyDescent="0.35">
      <c r="A6906" t="s">
        <v>219</v>
      </c>
      <c r="B6906" t="s">
        <v>299</v>
      </c>
      <c r="C6906" t="s">
        <v>298</v>
      </c>
      <c r="D6906" t="s">
        <v>282</v>
      </c>
      <c r="E6906" t="s">
        <v>226</v>
      </c>
    </row>
    <row r="6907" spans="1:6" x14ac:dyDescent="0.35">
      <c r="A6907" t="s">
        <v>227</v>
      </c>
      <c r="B6907" s="2">
        <v>0.69699999999999995</v>
      </c>
      <c r="C6907" s="2">
        <v>0.30159999999999998</v>
      </c>
      <c r="D6907" s="2">
        <v>1.4E-3</v>
      </c>
      <c r="E6907">
        <v>609</v>
      </c>
    </row>
    <row r="6908" spans="1:6" x14ac:dyDescent="0.35">
      <c r="A6908" t="s">
        <v>228</v>
      </c>
      <c r="B6908" s="2">
        <v>0.69699999999999995</v>
      </c>
      <c r="C6908" s="2">
        <v>0.30159999999999998</v>
      </c>
      <c r="D6908" s="2">
        <v>1.4E-3</v>
      </c>
      <c r="E6908">
        <v>609</v>
      </c>
    </row>
    <row r="6910" spans="1:6" x14ac:dyDescent="0.35">
      <c r="A6910" s="1" t="s">
        <v>1798</v>
      </c>
    </row>
    <row r="6911" spans="1:6" x14ac:dyDescent="0.35">
      <c r="A6911" t="s">
        <v>219</v>
      </c>
      <c r="B6911" t="s">
        <v>301</v>
      </c>
      <c r="C6911" t="s">
        <v>299</v>
      </c>
      <c r="D6911" t="s">
        <v>298</v>
      </c>
      <c r="E6911" t="s">
        <v>282</v>
      </c>
      <c r="F6911" t="s">
        <v>226</v>
      </c>
    </row>
    <row r="6912" spans="1:6" x14ac:dyDescent="0.35">
      <c r="A6912" t="s">
        <v>227</v>
      </c>
      <c r="B6912" t="s">
        <v>238</v>
      </c>
      <c r="C6912" s="2">
        <v>0.67730000000000001</v>
      </c>
      <c r="D6912" s="2">
        <v>0.32269999999999999</v>
      </c>
      <c r="F6912">
        <v>250</v>
      </c>
    </row>
    <row r="6913" spans="1:6" x14ac:dyDescent="0.35">
      <c r="A6913" t="s">
        <v>227</v>
      </c>
      <c r="B6913" t="s">
        <v>237</v>
      </c>
      <c r="C6913" s="2">
        <v>0.70820000000000005</v>
      </c>
      <c r="D6913" s="2">
        <v>0.28970000000000001</v>
      </c>
      <c r="E6913" s="2">
        <v>2.0999999999999999E-3</v>
      </c>
      <c r="F6913">
        <v>359</v>
      </c>
    </row>
    <row r="6914" spans="1:6" x14ac:dyDescent="0.35">
      <c r="A6914" t="s">
        <v>228</v>
      </c>
      <c r="B6914" t="s">
        <v>228</v>
      </c>
      <c r="C6914" s="2">
        <v>0.69699999999999995</v>
      </c>
      <c r="D6914" s="2">
        <v>0.30159999999999998</v>
      </c>
      <c r="E6914" s="2">
        <v>1.4E-3</v>
      </c>
      <c r="F6914">
        <v>609</v>
      </c>
    </row>
    <row r="6916" spans="1:6" x14ac:dyDescent="0.35">
      <c r="A6916" s="1" t="s">
        <v>1799</v>
      </c>
    </row>
    <row r="6917" spans="1:6" x14ac:dyDescent="0.35">
      <c r="A6917" t="s">
        <v>219</v>
      </c>
      <c r="B6917" t="s">
        <v>301</v>
      </c>
      <c r="C6917" t="s">
        <v>299</v>
      </c>
      <c r="D6917" t="s">
        <v>298</v>
      </c>
      <c r="E6917" t="s">
        <v>282</v>
      </c>
      <c r="F6917" t="s">
        <v>226</v>
      </c>
    </row>
    <row r="6918" spans="1:6" x14ac:dyDescent="0.35">
      <c r="A6918" t="s">
        <v>227</v>
      </c>
      <c r="B6918" t="s">
        <v>235</v>
      </c>
      <c r="C6918" s="2">
        <v>0.65969999999999995</v>
      </c>
      <c r="D6918" s="2">
        <v>0.34029999999999999</v>
      </c>
      <c r="F6918">
        <v>205</v>
      </c>
    </row>
    <row r="6919" spans="1:6" x14ac:dyDescent="0.35">
      <c r="A6919" t="s">
        <v>227</v>
      </c>
      <c r="B6919" t="s">
        <v>234</v>
      </c>
      <c r="C6919" s="2">
        <v>0.70989999999999998</v>
      </c>
      <c r="D6919" s="2">
        <v>0.28820000000000001</v>
      </c>
      <c r="E6919" s="2">
        <v>1.8E-3</v>
      </c>
      <c r="F6919">
        <v>404</v>
      </c>
    </row>
    <row r="6920" spans="1:6" x14ac:dyDescent="0.35">
      <c r="A6920" t="s">
        <v>228</v>
      </c>
      <c r="B6920" t="s">
        <v>228</v>
      </c>
      <c r="C6920" s="2">
        <v>0.69699999999999995</v>
      </c>
      <c r="D6920" s="2">
        <v>0.30159999999999998</v>
      </c>
      <c r="E6920" s="2">
        <v>1.4E-3</v>
      </c>
      <c r="F6920">
        <v>609</v>
      </c>
    </row>
    <row r="6922" spans="1:6" x14ac:dyDescent="0.35">
      <c r="A6922" s="1" t="s">
        <v>1800</v>
      </c>
    </row>
    <row r="6923" spans="1:6" x14ac:dyDescent="0.35">
      <c r="A6923" t="s">
        <v>219</v>
      </c>
      <c r="B6923" t="s">
        <v>301</v>
      </c>
      <c r="C6923" t="s">
        <v>299</v>
      </c>
      <c r="D6923" t="s">
        <v>298</v>
      </c>
      <c r="E6923" t="s">
        <v>282</v>
      </c>
      <c r="F6923" t="s">
        <v>226</v>
      </c>
    </row>
    <row r="6924" spans="1:6" x14ac:dyDescent="0.35">
      <c r="A6924" t="s">
        <v>227</v>
      </c>
      <c r="B6924" t="s">
        <v>240</v>
      </c>
      <c r="C6924" s="2">
        <v>0.68630000000000002</v>
      </c>
      <c r="D6924" s="2">
        <v>0.31169999999999998</v>
      </c>
      <c r="E6924" s="2">
        <v>2E-3</v>
      </c>
      <c r="F6924">
        <v>379</v>
      </c>
    </row>
    <row r="6925" spans="1:6" x14ac:dyDescent="0.35">
      <c r="A6925" t="s">
        <v>227</v>
      </c>
      <c r="B6925" t="s">
        <v>241</v>
      </c>
      <c r="C6925" s="2">
        <v>0.72340000000000004</v>
      </c>
      <c r="D6925" s="2">
        <v>0.27660000000000001</v>
      </c>
      <c r="F6925">
        <v>198</v>
      </c>
    </row>
    <row r="6926" spans="1:6" x14ac:dyDescent="0.35">
      <c r="A6926" t="s">
        <v>227</v>
      </c>
      <c r="B6926" t="s">
        <v>242</v>
      </c>
      <c r="C6926" s="2">
        <v>0.68820000000000003</v>
      </c>
      <c r="D6926" s="2">
        <v>0.31180000000000002</v>
      </c>
      <c r="F6926">
        <v>32</v>
      </c>
    </row>
    <row r="6927" spans="1:6" x14ac:dyDescent="0.35">
      <c r="A6927" t="s">
        <v>228</v>
      </c>
      <c r="B6927" t="s">
        <v>228</v>
      </c>
      <c r="C6927" s="2">
        <v>0.69699999999999995</v>
      </c>
      <c r="D6927" s="2">
        <v>0.30159999999999998</v>
      </c>
      <c r="E6927" s="2">
        <v>1.4E-3</v>
      </c>
      <c r="F6927">
        <v>609</v>
      </c>
    </row>
    <row r="6929" spans="1:6" x14ac:dyDescent="0.35">
      <c r="A6929" s="1" t="s">
        <v>1801</v>
      </c>
    </row>
    <row r="6930" spans="1:6" x14ac:dyDescent="0.35">
      <c r="A6930" t="s">
        <v>219</v>
      </c>
      <c r="B6930" t="s">
        <v>301</v>
      </c>
      <c r="C6930" t="s">
        <v>299</v>
      </c>
      <c r="D6930" t="s">
        <v>298</v>
      </c>
      <c r="E6930" t="s">
        <v>282</v>
      </c>
      <c r="F6930" t="s">
        <v>226</v>
      </c>
    </row>
    <row r="6931" spans="1:6" x14ac:dyDescent="0.35">
      <c r="A6931" t="s">
        <v>227</v>
      </c>
      <c r="B6931" t="s">
        <v>334</v>
      </c>
      <c r="C6931" s="2">
        <v>0.66039999999999999</v>
      </c>
      <c r="D6931" s="2">
        <v>0.33960000000000001</v>
      </c>
      <c r="F6931">
        <v>160</v>
      </c>
    </row>
    <row r="6932" spans="1:6" x14ac:dyDescent="0.35">
      <c r="A6932" t="s">
        <v>227</v>
      </c>
      <c r="B6932" t="s">
        <v>335</v>
      </c>
      <c r="C6932" s="2">
        <v>0.75619999999999998</v>
      </c>
      <c r="D6932" s="2">
        <v>0.24060000000000001</v>
      </c>
      <c r="E6932" s="2">
        <v>3.2000000000000002E-3</v>
      </c>
      <c r="F6932">
        <v>124</v>
      </c>
    </row>
    <row r="6933" spans="1:6" x14ac:dyDescent="0.35">
      <c r="A6933" t="s">
        <v>227</v>
      </c>
      <c r="B6933" t="s">
        <v>336</v>
      </c>
      <c r="C6933" s="2">
        <v>0.6694</v>
      </c>
      <c r="D6933" s="2">
        <v>0.32879999999999998</v>
      </c>
      <c r="E6933" s="2">
        <v>1.8E-3</v>
      </c>
      <c r="F6933">
        <v>135</v>
      </c>
    </row>
    <row r="6934" spans="1:6" x14ac:dyDescent="0.35">
      <c r="A6934" t="s">
        <v>227</v>
      </c>
      <c r="B6934" t="s">
        <v>337</v>
      </c>
      <c r="C6934" s="2">
        <v>0.69179999999999997</v>
      </c>
      <c r="D6934" s="2">
        <v>0.30819999999999997</v>
      </c>
      <c r="F6934">
        <v>113</v>
      </c>
    </row>
    <row r="6935" spans="1:6" x14ac:dyDescent="0.35">
      <c r="A6935" t="s">
        <v>228</v>
      </c>
      <c r="B6935" t="s">
        <v>228</v>
      </c>
      <c r="C6935" s="2">
        <v>0.69699999999999995</v>
      </c>
      <c r="D6935" s="2">
        <v>0.30159999999999998</v>
      </c>
      <c r="E6935" s="2">
        <v>1.4E-3</v>
      </c>
      <c r="F6935">
        <v>532</v>
      </c>
    </row>
    <row r="6937" spans="1:6" x14ac:dyDescent="0.35">
      <c r="A6937" s="1" t="s">
        <v>1802</v>
      </c>
    </row>
    <row r="6938" spans="1:6" x14ac:dyDescent="0.35">
      <c r="A6938" t="s">
        <v>219</v>
      </c>
      <c r="B6938" t="s">
        <v>301</v>
      </c>
      <c r="C6938" t="s">
        <v>299</v>
      </c>
      <c r="D6938" t="s">
        <v>298</v>
      </c>
      <c r="E6938" t="s">
        <v>282</v>
      </c>
      <c r="F6938" t="s">
        <v>226</v>
      </c>
    </row>
    <row r="6939" spans="1:6" x14ac:dyDescent="0.35">
      <c r="A6939" t="s">
        <v>227</v>
      </c>
      <c r="B6939" t="s">
        <v>263</v>
      </c>
      <c r="C6939" s="2">
        <v>0.64039999999999997</v>
      </c>
      <c r="D6939" s="2">
        <v>0.35959999999999998</v>
      </c>
      <c r="F6939">
        <v>127</v>
      </c>
    </row>
    <row r="6940" spans="1:6" x14ac:dyDescent="0.35">
      <c r="A6940" t="s">
        <v>227</v>
      </c>
      <c r="B6940" t="s">
        <v>262</v>
      </c>
      <c r="C6940" s="2">
        <v>0.69210000000000005</v>
      </c>
      <c r="D6940" s="2">
        <v>0.30409999999999998</v>
      </c>
      <c r="E6940" s="2">
        <v>3.7000000000000002E-3</v>
      </c>
      <c r="F6940">
        <v>260</v>
      </c>
    </row>
    <row r="6941" spans="1:6" x14ac:dyDescent="0.35">
      <c r="A6941" t="s">
        <v>227</v>
      </c>
      <c r="B6941" t="s">
        <v>261</v>
      </c>
      <c r="C6941" s="2">
        <v>0.73109999999999997</v>
      </c>
      <c r="D6941" s="2">
        <v>0.26889999999999997</v>
      </c>
      <c r="F6941">
        <v>222</v>
      </c>
    </row>
    <row r="6942" spans="1:6" x14ac:dyDescent="0.35">
      <c r="A6942" t="s">
        <v>228</v>
      </c>
      <c r="B6942" t="s">
        <v>228</v>
      </c>
      <c r="C6942" s="2">
        <v>0.69699999999999995</v>
      </c>
      <c r="D6942" s="2">
        <v>0.30159999999999998</v>
      </c>
      <c r="E6942" s="2">
        <v>1.4E-3</v>
      </c>
      <c r="F6942">
        <v>609</v>
      </c>
    </row>
    <row r="6944" spans="1:6" x14ac:dyDescent="0.35">
      <c r="A6944" s="1" t="s">
        <v>1803</v>
      </c>
    </row>
    <row r="6945" spans="1:6" x14ac:dyDescent="0.35">
      <c r="A6945" t="s">
        <v>219</v>
      </c>
      <c r="B6945" t="s">
        <v>301</v>
      </c>
      <c r="C6945" t="s">
        <v>299</v>
      </c>
      <c r="D6945" t="s">
        <v>298</v>
      </c>
      <c r="E6945" t="s">
        <v>282</v>
      </c>
      <c r="F6945" t="s">
        <v>226</v>
      </c>
    </row>
    <row r="6946" spans="1:6" x14ac:dyDescent="0.35">
      <c r="A6946" t="s">
        <v>227</v>
      </c>
      <c r="B6946" t="s">
        <v>248</v>
      </c>
      <c r="C6946" s="2">
        <v>0.59450000000000003</v>
      </c>
      <c r="D6946" s="2">
        <v>0.40550000000000003</v>
      </c>
      <c r="F6946">
        <v>187</v>
      </c>
    </row>
    <row r="6947" spans="1:6" x14ac:dyDescent="0.35">
      <c r="A6947" t="s">
        <v>227</v>
      </c>
      <c r="B6947" t="s">
        <v>249</v>
      </c>
      <c r="C6947" s="2">
        <v>0.74629999999999996</v>
      </c>
      <c r="D6947" s="2">
        <v>0.25369999999999998</v>
      </c>
      <c r="F6947">
        <v>145</v>
      </c>
    </row>
    <row r="6948" spans="1:6" x14ac:dyDescent="0.35">
      <c r="A6948" t="s">
        <v>227</v>
      </c>
      <c r="B6948" t="s">
        <v>247</v>
      </c>
      <c r="C6948" s="2">
        <v>0.72599999999999998</v>
      </c>
      <c r="D6948" s="2">
        <v>0.27139999999999997</v>
      </c>
      <c r="E6948" s="2">
        <v>2.5999999999999999E-3</v>
      </c>
      <c r="F6948">
        <v>277</v>
      </c>
    </row>
    <row r="6949" spans="1:6" x14ac:dyDescent="0.35">
      <c r="A6949" t="s">
        <v>228</v>
      </c>
      <c r="B6949" t="s">
        <v>228</v>
      </c>
      <c r="C6949" s="2">
        <v>0.69699999999999995</v>
      </c>
      <c r="D6949" s="2">
        <v>0.30159999999999998</v>
      </c>
      <c r="E6949" s="2">
        <v>1.4E-3</v>
      </c>
      <c r="F6949">
        <v>609</v>
      </c>
    </row>
    <row r="6951" spans="1:6" x14ac:dyDescent="0.35">
      <c r="A6951" s="1" t="s">
        <v>1804</v>
      </c>
    </row>
    <row r="6952" spans="1:6" x14ac:dyDescent="0.35">
      <c r="A6952" t="s">
        <v>219</v>
      </c>
      <c r="B6952" t="s">
        <v>301</v>
      </c>
      <c r="C6952" t="s">
        <v>299</v>
      </c>
      <c r="D6952" t="s">
        <v>298</v>
      </c>
      <c r="E6952" t="s">
        <v>282</v>
      </c>
      <c r="F6952" t="s">
        <v>226</v>
      </c>
    </row>
    <row r="6953" spans="1:6" x14ac:dyDescent="0.35">
      <c r="A6953" t="s">
        <v>227</v>
      </c>
      <c r="B6953" t="s">
        <v>245</v>
      </c>
      <c r="C6953" s="2">
        <v>0.75439999999999996</v>
      </c>
      <c r="D6953" s="2">
        <v>0.24560000000000001</v>
      </c>
      <c r="F6953">
        <v>145</v>
      </c>
    </row>
    <row r="6954" spans="1:6" x14ac:dyDescent="0.35">
      <c r="A6954" t="s">
        <v>227</v>
      </c>
      <c r="B6954" t="s">
        <v>244</v>
      </c>
      <c r="C6954" s="2">
        <v>0.67510000000000003</v>
      </c>
      <c r="D6954" s="2">
        <v>0.32300000000000001</v>
      </c>
      <c r="E6954" s="2">
        <v>1.9E-3</v>
      </c>
      <c r="F6954">
        <v>464</v>
      </c>
    </row>
    <row r="6955" spans="1:6" x14ac:dyDescent="0.35">
      <c r="A6955" t="s">
        <v>228</v>
      </c>
      <c r="B6955" t="s">
        <v>228</v>
      </c>
      <c r="C6955" s="2">
        <v>0.69699999999999995</v>
      </c>
      <c r="D6955" s="2">
        <v>0.30159999999999998</v>
      </c>
      <c r="E6955" s="2">
        <v>1.4E-3</v>
      </c>
      <c r="F6955">
        <v>609</v>
      </c>
    </row>
    <row r="6957" spans="1:6" x14ac:dyDescent="0.35">
      <c r="A6957" s="1" t="s">
        <v>1805</v>
      </c>
    </row>
    <row r="6958" spans="1:6" x14ac:dyDescent="0.35">
      <c r="A6958" t="s">
        <v>219</v>
      </c>
      <c r="B6958" t="s">
        <v>301</v>
      </c>
      <c r="C6958" t="s">
        <v>299</v>
      </c>
      <c r="D6958" t="s">
        <v>298</v>
      </c>
      <c r="E6958" t="s">
        <v>282</v>
      </c>
      <c r="F6958" t="s">
        <v>226</v>
      </c>
    </row>
    <row r="6959" spans="1:6" x14ac:dyDescent="0.35">
      <c r="A6959" s="3" t="s">
        <v>227</v>
      </c>
      <c r="B6959" s="3" t="s">
        <v>259</v>
      </c>
      <c r="C6959" s="4">
        <v>0.61480000000000001</v>
      </c>
      <c r="D6959" s="4">
        <v>0.38519999999999999</v>
      </c>
      <c r="E6959" s="5"/>
      <c r="F6959" s="5" t="s">
        <v>851</v>
      </c>
    </row>
    <row r="6960" spans="1:6" x14ac:dyDescent="0.35">
      <c r="A6960" t="s">
        <v>227</v>
      </c>
      <c r="B6960" t="s">
        <v>257</v>
      </c>
      <c r="C6960" s="2">
        <v>0.4718</v>
      </c>
      <c r="D6960" s="2">
        <v>0.5282</v>
      </c>
      <c r="F6960">
        <v>66</v>
      </c>
    </row>
    <row r="6961" spans="1:6" x14ac:dyDescent="0.35">
      <c r="A6961" t="s">
        <v>227</v>
      </c>
      <c r="B6961" t="s">
        <v>256</v>
      </c>
      <c r="C6961" s="2">
        <v>0.7419</v>
      </c>
      <c r="D6961" s="2">
        <v>0.2581</v>
      </c>
      <c r="F6961">
        <v>312</v>
      </c>
    </row>
    <row r="6962" spans="1:6" x14ac:dyDescent="0.35">
      <c r="A6962" s="3" t="s">
        <v>227</v>
      </c>
      <c r="B6962" s="3" t="s">
        <v>232</v>
      </c>
      <c r="C6962" s="4">
        <v>0.34710000000000002</v>
      </c>
      <c r="D6962" s="4">
        <v>0.65290000000000004</v>
      </c>
      <c r="E6962" s="5"/>
      <c r="F6962" s="5" t="s">
        <v>341</v>
      </c>
    </row>
    <row r="6963" spans="1:6" x14ac:dyDescent="0.35">
      <c r="A6963" t="s">
        <v>227</v>
      </c>
      <c r="B6963" t="s">
        <v>258</v>
      </c>
      <c r="C6963" s="2">
        <v>0.75029999999999997</v>
      </c>
      <c r="D6963" s="2">
        <v>0.24529999999999999</v>
      </c>
      <c r="E6963" s="2">
        <v>4.3E-3</v>
      </c>
      <c r="F6963">
        <v>198</v>
      </c>
    </row>
    <row r="6964" spans="1:6" x14ac:dyDescent="0.35">
      <c r="A6964" t="s">
        <v>228</v>
      </c>
      <c r="B6964" t="s">
        <v>228</v>
      </c>
      <c r="C6964" s="2">
        <v>0.69699999999999995</v>
      </c>
      <c r="D6964" s="2">
        <v>0.30159999999999998</v>
      </c>
      <c r="E6964" s="2">
        <v>1.4E-3</v>
      </c>
      <c r="F6964">
        <v>609</v>
      </c>
    </row>
    <row r="6966" spans="1:6" x14ac:dyDescent="0.35">
      <c r="A6966" s="1" t="s">
        <v>1806</v>
      </c>
    </row>
    <row r="6967" spans="1:6" x14ac:dyDescent="0.35">
      <c r="A6967" t="s">
        <v>219</v>
      </c>
      <c r="B6967" t="s">
        <v>301</v>
      </c>
      <c r="C6967" t="s">
        <v>299</v>
      </c>
      <c r="D6967" t="s">
        <v>298</v>
      </c>
      <c r="E6967" t="s">
        <v>282</v>
      </c>
      <c r="F6967" t="s">
        <v>226</v>
      </c>
    </row>
    <row r="6968" spans="1:6" x14ac:dyDescent="0.35">
      <c r="A6968" t="s">
        <v>227</v>
      </c>
      <c r="B6968" t="s">
        <v>343</v>
      </c>
      <c r="C6968" s="2">
        <v>0.4718</v>
      </c>
      <c r="D6968" s="2">
        <v>0.5282</v>
      </c>
      <c r="F6968">
        <v>66</v>
      </c>
    </row>
    <row r="6969" spans="1:6" x14ac:dyDescent="0.35">
      <c r="A6969" t="s">
        <v>227</v>
      </c>
      <c r="B6969" t="s">
        <v>344</v>
      </c>
      <c r="C6969" s="2">
        <v>0.7389</v>
      </c>
      <c r="D6969" s="2">
        <v>0.25950000000000001</v>
      </c>
      <c r="E6969" s="2">
        <v>1.6000000000000001E-3</v>
      </c>
      <c r="F6969">
        <v>543</v>
      </c>
    </row>
    <row r="6970" spans="1:6" x14ac:dyDescent="0.35">
      <c r="A6970" t="s">
        <v>228</v>
      </c>
      <c r="B6970" t="s">
        <v>228</v>
      </c>
      <c r="C6970" s="2">
        <v>0.69699999999999995</v>
      </c>
      <c r="D6970" s="2">
        <v>0.30159999999999998</v>
      </c>
      <c r="E6970" s="2">
        <v>1.4E-3</v>
      </c>
      <c r="F6970">
        <v>609</v>
      </c>
    </row>
    <row r="6972" spans="1:6" x14ac:dyDescent="0.35">
      <c r="A6972" s="1" t="s">
        <v>1807</v>
      </c>
    </row>
    <row r="6973" spans="1:6" x14ac:dyDescent="0.35">
      <c r="A6973" t="s">
        <v>219</v>
      </c>
      <c r="B6973" t="s">
        <v>301</v>
      </c>
      <c r="C6973" t="s">
        <v>299</v>
      </c>
      <c r="D6973" t="s">
        <v>298</v>
      </c>
      <c r="E6973" t="s">
        <v>282</v>
      </c>
      <c r="F6973" t="s">
        <v>226</v>
      </c>
    </row>
    <row r="6974" spans="1:6" x14ac:dyDescent="0.35">
      <c r="A6974" t="s">
        <v>227</v>
      </c>
      <c r="B6974" t="s">
        <v>346</v>
      </c>
      <c r="C6974" s="2">
        <v>0.74450000000000005</v>
      </c>
      <c r="D6974" s="2">
        <v>0.2555</v>
      </c>
      <c r="F6974">
        <v>145</v>
      </c>
    </row>
    <row r="6975" spans="1:6" x14ac:dyDescent="0.35">
      <c r="A6975" t="s">
        <v>227</v>
      </c>
      <c r="B6975" t="s">
        <v>347</v>
      </c>
      <c r="C6975" s="2">
        <v>0.53759999999999997</v>
      </c>
      <c r="D6975" s="2">
        <v>0.45279999999999998</v>
      </c>
      <c r="E6975" s="2">
        <v>9.4999999999999998E-3</v>
      </c>
      <c r="F6975">
        <v>234</v>
      </c>
    </row>
    <row r="6976" spans="1:6" x14ac:dyDescent="0.35">
      <c r="A6976" t="s">
        <v>227</v>
      </c>
      <c r="B6976" t="s">
        <v>348</v>
      </c>
      <c r="C6976" s="2">
        <v>0.68100000000000005</v>
      </c>
      <c r="D6976" s="2">
        <v>0.31900000000000001</v>
      </c>
      <c r="F6976">
        <v>230</v>
      </c>
    </row>
    <row r="6977" spans="1:10" x14ac:dyDescent="0.35">
      <c r="A6977" t="s">
        <v>228</v>
      </c>
      <c r="B6977" t="s">
        <v>228</v>
      </c>
      <c r="C6977" s="2">
        <v>0.69699999999999995</v>
      </c>
      <c r="D6977" s="2">
        <v>0.30159999999999998</v>
      </c>
      <c r="E6977" s="2">
        <v>1.4E-3</v>
      </c>
      <c r="F6977">
        <v>609</v>
      </c>
    </row>
    <row r="6979" spans="1:10" x14ac:dyDescent="0.35">
      <c r="A6979" s="1" t="s">
        <v>1808</v>
      </c>
    </row>
    <row r="6980" spans="1:10" x14ac:dyDescent="0.35">
      <c r="A6980" t="s">
        <v>219</v>
      </c>
      <c r="B6980" t="s">
        <v>301</v>
      </c>
      <c r="C6980" t="s">
        <v>299</v>
      </c>
      <c r="D6980" t="s">
        <v>298</v>
      </c>
      <c r="E6980" t="s">
        <v>282</v>
      </c>
      <c r="F6980" t="s">
        <v>226</v>
      </c>
    </row>
    <row r="6981" spans="1:10" x14ac:dyDescent="0.35">
      <c r="A6981" t="s">
        <v>227</v>
      </c>
      <c r="B6981" t="s">
        <v>251</v>
      </c>
      <c r="C6981" s="2">
        <v>0.67510000000000003</v>
      </c>
      <c r="D6981" s="2">
        <v>0.32300000000000001</v>
      </c>
      <c r="E6981" s="2">
        <v>1.9E-3</v>
      </c>
      <c r="F6981">
        <v>464</v>
      </c>
    </row>
    <row r="6982" spans="1:10" x14ac:dyDescent="0.35">
      <c r="A6982" t="s">
        <v>227</v>
      </c>
      <c r="B6982" t="s">
        <v>252</v>
      </c>
      <c r="C6982" s="2">
        <v>0.78469999999999995</v>
      </c>
      <c r="D6982" s="2">
        <v>0.21529999999999999</v>
      </c>
      <c r="F6982">
        <v>124</v>
      </c>
    </row>
    <row r="6983" spans="1:10" x14ac:dyDescent="0.35">
      <c r="A6983" s="3" t="s">
        <v>227</v>
      </c>
      <c r="B6983" s="3" t="s">
        <v>253</v>
      </c>
      <c r="C6983" s="4">
        <v>0.43869999999999998</v>
      </c>
      <c r="D6983" s="4">
        <v>0.56130000000000002</v>
      </c>
      <c r="E6983" s="5"/>
      <c r="F6983" s="5" t="s">
        <v>522</v>
      </c>
    </row>
    <row r="6984" spans="1:10" x14ac:dyDescent="0.35">
      <c r="A6984" s="3" t="s">
        <v>227</v>
      </c>
      <c r="B6984" s="3" t="s">
        <v>254</v>
      </c>
      <c r="C6984" s="4">
        <v>0.68279999999999996</v>
      </c>
      <c r="D6984" s="4">
        <v>0.31719999999999998</v>
      </c>
      <c r="E6984" s="5"/>
      <c r="F6984" s="5" t="s">
        <v>327</v>
      </c>
    </row>
    <row r="6985" spans="1:10" x14ac:dyDescent="0.35">
      <c r="A6985" t="s">
        <v>228</v>
      </c>
      <c r="B6985" t="s">
        <v>228</v>
      </c>
      <c r="C6985" s="2">
        <v>0.69699999999999995</v>
      </c>
      <c r="D6985" s="2">
        <v>0.30159999999999998</v>
      </c>
      <c r="E6985" s="2">
        <v>1.4E-3</v>
      </c>
      <c r="F6985">
        <v>609</v>
      </c>
    </row>
    <row r="6987" spans="1:10" x14ac:dyDescent="0.35">
      <c r="A6987" s="1" t="s">
        <v>1809</v>
      </c>
    </row>
    <row r="6988" spans="1:10" x14ac:dyDescent="0.35">
      <c r="A6988" t="s">
        <v>219</v>
      </c>
      <c r="B6988" t="s">
        <v>1810</v>
      </c>
      <c r="C6988" t="s">
        <v>1811</v>
      </c>
      <c r="D6988" t="s">
        <v>277</v>
      </c>
      <c r="E6988" t="s">
        <v>1812</v>
      </c>
      <c r="F6988" t="s">
        <v>1813</v>
      </c>
      <c r="G6988" t="s">
        <v>1814</v>
      </c>
      <c r="H6988" t="s">
        <v>1815</v>
      </c>
      <c r="I6988" t="s">
        <v>1816</v>
      </c>
      <c r="J6988" t="s">
        <v>226</v>
      </c>
    </row>
    <row r="6989" spans="1:10" x14ac:dyDescent="0.35">
      <c r="A6989" t="s">
        <v>227</v>
      </c>
      <c r="B6989" s="2">
        <v>0.48330000000000001</v>
      </c>
      <c r="C6989" s="2">
        <v>0.23419999999999999</v>
      </c>
      <c r="D6989" s="2">
        <v>0.14030000000000001</v>
      </c>
      <c r="E6989" s="2">
        <v>0.1235</v>
      </c>
      <c r="F6989" s="2">
        <v>0.1167</v>
      </c>
      <c r="G6989" s="2">
        <v>0.1085</v>
      </c>
      <c r="H6989" s="2">
        <v>4.24E-2</v>
      </c>
      <c r="I6989" s="2">
        <v>3.1800000000000002E-2</v>
      </c>
      <c r="J6989">
        <v>222</v>
      </c>
    </row>
    <row r="6990" spans="1:10" x14ac:dyDescent="0.35">
      <c r="A6990" t="s">
        <v>228</v>
      </c>
      <c r="B6990" s="2">
        <v>0.48330000000000001</v>
      </c>
      <c r="C6990" s="2">
        <v>0.23419999999999999</v>
      </c>
      <c r="D6990" s="2">
        <v>0.14030000000000001</v>
      </c>
      <c r="E6990" s="2">
        <v>0.1235</v>
      </c>
      <c r="F6990" s="2">
        <v>0.1167</v>
      </c>
      <c r="G6990" s="2">
        <v>0.1085</v>
      </c>
      <c r="H6990" s="2">
        <v>4.24E-2</v>
      </c>
      <c r="I6990" s="2">
        <v>3.1800000000000002E-2</v>
      </c>
      <c r="J6990">
        <v>222</v>
      </c>
    </row>
    <row r="6992" spans="1:10" x14ac:dyDescent="0.35">
      <c r="A6992" s="1" t="s">
        <v>1817</v>
      </c>
    </row>
    <row r="6993" spans="1:11" x14ac:dyDescent="0.35">
      <c r="A6993" t="s">
        <v>219</v>
      </c>
      <c r="B6993" t="s">
        <v>301</v>
      </c>
      <c r="C6993" t="s">
        <v>1810</v>
      </c>
      <c r="D6993" t="s">
        <v>1811</v>
      </c>
      <c r="E6993" t="s">
        <v>277</v>
      </c>
      <c r="F6993" t="s">
        <v>1812</v>
      </c>
      <c r="G6993" t="s">
        <v>1813</v>
      </c>
      <c r="H6993" t="s">
        <v>1814</v>
      </c>
      <c r="I6993" t="s">
        <v>1815</v>
      </c>
      <c r="J6993" t="s">
        <v>1816</v>
      </c>
      <c r="K6993" t="s">
        <v>226</v>
      </c>
    </row>
    <row r="6994" spans="1:11" x14ac:dyDescent="0.35">
      <c r="A6994" t="s">
        <v>227</v>
      </c>
      <c r="B6994" t="s">
        <v>238</v>
      </c>
      <c r="C6994" s="2">
        <v>0.49390000000000001</v>
      </c>
      <c r="D6994" s="2">
        <v>0.17560000000000001</v>
      </c>
      <c r="E6994" s="2">
        <v>0.1017</v>
      </c>
      <c r="F6994" s="2">
        <v>0.15040000000000001</v>
      </c>
      <c r="G6994" s="2">
        <v>0.1215</v>
      </c>
      <c r="H6994" s="2">
        <v>0.216</v>
      </c>
      <c r="I6994" s="2">
        <v>4.4699999999999997E-2</v>
      </c>
      <c r="J6994" s="2">
        <v>4.0800000000000003E-2</v>
      </c>
      <c r="K6994">
        <v>109</v>
      </c>
    </row>
    <row r="6995" spans="1:11" x14ac:dyDescent="0.35">
      <c r="A6995" t="s">
        <v>227</v>
      </c>
      <c r="B6995" t="s">
        <v>237</v>
      </c>
      <c r="C6995" s="2">
        <v>0.47620000000000001</v>
      </c>
      <c r="D6995" s="2">
        <v>0.27360000000000001</v>
      </c>
      <c r="E6995" s="2">
        <v>0.16619999999999999</v>
      </c>
      <c r="F6995" s="2">
        <v>0.10539999999999999</v>
      </c>
      <c r="G6995" s="2">
        <v>0.1134</v>
      </c>
      <c r="H6995" s="2">
        <v>3.6200000000000003E-2</v>
      </c>
      <c r="I6995" s="2">
        <v>4.0800000000000003E-2</v>
      </c>
      <c r="J6995" s="2">
        <v>2.58E-2</v>
      </c>
      <c r="K6995">
        <v>113</v>
      </c>
    </row>
    <row r="6996" spans="1:11" x14ac:dyDescent="0.35">
      <c r="A6996" t="s">
        <v>228</v>
      </c>
      <c r="B6996" t="s">
        <v>228</v>
      </c>
      <c r="C6996" s="2">
        <v>0.48330000000000001</v>
      </c>
      <c r="D6996" s="2">
        <v>0.23419999999999999</v>
      </c>
      <c r="E6996" s="2">
        <v>0.14030000000000001</v>
      </c>
      <c r="F6996" s="2">
        <v>0.1235</v>
      </c>
      <c r="G6996" s="2">
        <v>0.1167</v>
      </c>
      <c r="H6996" s="2">
        <v>0.1085</v>
      </c>
      <c r="I6996" s="2">
        <v>4.24E-2</v>
      </c>
      <c r="J6996" s="2">
        <v>3.1800000000000002E-2</v>
      </c>
      <c r="K6996">
        <v>222</v>
      </c>
    </row>
    <row r="6998" spans="1:11" x14ac:dyDescent="0.35">
      <c r="A6998" s="1" t="s">
        <v>1818</v>
      </c>
    </row>
    <row r="6999" spans="1:11" x14ac:dyDescent="0.35">
      <c r="A6999" t="s">
        <v>219</v>
      </c>
      <c r="B6999" t="s">
        <v>301</v>
      </c>
      <c r="C6999" t="s">
        <v>1810</v>
      </c>
      <c r="D6999" t="s">
        <v>1811</v>
      </c>
      <c r="E6999" t="s">
        <v>277</v>
      </c>
      <c r="F6999" t="s">
        <v>1812</v>
      </c>
      <c r="G6999" t="s">
        <v>1813</v>
      </c>
      <c r="H6999" t="s">
        <v>1814</v>
      </c>
      <c r="I6999" t="s">
        <v>1815</v>
      </c>
      <c r="J6999" t="s">
        <v>1816</v>
      </c>
      <c r="K6999" t="s">
        <v>226</v>
      </c>
    </row>
    <row r="7000" spans="1:11" x14ac:dyDescent="0.35">
      <c r="A7000" t="s">
        <v>227</v>
      </c>
      <c r="B7000" t="s">
        <v>235</v>
      </c>
      <c r="C7000" s="2">
        <v>0.42070000000000002</v>
      </c>
      <c r="D7000" s="2">
        <v>0.1711</v>
      </c>
      <c r="E7000" s="2">
        <v>0.25879999999999997</v>
      </c>
      <c r="F7000" s="2">
        <v>0.2271</v>
      </c>
      <c r="G7000" s="2">
        <v>0.16120000000000001</v>
      </c>
      <c r="H7000" s="2">
        <v>3.39E-2</v>
      </c>
      <c r="I7000" s="2">
        <v>5.4899999999999997E-2</v>
      </c>
      <c r="J7000" s="2">
        <v>2.8000000000000001E-2</v>
      </c>
      <c r="K7000">
        <v>71</v>
      </c>
    </row>
    <row r="7001" spans="1:11" x14ac:dyDescent="0.35">
      <c r="A7001" t="s">
        <v>227</v>
      </c>
      <c r="B7001" t="s">
        <v>234</v>
      </c>
      <c r="C7001" s="2">
        <v>0.50939999999999996</v>
      </c>
      <c r="D7001" s="2">
        <v>0.26050000000000001</v>
      </c>
      <c r="E7001" s="2">
        <v>9.0700000000000003E-2</v>
      </c>
      <c r="F7001" s="2">
        <v>8.0199999999999994E-2</v>
      </c>
      <c r="G7001" s="2">
        <v>9.8100000000000007E-2</v>
      </c>
      <c r="H7001" s="2">
        <v>0.13969999999999999</v>
      </c>
      <c r="I7001" s="2">
        <v>3.7199999999999997E-2</v>
      </c>
      <c r="J7001" s="2">
        <v>3.3399999999999999E-2</v>
      </c>
      <c r="K7001">
        <v>151</v>
      </c>
    </row>
    <row r="7002" spans="1:11" x14ac:dyDescent="0.35">
      <c r="A7002" t="s">
        <v>228</v>
      </c>
      <c r="B7002" t="s">
        <v>228</v>
      </c>
      <c r="C7002" s="2">
        <v>0.48330000000000001</v>
      </c>
      <c r="D7002" s="2">
        <v>0.23419999999999999</v>
      </c>
      <c r="E7002" s="2">
        <v>0.14030000000000001</v>
      </c>
      <c r="F7002" s="2">
        <v>0.1235</v>
      </c>
      <c r="G7002" s="2">
        <v>0.1167</v>
      </c>
      <c r="H7002" s="2">
        <v>0.1085</v>
      </c>
      <c r="I7002" s="2">
        <v>4.24E-2</v>
      </c>
      <c r="J7002" s="2">
        <v>3.1800000000000002E-2</v>
      </c>
      <c r="K7002">
        <v>222</v>
      </c>
    </row>
    <row r="7004" spans="1:11" x14ac:dyDescent="0.35">
      <c r="A7004" s="1" t="s">
        <v>1819</v>
      </c>
    </row>
    <row r="7005" spans="1:11" x14ac:dyDescent="0.35">
      <c r="A7005" t="s">
        <v>219</v>
      </c>
      <c r="B7005" t="s">
        <v>301</v>
      </c>
      <c r="C7005" t="s">
        <v>1810</v>
      </c>
      <c r="D7005" t="s">
        <v>1811</v>
      </c>
      <c r="E7005" t="s">
        <v>277</v>
      </c>
      <c r="F7005" t="s">
        <v>1812</v>
      </c>
      <c r="G7005" t="s">
        <v>1813</v>
      </c>
      <c r="H7005" t="s">
        <v>1814</v>
      </c>
      <c r="I7005" t="s">
        <v>1815</v>
      </c>
      <c r="J7005" t="s">
        <v>1816</v>
      </c>
      <c r="K7005" t="s">
        <v>226</v>
      </c>
    </row>
    <row r="7006" spans="1:11" x14ac:dyDescent="0.35">
      <c r="A7006" t="s">
        <v>227</v>
      </c>
      <c r="B7006" t="s">
        <v>240</v>
      </c>
      <c r="C7006" s="2">
        <v>0.44550000000000001</v>
      </c>
      <c r="D7006" s="2">
        <v>0.24729999999999999</v>
      </c>
      <c r="E7006" s="2">
        <v>0.1726</v>
      </c>
      <c r="F7006" s="2">
        <v>0.1065</v>
      </c>
      <c r="G7006" s="2">
        <v>0.1077</v>
      </c>
      <c r="H7006" s="2">
        <v>0.14580000000000001</v>
      </c>
      <c r="I7006" s="2">
        <v>3.6499999999999998E-2</v>
      </c>
      <c r="J7006" s="2">
        <v>3.0800000000000001E-2</v>
      </c>
      <c r="K7006">
        <v>140</v>
      </c>
    </row>
    <row r="7007" spans="1:11" x14ac:dyDescent="0.35">
      <c r="A7007" t="s">
        <v>227</v>
      </c>
      <c r="B7007" t="s">
        <v>241</v>
      </c>
      <c r="C7007" s="2">
        <v>0.53969999999999996</v>
      </c>
      <c r="D7007" s="2">
        <v>0.20330000000000001</v>
      </c>
      <c r="E7007" s="2">
        <v>4.4400000000000002E-2</v>
      </c>
      <c r="F7007" s="2">
        <v>0.15290000000000001</v>
      </c>
      <c r="G7007" s="2">
        <v>0.1018</v>
      </c>
      <c r="H7007" s="2">
        <v>2.0799999999999999E-2</v>
      </c>
      <c r="I7007" s="2">
        <v>6.5799999999999997E-2</v>
      </c>
      <c r="J7007" s="2">
        <v>0.04</v>
      </c>
      <c r="K7007">
        <v>72</v>
      </c>
    </row>
    <row r="7008" spans="1:11" x14ac:dyDescent="0.35">
      <c r="A7008" s="3" t="s">
        <v>227</v>
      </c>
      <c r="B7008" s="3" t="s">
        <v>242</v>
      </c>
      <c r="C7008" s="4">
        <v>0.79200000000000004</v>
      </c>
      <c r="D7008" s="4">
        <v>0.19620000000000001</v>
      </c>
      <c r="E7008" s="4">
        <v>0.16739999999999999</v>
      </c>
      <c r="F7008" s="4">
        <v>0.2369</v>
      </c>
      <c r="G7008" s="4">
        <v>0.36080000000000001</v>
      </c>
      <c r="H7008" s="5"/>
      <c r="I7008" s="5"/>
      <c r="J7008" s="5"/>
      <c r="K7008" s="5" t="s">
        <v>606</v>
      </c>
    </row>
    <row r="7009" spans="1:11" x14ac:dyDescent="0.35">
      <c r="A7009" t="s">
        <v>228</v>
      </c>
      <c r="B7009" t="s">
        <v>228</v>
      </c>
      <c r="C7009" s="2">
        <v>0.48330000000000001</v>
      </c>
      <c r="D7009" s="2">
        <v>0.23419999999999999</v>
      </c>
      <c r="E7009" s="2">
        <v>0.14030000000000001</v>
      </c>
      <c r="F7009" s="2">
        <v>0.1235</v>
      </c>
      <c r="G7009" s="2">
        <v>0.1167</v>
      </c>
      <c r="H7009" s="2">
        <v>0.1085</v>
      </c>
      <c r="I7009" s="2">
        <v>4.24E-2</v>
      </c>
      <c r="J7009" s="2">
        <v>3.1800000000000002E-2</v>
      </c>
      <c r="K7009">
        <v>222</v>
      </c>
    </row>
    <row r="7011" spans="1:11" x14ac:dyDescent="0.35">
      <c r="A7011" s="1" t="s">
        <v>1820</v>
      </c>
    </row>
    <row r="7012" spans="1:11" x14ac:dyDescent="0.35">
      <c r="A7012" t="s">
        <v>219</v>
      </c>
      <c r="B7012" t="s">
        <v>301</v>
      </c>
      <c r="C7012" t="s">
        <v>1810</v>
      </c>
      <c r="D7012" t="s">
        <v>1811</v>
      </c>
      <c r="E7012" t="s">
        <v>277</v>
      </c>
      <c r="F7012" t="s">
        <v>1812</v>
      </c>
      <c r="G7012" t="s">
        <v>1813</v>
      </c>
      <c r="H7012" t="s">
        <v>1814</v>
      </c>
      <c r="I7012" t="s">
        <v>1815</v>
      </c>
      <c r="J7012" t="s">
        <v>1816</v>
      </c>
      <c r="K7012" t="s">
        <v>226</v>
      </c>
    </row>
    <row r="7013" spans="1:11" x14ac:dyDescent="0.35">
      <c r="A7013" t="s">
        <v>227</v>
      </c>
      <c r="B7013" t="s">
        <v>334</v>
      </c>
      <c r="C7013" s="2">
        <v>0.38940000000000002</v>
      </c>
      <c r="D7013" s="2">
        <v>0.30170000000000002</v>
      </c>
      <c r="E7013" s="2">
        <v>4.2099999999999999E-2</v>
      </c>
      <c r="F7013" s="2">
        <v>0.15190000000000001</v>
      </c>
      <c r="G7013" s="2">
        <v>0.1336</v>
      </c>
      <c r="H7013" s="2">
        <v>0.2606</v>
      </c>
      <c r="I7013" s="2">
        <v>5.0900000000000001E-2</v>
      </c>
      <c r="J7013" s="2">
        <v>8.3000000000000001E-3</v>
      </c>
      <c r="K7013">
        <v>71</v>
      </c>
    </row>
    <row r="7014" spans="1:11" x14ac:dyDescent="0.35">
      <c r="A7014" t="s">
        <v>227</v>
      </c>
      <c r="B7014" t="s">
        <v>335</v>
      </c>
      <c r="C7014" s="2">
        <v>0.6401</v>
      </c>
      <c r="D7014" s="2">
        <v>0.17169999999999999</v>
      </c>
      <c r="E7014" s="2">
        <v>0.1182</v>
      </c>
      <c r="F7014" s="2">
        <v>9.2299999999999993E-2</v>
      </c>
      <c r="G7014" s="2">
        <v>0.1857</v>
      </c>
      <c r="H7014" s="2">
        <v>3.3E-3</v>
      </c>
      <c r="I7014" s="2">
        <v>2.06E-2</v>
      </c>
      <c r="J7014" s="2">
        <v>6.3399999999999998E-2</v>
      </c>
      <c r="K7014">
        <v>33</v>
      </c>
    </row>
    <row r="7015" spans="1:11" x14ac:dyDescent="0.35">
      <c r="A7015" t="s">
        <v>227</v>
      </c>
      <c r="B7015" t="s">
        <v>336</v>
      </c>
      <c r="C7015" s="2">
        <v>0.41449999999999998</v>
      </c>
      <c r="D7015" s="2">
        <v>0.28489999999999999</v>
      </c>
      <c r="E7015" s="2">
        <v>0.1535</v>
      </c>
      <c r="F7015" s="2">
        <v>0.153</v>
      </c>
      <c r="G7015" s="2">
        <v>0.1104</v>
      </c>
      <c r="H7015" s="2">
        <v>0.1414</v>
      </c>
      <c r="I7015" s="2">
        <v>0.11169999999999999</v>
      </c>
      <c r="K7015">
        <v>52</v>
      </c>
    </row>
    <row r="7016" spans="1:11" x14ac:dyDescent="0.35">
      <c r="A7016" t="s">
        <v>227</v>
      </c>
      <c r="B7016" t="s">
        <v>337</v>
      </c>
      <c r="C7016" s="2">
        <v>0.55420000000000003</v>
      </c>
      <c r="D7016" s="2">
        <v>0.21240000000000001</v>
      </c>
      <c r="E7016" s="2">
        <v>2.93E-2</v>
      </c>
      <c r="F7016" s="2">
        <v>0.1996</v>
      </c>
      <c r="G7016" s="2">
        <v>6.88E-2</v>
      </c>
      <c r="H7016" s="2">
        <v>0.12559999999999999</v>
      </c>
      <c r="I7016" s="2">
        <v>3.7600000000000001E-2</v>
      </c>
      <c r="J7016" s="2">
        <v>2.93E-2</v>
      </c>
      <c r="K7016">
        <v>33</v>
      </c>
    </row>
    <row r="7017" spans="1:11" x14ac:dyDescent="0.35">
      <c r="A7017" t="s">
        <v>228</v>
      </c>
      <c r="B7017" t="s">
        <v>228</v>
      </c>
      <c r="C7017" s="2">
        <v>0.48330000000000001</v>
      </c>
      <c r="D7017" s="2">
        <v>0.23419999999999999</v>
      </c>
      <c r="E7017" s="2">
        <v>0.14030000000000001</v>
      </c>
      <c r="F7017" s="2">
        <v>0.1235</v>
      </c>
      <c r="G7017" s="2">
        <v>0.1167</v>
      </c>
      <c r="H7017" s="2">
        <v>0.1085</v>
      </c>
      <c r="I7017" s="2">
        <v>4.24E-2</v>
      </c>
      <c r="J7017" s="2">
        <v>3.1800000000000002E-2</v>
      </c>
      <c r="K7017">
        <v>189</v>
      </c>
    </row>
    <row r="7019" spans="1:11" x14ac:dyDescent="0.35">
      <c r="A7019" s="1" t="s">
        <v>1821</v>
      </c>
    </row>
    <row r="7020" spans="1:11" x14ac:dyDescent="0.35">
      <c r="A7020" t="s">
        <v>219</v>
      </c>
      <c r="B7020" t="s">
        <v>301</v>
      </c>
      <c r="C7020" t="s">
        <v>1810</v>
      </c>
      <c r="D7020" t="s">
        <v>1811</v>
      </c>
      <c r="E7020" t="s">
        <v>277</v>
      </c>
      <c r="F7020" t="s">
        <v>1812</v>
      </c>
      <c r="G7020" t="s">
        <v>1813</v>
      </c>
      <c r="H7020" t="s">
        <v>1814</v>
      </c>
      <c r="I7020" t="s">
        <v>1815</v>
      </c>
      <c r="J7020" t="s">
        <v>1816</v>
      </c>
      <c r="K7020" t="s">
        <v>226</v>
      </c>
    </row>
    <row r="7021" spans="1:11" x14ac:dyDescent="0.35">
      <c r="A7021" t="s">
        <v>227</v>
      </c>
      <c r="B7021" t="s">
        <v>263</v>
      </c>
      <c r="C7021" s="2">
        <v>0.39119999999999999</v>
      </c>
      <c r="D7021" s="2">
        <v>0.17219999999999999</v>
      </c>
      <c r="E7021" s="2">
        <v>0.35610000000000003</v>
      </c>
      <c r="F7021" s="2">
        <v>6.4999999999999997E-3</v>
      </c>
      <c r="G7021" s="2">
        <v>0.12509999999999999</v>
      </c>
      <c r="H7021" s="2">
        <v>3.4799999999999998E-2</v>
      </c>
      <c r="I7021" s="2">
        <v>3.2399999999999998E-2</v>
      </c>
      <c r="J7021" s="2">
        <v>2.2200000000000001E-2</v>
      </c>
      <c r="K7021">
        <v>42</v>
      </c>
    </row>
    <row r="7022" spans="1:11" x14ac:dyDescent="0.35">
      <c r="A7022" t="s">
        <v>227</v>
      </c>
      <c r="B7022" t="s">
        <v>262</v>
      </c>
      <c r="C7022" s="2">
        <v>0.57269999999999999</v>
      </c>
      <c r="D7022" s="2">
        <v>0.20730000000000001</v>
      </c>
      <c r="E7022" s="2">
        <v>4.1200000000000001E-2</v>
      </c>
      <c r="F7022" s="2">
        <v>0.1991</v>
      </c>
      <c r="G7022" s="2">
        <v>8.6199999999999999E-2</v>
      </c>
      <c r="H7022" s="2">
        <v>0.14360000000000001</v>
      </c>
      <c r="I7022" s="2">
        <v>5.7000000000000002E-2</v>
      </c>
      <c r="J7022" s="2">
        <v>2.0199999999999999E-2</v>
      </c>
      <c r="K7022">
        <v>108</v>
      </c>
    </row>
    <row r="7023" spans="1:11" x14ac:dyDescent="0.35">
      <c r="A7023" t="s">
        <v>227</v>
      </c>
      <c r="B7023" t="s">
        <v>261</v>
      </c>
      <c r="C7023" s="2">
        <v>0.46089999999999998</v>
      </c>
      <c r="D7023" s="2">
        <v>0.30180000000000001</v>
      </c>
      <c r="E7023" s="2">
        <v>8.7900000000000006E-2</v>
      </c>
      <c r="F7023" s="2">
        <v>0.13109999999999999</v>
      </c>
      <c r="G7023" s="2">
        <v>0.13980000000000001</v>
      </c>
      <c r="H7023" s="2">
        <v>0.12509999999999999</v>
      </c>
      <c r="I7023" s="2">
        <v>3.5299999999999998E-2</v>
      </c>
      <c r="J7023" s="2">
        <v>4.9399999999999999E-2</v>
      </c>
      <c r="K7023">
        <v>72</v>
      </c>
    </row>
    <row r="7024" spans="1:11" x14ac:dyDescent="0.35">
      <c r="A7024" t="s">
        <v>228</v>
      </c>
      <c r="B7024" t="s">
        <v>228</v>
      </c>
      <c r="C7024" s="2">
        <v>0.48330000000000001</v>
      </c>
      <c r="D7024" s="2">
        <v>0.23419999999999999</v>
      </c>
      <c r="E7024" s="2">
        <v>0.14030000000000001</v>
      </c>
      <c r="F7024" s="2">
        <v>0.1235</v>
      </c>
      <c r="G7024" s="2">
        <v>0.1167</v>
      </c>
      <c r="H7024" s="2">
        <v>0.1085</v>
      </c>
      <c r="I7024" s="2">
        <v>4.24E-2</v>
      </c>
      <c r="J7024" s="2">
        <v>3.1800000000000002E-2</v>
      </c>
      <c r="K7024">
        <v>222</v>
      </c>
    </row>
    <row r="7026" spans="1:11" x14ac:dyDescent="0.35">
      <c r="A7026" s="1" t="s">
        <v>1822</v>
      </c>
    </row>
    <row r="7027" spans="1:11" x14ac:dyDescent="0.35">
      <c r="A7027" t="s">
        <v>219</v>
      </c>
      <c r="B7027" t="s">
        <v>301</v>
      </c>
      <c r="C7027" t="s">
        <v>1810</v>
      </c>
      <c r="D7027" t="s">
        <v>1811</v>
      </c>
      <c r="E7027" t="s">
        <v>277</v>
      </c>
      <c r="F7027" t="s">
        <v>1812</v>
      </c>
      <c r="G7027" t="s">
        <v>1813</v>
      </c>
      <c r="H7027" t="s">
        <v>1814</v>
      </c>
      <c r="I7027" t="s">
        <v>1815</v>
      </c>
      <c r="J7027" t="s">
        <v>1816</v>
      </c>
      <c r="K7027" t="s">
        <v>226</v>
      </c>
    </row>
    <row r="7028" spans="1:11" x14ac:dyDescent="0.35">
      <c r="A7028" t="s">
        <v>227</v>
      </c>
      <c r="B7028" t="s">
        <v>248</v>
      </c>
      <c r="C7028" s="2">
        <v>0.35449999999999998</v>
      </c>
      <c r="D7028" s="2">
        <v>0.1835</v>
      </c>
      <c r="E7028" s="2">
        <v>0.27039999999999997</v>
      </c>
      <c r="F7028" s="2">
        <v>8.5599999999999996E-2</v>
      </c>
      <c r="G7028" s="2">
        <v>9.1800000000000007E-2</v>
      </c>
      <c r="H7028" s="2">
        <v>9.9500000000000005E-2</v>
      </c>
      <c r="I7028" s="2">
        <v>8.43E-2</v>
      </c>
      <c r="J7028" s="2">
        <v>8.0999999999999996E-3</v>
      </c>
      <c r="K7028">
        <v>75</v>
      </c>
    </row>
    <row r="7029" spans="1:11" x14ac:dyDescent="0.35">
      <c r="A7029" t="s">
        <v>227</v>
      </c>
      <c r="B7029" t="s">
        <v>249</v>
      </c>
      <c r="C7029" s="2">
        <v>0.72560000000000002</v>
      </c>
      <c r="D7029" s="2">
        <v>0.33579999999999999</v>
      </c>
      <c r="E7029" s="2">
        <v>1.9699999999999999E-2</v>
      </c>
      <c r="F7029" s="2">
        <v>0.28270000000000001</v>
      </c>
      <c r="G7029" s="2">
        <v>0.1007</v>
      </c>
      <c r="H7029" s="2">
        <v>3.09E-2</v>
      </c>
      <c r="I7029" s="2">
        <v>2.2200000000000001E-2</v>
      </c>
      <c r="J7029" s="2">
        <v>5.45E-2</v>
      </c>
      <c r="K7029">
        <v>61</v>
      </c>
    </row>
    <row r="7030" spans="1:11" x14ac:dyDescent="0.35">
      <c r="A7030" t="s">
        <v>227</v>
      </c>
      <c r="B7030" t="s">
        <v>247</v>
      </c>
      <c r="C7030" s="2">
        <v>0.47299999999999998</v>
      </c>
      <c r="D7030" s="2">
        <v>0.22770000000000001</v>
      </c>
      <c r="E7030" s="2">
        <v>0.1016</v>
      </c>
      <c r="F7030" s="2">
        <v>8.5699999999999998E-2</v>
      </c>
      <c r="G7030" s="2">
        <v>0.13950000000000001</v>
      </c>
      <c r="H7030" s="2">
        <v>0.14510000000000001</v>
      </c>
      <c r="I7030" s="2">
        <v>2.2499999999999999E-2</v>
      </c>
      <c r="J7030" s="2">
        <v>3.8600000000000002E-2</v>
      </c>
      <c r="K7030">
        <v>86</v>
      </c>
    </row>
    <row r="7031" spans="1:11" x14ac:dyDescent="0.35">
      <c r="A7031" t="s">
        <v>228</v>
      </c>
      <c r="B7031" t="s">
        <v>228</v>
      </c>
      <c r="C7031" s="2">
        <v>0.48330000000000001</v>
      </c>
      <c r="D7031" s="2">
        <v>0.23419999999999999</v>
      </c>
      <c r="E7031" s="2">
        <v>0.14030000000000001</v>
      </c>
      <c r="F7031" s="2">
        <v>0.1235</v>
      </c>
      <c r="G7031" s="2">
        <v>0.1167</v>
      </c>
      <c r="H7031" s="2">
        <v>0.1085</v>
      </c>
      <c r="I7031" s="2">
        <v>4.24E-2</v>
      </c>
      <c r="J7031" s="2">
        <v>3.1800000000000002E-2</v>
      </c>
      <c r="K7031">
        <v>222</v>
      </c>
    </row>
    <row r="7033" spans="1:11" x14ac:dyDescent="0.35">
      <c r="A7033" s="1" t="s">
        <v>1823</v>
      </c>
    </row>
    <row r="7034" spans="1:11" x14ac:dyDescent="0.35">
      <c r="A7034" t="s">
        <v>219</v>
      </c>
      <c r="B7034" t="s">
        <v>301</v>
      </c>
      <c r="C7034" t="s">
        <v>1810</v>
      </c>
      <c r="D7034" t="s">
        <v>1811</v>
      </c>
      <c r="E7034" t="s">
        <v>277</v>
      </c>
      <c r="F7034" t="s">
        <v>1812</v>
      </c>
      <c r="G7034" t="s">
        <v>1813</v>
      </c>
      <c r="H7034" t="s">
        <v>1814</v>
      </c>
      <c r="I7034" t="s">
        <v>1815</v>
      </c>
      <c r="J7034" t="s">
        <v>1816</v>
      </c>
      <c r="K7034" t="s">
        <v>226</v>
      </c>
    </row>
    <row r="7035" spans="1:11" x14ac:dyDescent="0.35">
      <c r="A7035" t="s">
        <v>227</v>
      </c>
      <c r="B7035" t="s">
        <v>245</v>
      </c>
      <c r="C7035" s="2">
        <v>0.48659999999999998</v>
      </c>
      <c r="D7035" s="2">
        <v>0.18110000000000001</v>
      </c>
      <c r="E7035" s="2">
        <v>0.15939999999999999</v>
      </c>
      <c r="F7035" s="2">
        <v>8.3299999999999999E-2</v>
      </c>
      <c r="G7035" s="2">
        <v>0.15160000000000001</v>
      </c>
      <c r="H7035" s="2">
        <v>0.2492</v>
      </c>
      <c r="J7035" s="2">
        <v>1.29E-2</v>
      </c>
      <c r="K7035">
        <v>41</v>
      </c>
    </row>
    <row r="7036" spans="1:11" x14ac:dyDescent="0.35">
      <c r="A7036" t="s">
        <v>227</v>
      </c>
      <c r="B7036" t="s">
        <v>244</v>
      </c>
      <c r="C7036" s="2">
        <v>0.48230000000000001</v>
      </c>
      <c r="D7036" s="2">
        <v>0.25040000000000001</v>
      </c>
      <c r="E7036" s="2">
        <v>0.13439999999999999</v>
      </c>
      <c r="F7036" s="2">
        <v>0.13569999999999999</v>
      </c>
      <c r="G7036" s="2">
        <v>0.106</v>
      </c>
      <c r="H7036" s="2">
        <v>6.5600000000000006E-2</v>
      </c>
      <c r="I7036" s="2">
        <v>5.5300000000000002E-2</v>
      </c>
      <c r="J7036" s="2">
        <v>3.7600000000000001E-2</v>
      </c>
      <c r="K7036">
        <v>181</v>
      </c>
    </row>
    <row r="7037" spans="1:11" x14ac:dyDescent="0.35">
      <c r="A7037" t="s">
        <v>228</v>
      </c>
      <c r="B7037" t="s">
        <v>228</v>
      </c>
      <c r="C7037" s="2">
        <v>0.48330000000000001</v>
      </c>
      <c r="D7037" s="2">
        <v>0.23419999999999999</v>
      </c>
      <c r="E7037" s="2">
        <v>0.14030000000000001</v>
      </c>
      <c r="F7037" s="2">
        <v>0.1235</v>
      </c>
      <c r="G7037" s="2">
        <v>0.1167</v>
      </c>
      <c r="H7037" s="2">
        <v>0.1085</v>
      </c>
      <c r="I7037" s="2">
        <v>4.24E-2</v>
      </c>
      <c r="J7037" s="2">
        <v>3.1800000000000002E-2</v>
      </c>
      <c r="K7037">
        <v>222</v>
      </c>
    </row>
    <row r="7039" spans="1:11" x14ac:dyDescent="0.35">
      <c r="A7039" s="1" t="s">
        <v>1824</v>
      </c>
    </row>
    <row r="7040" spans="1:11" x14ac:dyDescent="0.35">
      <c r="A7040" t="s">
        <v>219</v>
      </c>
      <c r="B7040" t="s">
        <v>301</v>
      </c>
      <c r="C7040" t="s">
        <v>1810</v>
      </c>
      <c r="D7040" t="s">
        <v>1811</v>
      </c>
      <c r="E7040" t="s">
        <v>277</v>
      </c>
      <c r="F7040" t="s">
        <v>1812</v>
      </c>
      <c r="G7040" t="s">
        <v>1813</v>
      </c>
      <c r="H7040" t="s">
        <v>1814</v>
      </c>
      <c r="I7040" t="s">
        <v>1815</v>
      </c>
      <c r="J7040" t="s">
        <v>1816</v>
      </c>
      <c r="K7040" t="s">
        <v>226</v>
      </c>
    </row>
    <row r="7041" spans="1:11" x14ac:dyDescent="0.35">
      <c r="A7041" s="3" t="s">
        <v>227</v>
      </c>
      <c r="B7041" s="3" t="s">
        <v>259</v>
      </c>
      <c r="C7041" s="4">
        <v>0.1711</v>
      </c>
      <c r="D7041" s="4">
        <v>0.60389999999999999</v>
      </c>
      <c r="E7041" s="5"/>
      <c r="F7041" s="5"/>
      <c r="G7041" s="4">
        <v>9.8599999999999993E-2</v>
      </c>
      <c r="H7041" s="4">
        <v>0.22500000000000001</v>
      </c>
      <c r="I7041" s="5"/>
      <c r="J7041" s="5"/>
      <c r="K7041" s="5" t="s">
        <v>423</v>
      </c>
    </row>
    <row r="7042" spans="1:11" x14ac:dyDescent="0.35">
      <c r="A7042" s="3" t="s">
        <v>227</v>
      </c>
      <c r="B7042" s="3" t="s">
        <v>257</v>
      </c>
      <c r="C7042" s="4">
        <v>0.34910000000000002</v>
      </c>
      <c r="D7042" s="4">
        <v>8.1299999999999997E-2</v>
      </c>
      <c r="E7042" s="4">
        <v>0.32879999999999998</v>
      </c>
      <c r="F7042" s="4">
        <v>4.7399999999999998E-2</v>
      </c>
      <c r="G7042" s="4">
        <v>1.9099999999999999E-2</v>
      </c>
      <c r="H7042" s="4">
        <v>0.27829999999999999</v>
      </c>
      <c r="I7042" s="4">
        <v>2.3400000000000001E-2</v>
      </c>
      <c r="J7042" s="5"/>
      <c r="K7042" s="5" t="s">
        <v>851</v>
      </c>
    </row>
    <row r="7043" spans="1:11" x14ac:dyDescent="0.35">
      <c r="A7043" t="s">
        <v>227</v>
      </c>
      <c r="B7043" t="s">
        <v>256</v>
      </c>
      <c r="C7043" s="2">
        <v>0.55210000000000004</v>
      </c>
      <c r="D7043" s="2">
        <v>0.26340000000000002</v>
      </c>
      <c r="E7043" s="2">
        <v>9.4299999999999995E-2</v>
      </c>
      <c r="F7043" s="2">
        <v>0.13489999999999999</v>
      </c>
      <c r="G7043" s="2">
        <v>0.1668</v>
      </c>
      <c r="H7043" s="2">
        <v>7.7999999999999996E-3</v>
      </c>
      <c r="I7043" s="2">
        <v>4.65E-2</v>
      </c>
      <c r="J7043" s="2">
        <v>5.0200000000000002E-2</v>
      </c>
      <c r="K7043">
        <v>114</v>
      </c>
    </row>
    <row r="7044" spans="1:11" x14ac:dyDescent="0.35">
      <c r="A7044" s="3" t="s">
        <v>227</v>
      </c>
      <c r="B7044" s="3" t="s">
        <v>232</v>
      </c>
      <c r="C7044" s="5"/>
      <c r="D7044" s="4">
        <v>0.64929999999999999</v>
      </c>
      <c r="E7044" s="4">
        <v>0.35070000000000001</v>
      </c>
      <c r="F7044" s="5"/>
      <c r="G7044" s="5"/>
      <c r="H7044" s="4">
        <v>0.64929999999999999</v>
      </c>
      <c r="I7044" s="5"/>
      <c r="J7044" s="5"/>
      <c r="K7044" s="5" t="s">
        <v>434</v>
      </c>
    </row>
    <row r="7045" spans="1:11" x14ac:dyDescent="0.35">
      <c r="A7045" t="s">
        <v>227</v>
      </c>
      <c r="B7045" t="s">
        <v>258</v>
      </c>
      <c r="C7045" s="2">
        <v>0.58750000000000002</v>
      </c>
      <c r="D7045" s="2">
        <v>0.28910000000000002</v>
      </c>
      <c r="E7045" s="2">
        <v>1.29E-2</v>
      </c>
      <c r="F7045" s="2">
        <v>0.21779999999999999</v>
      </c>
      <c r="G7045" s="2">
        <v>0.15</v>
      </c>
      <c r="H7045" s="2">
        <v>4.8399999999999999E-2</v>
      </c>
      <c r="I7045" s="2">
        <v>6.59E-2</v>
      </c>
      <c r="J7045" s="2">
        <v>4.3099999999999999E-2</v>
      </c>
      <c r="K7045">
        <v>63</v>
      </c>
    </row>
    <row r="7046" spans="1:11" x14ac:dyDescent="0.35">
      <c r="A7046" t="s">
        <v>228</v>
      </c>
      <c r="B7046" t="s">
        <v>228</v>
      </c>
      <c r="C7046" s="2">
        <v>0.48330000000000001</v>
      </c>
      <c r="D7046" s="2">
        <v>0.23419999999999999</v>
      </c>
      <c r="E7046" s="2">
        <v>0.14030000000000001</v>
      </c>
      <c r="F7046" s="2">
        <v>0.1235</v>
      </c>
      <c r="G7046" s="2">
        <v>0.1167</v>
      </c>
      <c r="H7046" s="2">
        <v>0.1085</v>
      </c>
      <c r="I7046" s="2">
        <v>4.24E-2</v>
      </c>
      <c r="J7046" s="2">
        <v>3.1800000000000002E-2</v>
      </c>
      <c r="K7046">
        <v>222</v>
      </c>
    </row>
    <row r="7048" spans="1:11" x14ac:dyDescent="0.35">
      <c r="A7048" s="1" t="s">
        <v>1825</v>
      </c>
    </row>
    <row r="7049" spans="1:11" x14ac:dyDescent="0.35">
      <c r="A7049" t="s">
        <v>219</v>
      </c>
      <c r="B7049" t="s">
        <v>301</v>
      </c>
      <c r="C7049" t="s">
        <v>1810</v>
      </c>
      <c r="D7049" t="s">
        <v>1811</v>
      </c>
      <c r="E7049" t="s">
        <v>277</v>
      </c>
      <c r="F7049" t="s">
        <v>1812</v>
      </c>
      <c r="G7049" t="s">
        <v>1813</v>
      </c>
      <c r="H7049" t="s">
        <v>1814</v>
      </c>
      <c r="I7049" t="s">
        <v>1815</v>
      </c>
      <c r="J7049" t="s">
        <v>1816</v>
      </c>
      <c r="K7049" t="s">
        <v>226</v>
      </c>
    </row>
    <row r="7050" spans="1:11" x14ac:dyDescent="0.35">
      <c r="A7050" s="3" t="s">
        <v>227</v>
      </c>
      <c r="B7050" s="3" t="s">
        <v>343</v>
      </c>
      <c r="C7050" s="4">
        <v>0.34910000000000002</v>
      </c>
      <c r="D7050" s="4">
        <v>8.1299999999999997E-2</v>
      </c>
      <c r="E7050" s="4">
        <v>0.32879999999999998</v>
      </c>
      <c r="F7050" s="4">
        <v>4.7399999999999998E-2</v>
      </c>
      <c r="G7050" s="4">
        <v>1.9099999999999999E-2</v>
      </c>
      <c r="H7050" s="4">
        <v>0.27829999999999999</v>
      </c>
      <c r="I7050" s="4">
        <v>2.3400000000000001E-2</v>
      </c>
      <c r="J7050" s="5"/>
      <c r="K7050" s="5" t="s">
        <v>851</v>
      </c>
    </row>
    <row r="7051" spans="1:11" x14ac:dyDescent="0.35">
      <c r="A7051" t="s">
        <v>227</v>
      </c>
      <c r="B7051" t="s">
        <v>344</v>
      </c>
      <c r="C7051" s="2">
        <v>0.53669999999999995</v>
      </c>
      <c r="D7051" s="2">
        <v>0.29499999999999998</v>
      </c>
      <c r="E7051" s="2">
        <v>6.5199999999999994E-2</v>
      </c>
      <c r="F7051" s="2">
        <v>0.1537</v>
      </c>
      <c r="G7051" s="2">
        <v>0.1555</v>
      </c>
      <c r="H7051" s="2">
        <v>4.0899999999999999E-2</v>
      </c>
      <c r="I7051" s="2">
        <v>4.99E-2</v>
      </c>
      <c r="J7051" s="2">
        <v>4.4499999999999998E-2</v>
      </c>
      <c r="K7051">
        <v>193</v>
      </c>
    </row>
    <row r="7052" spans="1:11" x14ac:dyDescent="0.35">
      <c r="A7052" t="s">
        <v>228</v>
      </c>
      <c r="B7052" t="s">
        <v>228</v>
      </c>
      <c r="C7052" s="2">
        <v>0.48330000000000001</v>
      </c>
      <c r="D7052" s="2">
        <v>0.23419999999999999</v>
      </c>
      <c r="E7052" s="2">
        <v>0.14030000000000001</v>
      </c>
      <c r="F7052" s="2">
        <v>0.1235</v>
      </c>
      <c r="G7052" s="2">
        <v>0.1167</v>
      </c>
      <c r="H7052" s="2">
        <v>0.1085</v>
      </c>
      <c r="I7052" s="2">
        <v>4.24E-2</v>
      </c>
      <c r="J7052" s="2">
        <v>3.1800000000000002E-2</v>
      </c>
      <c r="K7052">
        <v>222</v>
      </c>
    </row>
    <row r="7054" spans="1:11" x14ac:dyDescent="0.35">
      <c r="A7054" s="1" t="s">
        <v>1826</v>
      </c>
    </row>
    <row r="7055" spans="1:11" x14ac:dyDescent="0.35">
      <c r="A7055" t="s">
        <v>219</v>
      </c>
      <c r="B7055" t="s">
        <v>301</v>
      </c>
      <c r="C7055" t="s">
        <v>1810</v>
      </c>
      <c r="D7055" t="s">
        <v>1811</v>
      </c>
      <c r="E7055" t="s">
        <v>277</v>
      </c>
      <c r="F7055" t="s">
        <v>1812</v>
      </c>
      <c r="G7055" t="s">
        <v>1813</v>
      </c>
      <c r="H7055" t="s">
        <v>1814</v>
      </c>
      <c r="I7055" t="s">
        <v>1815</v>
      </c>
      <c r="J7055" t="s">
        <v>1816</v>
      </c>
      <c r="K7055" t="s">
        <v>226</v>
      </c>
    </row>
    <row r="7056" spans="1:11" x14ac:dyDescent="0.35">
      <c r="A7056" t="s">
        <v>227</v>
      </c>
      <c r="B7056" t="s">
        <v>346</v>
      </c>
      <c r="C7056" s="2">
        <v>0.48359999999999997</v>
      </c>
      <c r="D7056" s="2">
        <v>9.4600000000000004E-2</v>
      </c>
      <c r="E7056" s="2">
        <v>0.245</v>
      </c>
      <c r="F7056" s="2">
        <v>0.10970000000000001</v>
      </c>
      <c r="G7056" s="2">
        <v>7.2400000000000006E-2</v>
      </c>
      <c r="H7056" s="2">
        <v>0.1288</v>
      </c>
      <c r="I7056" s="2">
        <v>3.1300000000000001E-2</v>
      </c>
      <c r="J7056" s="2">
        <v>3.5000000000000001E-3</v>
      </c>
      <c r="K7056">
        <v>34</v>
      </c>
    </row>
    <row r="7057" spans="1:11" x14ac:dyDescent="0.35">
      <c r="A7057" t="s">
        <v>227</v>
      </c>
      <c r="B7057" t="s">
        <v>347</v>
      </c>
      <c r="C7057" s="2">
        <v>0.49330000000000002</v>
      </c>
      <c r="D7057" s="2">
        <v>0.38</v>
      </c>
      <c r="E7057" s="2">
        <v>4.6100000000000002E-2</v>
      </c>
      <c r="F7057" s="2">
        <v>7.3099999999999998E-2</v>
      </c>
      <c r="G7057" s="2">
        <v>0.11840000000000001</v>
      </c>
      <c r="H7057" s="2">
        <v>7.3400000000000007E-2</v>
      </c>
      <c r="I7057" s="2">
        <v>8.8700000000000001E-2</v>
      </c>
      <c r="J7057" s="2">
        <v>6.3500000000000001E-2</v>
      </c>
      <c r="K7057">
        <v>106</v>
      </c>
    </row>
    <row r="7058" spans="1:11" x14ac:dyDescent="0.35">
      <c r="A7058" t="s">
        <v>227</v>
      </c>
      <c r="B7058" t="s">
        <v>348</v>
      </c>
      <c r="C7058" s="2">
        <v>0.47549999999999998</v>
      </c>
      <c r="D7058" s="2">
        <v>0.3553</v>
      </c>
      <c r="E7058" s="2">
        <v>3.7900000000000003E-2</v>
      </c>
      <c r="F7058" s="2">
        <v>0.1837</v>
      </c>
      <c r="G7058" s="2">
        <v>0.18809999999999999</v>
      </c>
      <c r="H7058" s="2">
        <v>0.1013</v>
      </c>
      <c r="I7058" s="2">
        <v>2.6200000000000001E-2</v>
      </c>
      <c r="J7058" s="2">
        <v>5.4800000000000001E-2</v>
      </c>
      <c r="K7058">
        <v>82</v>
      </c>
    </row>
    <row r="7059" spans="1:11" x14ac:dyDescent="0.35">
      <c r="A7059" t="s">
        <v>228</v>
      </c>
      <c r="B7059" t="s">
        <v>228</v>
      </c>
      <c r="C7059" s="2">
        <v>0.48330000000000001</v>
      </c>
      <c r="D7059" s="2">
        <v>0.23419999999999999</v>
      </c>
      <c r="E7059" s="2">
        <v>0.14030000000000001</v>
      </c>
      <c r="F7059" s="2">
        <v>0.1235</v>
      </c>
      <c r="G7059" s="2">
        <v>0.1167</v>
      </c>
      <c r="H7059" s="2">
        <v>0.1085</v>
      </c>
      <c r="I7059" s="2">
        <v>4.24E-2</v>
      </c>
      <c r="J7059" s="2">
        <v>3.1800000000000002E-2</v>
      </c>
      <c r="K7059">
        <v>222</v>
      </c>
    </row>
    <row r="7061" spans="1:11" x14ac:dyDescent="0.35">
      <c r="A7061" s="1" t="s">
        <v>1827</v>
      </c>
    </row>
    <row r="7062" spans="1:11" x14ac:dyDescent="0.35">
      <c r="A7062" t="s">
        <v>219</v>
      </c>
      <c r="B7062" t="s">
        <v>301</v>
      </c>
      <c r="C7062" t="s">
        <v>1810</v>
      </c>
      <c r="D7062" t="s">
        <v>1811</v>
      </c>
      <c r="E7062" t="s">
        <v>277</v>
      </c>
      <c r="F7062" t="s">
        <v>1812</v>
      </c>
      <c r="G7062" t="s">
        <v>1813</v>
      </c>
      <c r="H7062" t="s">
        <v>1814</v>
      </c>
      <c r="I7062" t="s">
        <v>1815</v>
      </c>
      <c r="J7062" t="s">
        <v>1816</v>
      </c>
      <c r="K7062" t="s">
        <v>226</v>
      </c>
    </row>
    <row r="7063" spans="1:11" x14ac:dyDescent="0.35">
      <c r="A7063" t="s">
        <v>227</v>
      </c>
      <c r="B7063" t="s">
        <v>251</v>
      </c>
      <c r="C7063" s="2">
        <v>0.48230000000000001</v>
      </c>
      <c r="D7063" s="2">
        <v>0.25040000000000001</v>
      </c>
      <c r="E7063" s="2">
        <v>0.13439999999999999</v>
      </c>
      <c r="F7063" s="2">
        <v>0.13569999999999999</v>
      </c>
      <c r="G7063" s="2">
        <v>0.106</v>
      </c>
      <c r="H7063" s="2">
        <v>6.5600000000000006E-2</v>
      </c>
      <c r="I7063" s="2">
        <v>5.5300000000000002E-2</v>
      </c>
      <c r="J7063" s="2">
        <v>3.7600000000000001E-2</v>
      </c>
      <c r="K7063">
        <v>181</v>
      </c>
    </row>
    <row r="7064" spans="1:11" x14ac:dyDescent="0.35">
      <c r="A7064" t="s">
        <v>227</v>
      </c>
      <c r="B7064" t="s">
        <v>252</v>
      </c>
      <c r="C7064" s="2">
        <v>0.44790000000000002</v>
      </c>
      <c r="D7064" s="2">
        <v>0.19309999999999999</v>
      </c>
      <c r="E7064" s="2">
        <v>0.20180000000000001</v>
      </c>
      <c r="F7064" s="2">
        <v>0.1055</v>
      </c>
      <c r="G7064" s="2">
        <v>0.19189999999999999</v>
      </c>
      <c r="H7064" s="2">
        <v>0.21759999999999999</v>
      </c>
      <c r="J7064" s="2">
        <v>1.6400000000000001E-2</v>
      </c>
      <c r="K7064">
        <v>33</v>
      </c>
    </row>
    <row r="7065" spans="1:11" x14ac:dyDescent="0.35">
      <c r="A7065" s="3" t="s">
        <v>227</v>
      </c>
      <c r="B7065" s="3" t="s">
        <v>253</v>
      </c>
      <c r="C7065" s="4">
        <v>0.59309999999999996</v>
      </c>
      <c r="D7065" s="4">
        <v>0.1502</v>
      </c>
      <c r="E7065" s="5"/>
      <c r="F7065" s="5"/>
      <c r="G7065" s="5"/>
      <c r="H7065" s="4">
        <v>0.40689999999999998</v>
      </c>
      <c r="I7065" s="5"/>
      <c r="J7065" s="5"/>
      <c r="K7065" s="5" t="s">
        <v>437</v>
      </c>
    </row>
    <row r="7066" spans="1:11" x14ac:dyDescent="0.35">
      <c r="A7066" s="3" t="s">
        <v>227</v>
      </c>
      <c r="B7066" s="3" t="s">
        <v>254</v>
      </c>
      <c r="C7066" s="4">
        <v>1</v>
      </c>
      <c r="D7066" s="5"/>
      <c r="E7066" s="5"/>
      <c r="F7066" s="5"/>
      <c r="G7066" s="5"/>
      <c r="H7066" s="5"/>
      <c r="I7066" s="5"/>
      <c r="J7066" s="5"/>
      <c r="K7066" s="5" t="s">
        <v>434</v>
      </c>
    </row>
    <row r="7067" spans="1:11" x14ac:dyDescent="0.35">
      <c r="A7067" t="s">
        <v>228</v>
      </c>
      <c r="B7067" t="s">
        <v>228</v>
      </c>
      <c r="C7067" s="2">
        <v>0.48330000000000001</v>
      </c>
      <c r="D7067" s="2">
        <v>0.23419999999999999</v>
      </c>
      <c r="E7067" s="2">
        <v>0.14030000000000001</v>
      </c>
      <c r="F7067" s="2">
        <v>0.1235</v>
      </c>
      <c r="G7067" s="2">
        <v>0.1167</v>
      </c>
      <c r="H7067" s="2">
        <v>0.1085</v>
      </c>
      <c r="I7067" s="2">
        <v>4.24E-2</v>
      </c>
      <c r="J7067" s="2">
        <v>3.1800000000000002E-2</v>
      </c>
      <c r="K7067">
        <v>222</v>
      </c>
    </row>
    <row r="7069" spans="1:11" x14ac:dyDescent="0.35">
      <c r="A7069" s="1" t="s">
        <v>1828</v>
      </c>
    </row>
    <row r="7070" spans="1:11" x14ac:dyDescent="0.35">
      <c r="A7070" t="s">
        <v>219</v>
      </c>
      <c r="B7070" t="s">
        <v>1829</v>
      </c>
      <c r="C7070" t="s">
        <v>1830</v>
      </c>
      <c r="D7070" t="s">
        <v>1831</v>
      </c>
      <c r="E7070" t="s">
        <v>1832</v>
      </c>
      <c r="F7070" t="s">
        <v>1833</v>
      </c>
      <c r="G7070" t="s">
        <v>277</v>
      </c>
      <c r="H7070" t="s">
        <v>226</v>
      </c>
    </row>
    <row r="7071" spans="1:11" x14ac:dyDescent="0.35">
      <c r="A7071" t="s">
        <v>227</v>
      </c>
      <c r="B7071" s="2">
        <v>0.53680000000000005</v>
      </c>
      <c r="C7071" s="2">
        <v>0.28000000000000003</v>
      </c>
      <c r="D7071" s="2">
        <v>8.7300000000000003E-2</v>
      </c>
      <c r="E7071" s="2">
        <v>5.6800000000000003E-2</v>
      </c>
      <c r="F7071" s="2">
        <v>2.1499999999999998E-2</v>
      </c>
      <c r="G7071" s="2">
        <v>1.77E-2</v>
      </c>
      <c r="H7071">
        <v>609</v>
      </c>
    </row>
    <row r="7072" spans="1:11" x14ac:dyDescent="0.35">
      <c r="A7072" t="s">
        <v>228</v>
      </c>
      <c r="B7072" s="2">
        <v>0.53680000000000005</v>
      </c>
      <c r="C7072" s="2">
        <v>0.28000000000000003</v>
      </c>
      <c r="D7072" s="2">
        <v>8.7300000000000003E-2</v>
      </c>
      <c r="E7072" s="2">
        <v>5.6800000000000003E-2</v>
      </c>
      <c r="F7072" s="2">
        <v>2.1499999999999998E-2</v>
      </c>
      <c r="G7072" s="2">
        <v>1.77E-2</v>
      </c>
      <c r="H7072">
        <v>609</v>
      </c>
    </row>
    <row r="7074" spans="1:9" x14ac:dyDescent="0.35">
      <c r="A7074" s="1" t="s">
        <v>1834</v>
      </c>
    </row>
    <row r="7075" spans="1:9" x14ac:dyDescent="0.35">
      <c r="A7075" t="s">
        <v>219</v>
      </c>
      <c r="B7075" t="s">
        <v>301</v>
      </c>
      <c r="C7075" t="s">
        <v>1829</v>
      </c>
      <c r="D7075" t="s">
        <v>1830</v>
      </c>
      <c r="E7075" t="s">
        <v>1831</v>
      </c>
      <c r="F7075" t="s">
        <v>1832</v>
      </c>
      <c r="G7075" t="s">
        <v>1833</v>
      </c>
      <c r="H7075" t="s">
        <v>277</v>
      </c>
      <c r="I7075" t="s">
        <v>226</v>
      </c>
    </row>
    <row r="7076" spans="1:9" x14ac:dyDescent="0.35">
      <c r="A7076" t="s">
        <v>227</v>
      </c>
      <c r="B7076" t="s">
        <v>238</v>
      </c>
      <c r="C7076" s="2">
        <v>0.55420000000000003</v>
      </c>
      <c r="D7076" s="2">
        <v>0.27450000000000002</v>
      </c>
      <c r="E7076" s="2">
        <v>8.1199999999999994E-2</v>
      </c>
      <c r="F7076" s="2">
        <v>6.5799999999999997E-2</v>
      </c>
      <c r="H7076" s="2">
        <v>2.4400000000000002E-2</v>
      </c>
      <c r="I7076">
        <v>250</v>
      </c>
    </row>
    <row r="7077" spans="1:9" x14ac:dyDescent="0.35">
      <c r="A7077" t="s">
        <v>227</v>
      </c>
      <c r="B7077" t="s">
        <v>237</v>
      </c>
      <c r="C7077" s="2">
        <v>0.52690000000000003</v>
      </c>
      <c r="D7077" s="2">
        <v>0.28310000000000002</v>
      </c>
      <c r="E7077" s="2">
        <v>9.0800000000000006E-2</v>
      </c>
      <c r="F7077" s="2">
        <v>5.1700000000000003E-2</v>
      </c>
      <c r="G7077" s="2">
        <v>3.3700000000000001E-2</v>
      </c>
      <c r="H7077" s="2">
        <v>1.38E-2</v>
      </c>
      <c r="I7077">
        <v>359</v>
      </c>
    </row>
    <row r="7078" spans="1:9" x14ac:dyDescent="0.35">
      <c r="A7078" t="s">
        <v>228</v>
      </c>
      <c r="B7078" t="s">
        <v>228</v>
      </c>
      <c r="C7078" s="2">
        <v>0.53680000000000005</v>
      </c>
      <c r="D7078" s="2">
        <v>0.28000000000000003</v>
      </c>
      <c r="E7078" s="2">
        <v>8.7300000000000003E-2</v>
      </c>
      <c r="F7078" s="2">
        <v>5.6800000000000003E-2</v>
      </c>
      <c r="G7078" s="2">
        <v>2.1499999999999998E-2</v>
      </c>
      <c r="H7078" s="2">
        <v>1.77E-2</v>
      </c>
      <c r="I7078">
        <v>609</v>
      </c>
    </row>
    <row r="7080" spans="1:9" x14ac:dyDescent="0.35">
      <c r="A7080" s="1" t="s">
        <v>1835</v>
      </c>
    </row>
    <row r="7081" spans="1:9" x14ac:dyDescent="0.35">
      <c r="A7081" t="s">
        <v>219</v>
      </c>
      <c r="B7081" t="s">
        <v>301</v>
      </c>
      <c r="C7081" t="s">
        <v>1829</v>
      </c>
      <c r="D7081" t="s">
        <v>1830</v>
      </c>
      <c r="E7081" t="s">
        <v>1831</v>
      </c>
      <c r="F7081" t="s">
        <v>1832</v>
      </c>
      <c r="G7081" t="s">
        <v>1833</v>
      </c>
      <c r="H7081" t="s">
        <v>277</v>
      </c>
      <c r="I7081" t="s">
        <v>226</v>
      </c>
    </row>
    <row r="7082" spans="1:9" x14ac:dyDescent="0.35">
      <c r="A7082" t="s">
        <v>227</v>
      </c>
      <c r="B7082" t="s">
        <v>235</v>
      </c>
      <c r="C7082" s="2">
        <v>0.42499999999999999</v>
      </c>
      <c r="D7082" s="2">
        <v>0.29959999999999998</v>
      </c>
      <c r="E7082" s="2">
        <v>0.13139999999999999</v>
      </c>
      <c r="F7082" s="2">
        <v>7.6600000000000001E-2</v>
      </c>
      <c r="G7082" s="2">
        <v>6.7299999999999999E-2</v>
      </c>
      <c r="I7082">
        <v>205</v>
      </c>
    </row>
    <row r="7083" spans="1:9" x14ac:dyDescent="0.35">
      <c r="A7083" t="s">
        <v>227</v>
      </c>
      <c r="B7083" t="s">
        <v>234</v>
      </c>
      <c r="C7083" s="2">
        <v>0.57540000000000002</v>
      </c>
      <c r="D7083" s="2">
        <v>0.2732</v>
      </c>
      <c r="E7083" s="2">
        <v>7.1999999999999995E-2</v>
      </c>
      <c r="F7083" s="2">
        <v>0.05</v>
      </c>
      <c r="G7083" s="2">
        <v>5.5999999999999999E-3</v>
      </c>
      <c r="H7083" s="2">
        <v>2.3800000000000002E-2</v>
      </c>
      <c r="I7083">
        <v>404</v>
      </c>
    </row>
    <row r="7084" spans="1:9" x14ac:dyDescent="0.35">
      <c r="A7084" t="s">
        <v>228</v>
      </c>
      <c r="B7084" t="s">
        <v>228</v>
      </c>
      <c r="C7084" s="2">
        <v>0.53680000000000005</v>
      </c>
      <c r="D7084" s="2">
        <v>0.28000000000000003</v>
      </c>
      <c r="E7084" s="2">
        <v>8.7300000000000003E-2</v>
      </c>
      <c r="F7084" s="2">
        <v>5.6800000000000003E-2</v>
      </c>
      <c r="G7084" s="2">
        <v>2.1499999999999998E-2</v>
      </c>
      <c r="H7084" s="2">
        <v>1.77E-2</v>
      </c>
      <c r="I7084">
        <v>609</v>
      </c>
    </row>
    <row r="7086" spans="1:9" x14ac:dyDescent="0.35">
      <c r="A7086" s="1" t="s">
        <v>1836</v>
      </c>
    </row>
    <row r="7087" spans="1:9" x14ac:dyDescent="0.35">
      <c r="A7087" t="s">
        <v>219</v>
      </c>
      <c r="B7087" t="s">
        <v>301</v>
      </c>
      <c r="C7087" t="s">
        <v>1829</v>
      </c>
      <c r="D7087" t="s">
        <v>1830</v>
      </c>
      <c r="E7087" t="s">
        <v>1831</v>
      </c>
      <c r="F7087" t="s">
        <v>1832</v>
      </c>
      <c r="G7087" t="s">
        <v>1833</v>
      </c>
      <c r="H7087" t="s">
        <v>277</v>
      </c>
      <c r="I7087" t="s">
        <v>226</v>
      </c>
    </row>
    <row r="7088" spans="1:9" x14ac:dyDescent="0.35">
      <c r="A7088" t="s">
        <v>227</v>
      </c>
      <c r="B7088" t="s">
        <v>240</v>
      </c>
      <c r="C7088" s="2">
        <v>0.49540000000000001</v>
      </c>
      <c r="D7088" s="2">
        <v>0.29730000000000001</v>
      </c>
      <c r="E7088" s="2">
        <v>8.8700000000000001E-2</v>
      </c>
      <c r="F7088" s="2">
        <v>6.4299999999999996E-2</v>
      </c>
      <c r="G7088" s="2">
        <v>2.81E-2</v>
      </c>
      <c r="H7088" s="2">
        <v>2.6200000000000001E-2</v>
      </c>
      <c r="I7088">
        <v>379</v>
      </c>
    </row>
    <row r="7089" spans="1:9" x14ac:dyDescent="0.35">
      <c r="A7089" t="s">
        <v>227</v>
      </c>
      <c r="B7089" t="s">
        <v>241</v>
      </c>
      <c r="C7089" s="2">
        <v>0.62060000000000004</v>
      </c>
      <c r="D7089" s="2">
        <v>0.25719999999999998</v>
      </c>
      <c r="E7089" s="2">
        <v>7.6100000000000001E-2</v>
      </c>
      <c r="F7089" s="2">
        <v>3.73E-2</v>
      </c>
      <c r="G7089" s="2">
        <v>8.6999999999999994E-3</v>
      </c>
      <c r="I7089">
        <v>198</v>
      </c>
    </row>
    <row r="7090" spans="1:9" x14ac:dyDescent="0.35">
      <c r="A7090" t="s">
        <v>227</v>
      </c>
      <c r="B7090" t="s">
        <v>242</v>
      </c>
      <c r="C7090" s="2">
        <v>0.63839999999999997</v>
      </c>
      <c r="D7090" s="2">
        <v>0.1444</v>
      </c>
      <c r="E7090" s="2">
        <v>0.14710000000000001</v>
      </c>
      <c r="F7090" s="2">
        <v>7.0099999999999996E-2</v>
      </c>
      <c r="I7090">
        <v>32</v>
      </c>
    </row>
    <row r="7091" spans="1:9" x14ac:dyDescent="0.35">
      <c r="A7091" t="s">
        <v>228</v>
      </c>
      <c r="B7091" t="s">
        <v>228</v>
      </c>
      <c r="C7091" s="2">
        <v>0.53680000000000005</v>
      </c>
      <c r="D7091" s="2">
        <v>0.28000000000000003</v>
      </c>
      <c r="E7091" s="2">
        <v>8.7300000000000003E-2</v>
      </c>
      <c r="F7091" s="2">
        <v>5.6800000000000003E-2</v>
      </c>
      <c r="G7091" s="2">
        <v>2.1499999999999998E-2</v>
      </c>
      <c r="H7091" s="2">
        <v>1.77E-2</v>
      </c>
      <c r="I7091">
        <v>609</v>
      </c>
    </row>
    <row r="7093" spans="1:9" x14ac:dyDescent="0.35">
      <c r="A7093" s="1" t="s">
        <v>1837</v>
      </c>
    </row>
    <row r="7094" spans="1:9" x14ac:dyDescent="0.35">
      <c r="A7094" t="s">
        <v>219</v>
      </c>
      <c r="B7094" t="s">
        <v>301</v>
      </c>
      <c r="C7094" t="s">
        <v>1829</v>
      </c>
      <c r="D7094" t="s">
        <v>1830</v>
      </c>
      <c r="E7094" t="s">
        <v>1831</v>
      </c>
      <c r="F7094" t="s">
        <v>1832</v>
      </c>
      <c r="G7094" t="s">
        <v>1833</v>
      </c>
      <c r="H7094" t="s">
        <v>277</v>
      </c>
      <c r="I7094" t="s">
        <v>226</v>
      </c>
    </row>
    <row r="7095" spans="1:9" x14ac:dyDescent="0.35">
      <c r="A7095" t="s">
        <v>227</v>
      </c>
      <c r="B7095" t="s">
        <v>334</v>
      </c>
      <c r="C7095" s="2">
        <v>0.51780000000000004</v>
      </c>
      <c r="D7095" s="2">
        <v>0.2074</v>
      </c>
      <c r="E7095" s="2">
        <v>0.13350000000000001</v>
      </c>
      <c r="F7095" s="2">
        <v>9.2399999999999996E-2</v>
      </c>
      <c r="H7095" s="2">
        <v>4.8899999999999999E-2</v>
      </c>
      <c r="I7095">
        <v>160</v>
      </c>
    </row>
    <row r="7096" spans="1:9" x14ac:dyDescent="0.35">
      <c r="A7096" t="s">
        <v>227</v>
      </c>
      <c r="B7096" t="s">
        <v>335</v>
      </c>
      <c r="C7096" s="2">
        <v>0.50739999999999996</v>
      </c>
      <c r="D7096" s="2">
        <v>0.31690000000000002</v>
      </c>
      <c r="E7096" s="2">
        <v>7.0599999999999996E-2</v>
      </c>
      <c r="F7096" s="2">
        <v>6.9800000000000001E-2</v>
      </c>
      <c r="G7096" s="2">
        <v>9.7000000000000003E-3</v>
      </c>
      <c r="H7096" s="2">
        <v>2.5600000000000001E-2</v>
      </c>
      <c r="I7096">
        <v>124</v>
      </c>
    </row>
    <row r="7097" spans="1:9" x14ac:dyDescent="0.35">
      <c r="A7097" t="s">
        <v>227</v>
      </c>
      <c r="B7097" t="s">
        <v>336</v>
      </c>
      <c r="C7097" s="2">
        <v>0.57779999999999998</v>
      </c>
      <c r="D7097" s="2">
        <v>0.30030000000000001</v>
      </c>
      <c r="E7097" s="2">
        <v>7.6100000000000001E-2</v>
      </c>
      <c r="F7097" s="2">
        <v>4.5699999999999998E-2</v>
      </c>
      <c r="I7097">
        <v>135</v>
      </c>
    </row>
    <row r="7098" spans="1:9" x14ac:dyDescent="0.35">
      <c r="A7098" t="s">
        <v>227</v>
      </c>
      <c r="B7098" t="s">
        <v>337</v>
      </c>
      <c r="C7098" s="2">
        <v>0.64980000000000004</v>
      </c>
      <c r="D7098" s="2">
        <v>0.22470000000000001</v>
      </c>
      <c r="E7098" s="2">
        <v>9.9000000000000005E-2</v>
      </c>
      <c r="F7098" s="2">
        <v>2.6499999999999999E-2</v>
      </c>
      <c r="I7098">
        <v>113</v>
      </c>
    </row>
    <row r="7099" spans="1:9" x14ac:dyDescent="0.35">
      <c r="A7099" t="s">
        <v>228</v>
      </c>
      <c r="B7099" t="s">
        <v>228</v>
      </c>
      <c r="C7099" s="2">
        <v>0.53680000000000005</v>
      </c>
      <c r="D7099" s="2">
        <v>0.28000000000000003</v>
      </c>
      <c r="E7099" s="2">
        <v>8.7300000000000003E-2</v>
      </c>
      <c r="F7099" s="2">
        <v>5.6800000000000003E-2</v>
      </c>
      <c r="G7099" s="2">
        <v>2.1499999999999998E-2</v>
      </c>
      <c r="H7099" s="2">
        <v>1.77E-2</v>
      </c>
      <c r="I7099">
        <v>532</v>
      </c>
    </row>
    <row r="7101" spans="1:9" x14ac:dyDescent="0.35">
      <c r="A7101" s="1" t="s">
        <v>1838</v>
      </c>
    </row>
    <row r="7102" spans="1:9" x14ac:dyDescent="0.35">
      <c r="A7102" t="s">
        <v>219</v>
      </c>
      <c r="B7102" t="s">
        <v>301</v>
      </c>
      <c r="C7102" t="s">
        <v>1829</v>
      </c>
      <c r="D7102" t="s">
        <v>1830</v>
      </c>
      <c r="E7102" t="s">
        <v>1831</v>
      </c>
      <c r="F7102" t="s">
        <v>1832</v>
      </c>
      <c r="G7102" t="s">
        <v>1833</v>
      </c>
      <c r="H7102" t="s">
        <v>277</v>
      </c>
      <c r="I7102" t="s">
        <v>226</v>
      </c>
    </row>
    <row r="7103" spans="1:9" x14ac:dyDescent="0.35">
      <c r="A7103" t="s">
        <v>227</v>
      </c>
      <c r="B7103" t="s">
        <v>263</v>
      </c>
      <c r="C7103" s="2">
        <v>0.50460000000000005</v>
      </c>
      <c r="D7103" s="2">
        <v>0.31990000000000002</v>
      </c>
      <c r="E7103" s="2">
        <v>4.1799999999999997E-2</v>
      </c>
      <c r="F7103" s="2">
        <v>4.6800000000000001E-2</v>
      </c>
      <c r="G7103" s="2">
        <v>8.6900000000000005E-2</v>
      </c>
      <c r="I7103">
        <v>127</v>
      </c>
    </row>
    <row r="7104" spans="1:9" x14ac:dyDescent="0.35">
      <c r="A7104" t="s">
        <v>227</v>
      </c>
      <c r="B7104" t="s">
        <v>262</v>
      </c>
      <c r="C7104" s="2">
        <v>0.5474</v>
      </c>
      <c r="D7104" s="2">
        <v>0.29289999999999999</v>
      </c>
      <c r="E7104" s="2">
        <v>8.2699999999999996E-2</v>
      </c>
      <c r="F7104" s="2">
        <v>7.4700000000000003E-2</v>
      </c>
      <c r="G7104" s="2">
        <v>2.3E-3</v>
      </c>
      <c r="I7104">
        <v>260</v>
      </c>
    </row>
    <row r="7105" spans="1:9" x14ac:dyDescent="0.35">
      <c r="A7105" t="s">
        <v>227</v>
      </c>
      <c r="B7105" t="s">
        <v>261</v>
      </c>
      <c r="C7105" s="2">
        <v>0.54430000000000001</v>
      </c>
      <c r="D7105" s="2">
        <v>0.2475</v>
      </c>
      <c r="E7105" s="2">
        <v>0.1153</v>
      </c>
      <c r="F7105" s="2">
        <v>4.6300000000000001E-2</v>
      </c>
      <c r="G7105" s="2">
        <v>4.0000000000000001E-3</v>
      </c>
      <c r="H7105" s="2">
        <v>4.2599999999999999E-2</v>
      </c>
      <c r="I7105">
        <v>222</v>
      </c>
    </row>
    <row r="7106" spans="1:9" x14ac:dyDescent="0.35">
      <c r="A7106" t="s">
        <v>228</v>
      </c>
      <c r="B7106" t="s">
        <v>228</v>
      </c>
      <c r="C7106" s="2">
        <v>0.53680000000000005</v>
      </c>
      <c r="D7106" s="2">
        <v>0.28000000000000003</v>
      </c>
      <c r="E7106" s="2">
        <v>8.7300000000000003E-2</v>
      </c>
      <c r="F7106" s="2">
        <v>5.6800000000000003E-2</v>
      </c>
      <c r="G7106" s="2">
        <v>2.1499999999999998E-2</v>
      </c>
      <c r="H7106" s="2">
        <v>1.77E-2</v>
      </c>
      <c r="I7106">
        <v>609</v>
      </c>
    </row>
    <row r="7108" spans="1:9" x14ac:dyDescent="0.35">
      <c r="A7108" s="1" t="s">
        <v>1839</v>
      </c>
    </row>
    <row r="7109" spans="1:9" x14ac:dyDescent="0.35">
      <c r="A7109" t="s">
        <v>219</v>
      </c>
      <c r="B7109" t="s">
        <v>301</v>
      </c>
      <c r="C7109" t="s">
        <v>1829</v>
      </c>
      <c r="D7109" t="s">
        <v>1830</v>
      </c>
      <c r="E7109" t="s">
        <v>1831</v>
      </c>
      <c r="F7109" t="s">
        <v>1832</v>
      </c>
      <c r="G7109" t="s">
        <v>1833</v>
      </c>
      <c r="H7109" t="s">
        <v>277</v>
      </c>
      <c r="I7109" t="s">
        <v>226</v>
      </c>
    </row>
    <row r="7110" spans="1:9" x14ac:dyDescent="0.35">
      <c r="A7110" t="s">
        <v>227</v>
      </c>
      <c r="B7110" t="s">
        <v>248</v>
      </c>
      <c r="C7110" s="2">
        <v>0.52459999999999996</v>
      </c>
      <c r="D7110" s="2">
        <v>0.22919999999999999</v>
      </c>
      <c r="E7110" s="2">
        <v>7.2400000000000006E-2</v>
      </c>
      <c r="F7110" s="2">
        <v>0.1026</v>
      </c>
      <c r="G7110" s="2">
        <v>7.1300000000000002E-2</v>
      </c>
      <c r="I7110">
        <v>187</v>
      </c>
    </row>
    <row r="7111" spans="1:9" x14ac:dyDescent="0.35">
      <c r="A7111" t="s">
        <v>227</v>
      </c>
      <c r="B7111" t="s">
        <v>249</v>
      </c>
      <c r="C7111" s="2">
        <v>0.66059999999999997</v>
      </c>
      <c r="D7111" s="2">
        <v>0.191</v>
      </c>
      <c r="E7111" s="2">
        <v>0.1103</v>
      </c>
      <c r="F7111" s="2">
        <v>3.8100000000000002E-2</v>
      </c>
      <c r="I7111">
        <v>145</v>
      </c>
    </row>
    <row r="7112" spans="1:9" x14ac:dyDescent="0.35">
      <c r="A7112" t="s">
        <v>227</v>
      </c>
      <c r="B7112" t="s">
        <v>247</v>
      </c>
      <c r="C7112" s="2">
        <v>0.4909</v>
      </c>
      <c r="D7112" s="2">
        <v>0.34179999999999999</v>
      </c>
      <c r="E7112" s="2">
        <v>8.4900000000000003E-2</v>
      </c>
      <c r="F7112" s="2">
        <v>4.2500000000000003E-2</v>
      </c>
      <c r="G7112" s="2">
        <v>6.3E-3</v>
      </c>
      <c r="H7112" s="2">
        <v>3.3599999999999998E-2</v>
      </c>
      <c r="I7112">
        <v>277</v>
      </c>
    </row>
    <row r="7113" spans="1:9" x14ac:dyDescent="0.35">
      <c r="A7113" t="s">
        <v>228</v>
      </c>
      <c r="B7113" t="s">
        <v>228</v>
      </c>
      <c r="C7113" s="2">
        <v>0.53680000000000005</v>
      </c>
      <c r="D7113" s="2">
        <v>0.28000000000000003</v>
      </c>
      <c r="E7113" s="2">
        <v>8.7300000000000003E-2</v>
      </c>
      <c r="F7113" s="2">
        <v>5.6800000000000003E-2</v>
      </c>
      <c r="G7113" s="2">
        <v>2.1499999999999998E-2</v>
      </c>
      <c r="H7113" s="2">
        <v>1.77E-2</v>
      </c>
      <c r="I7113">
        <v>609</v>
      </c>
    </row>
    <row r="7115" spans="1:9" x14ac:dyDescent="0.35">
      <c r="A7115" s="1" t="s">
        <v>1840</v>
      </c>
    </row>
    <row r="7116" spans="1:9" x14ac:dyDescent="0.35">
      <c r="A7116" t="s">
        <v>219</v>
      </c>
      <c r="B7116" t="s">
        <v>301</v>
      </c>
      <c r="C7116" t="s">
        <v>1829</v>
      </c>
      <c r="D7116" t="s">
        <v>1830</v>
      </c>
      <c r="E7116" t="s">
        <v>1831</v>
      </c>
      <c r="F7116" t="s">
        <v>1832</v>
      </c>
      <c r="G7116" t="s">
        <v>1833</v>
      </c>
      <c r="H7116" t="s">
        <v>277</v>
      </c>
      <c r="I7116" t="s">
        <v>226</v>
      </c>
    </row>
    <row r="7117" spans="1:9" x14ac:dyDescent="0.35">
      <c r="A7117" t="s">
        <v>227</v>
      </c>
      <c r="B7117" t="s">
        <v>245</v>
      </c>
      <c r="C7117" s="2">
        <v>0.3876</v>
      </c>
      <c r="D7117" s="2">
        <v>0.36280000000000001</v>
      </c>
      <c r="E7117" s="2">
        <v>0.12570000000000001</v>
      </c>
      <c r="F7117" s="2">
        <v>5.9900000000000002E-2</v>
      </c>
      <c r="H7117" s="2">
        <v>6.3899999999999998E-2</v>
      </c>
      <c r="I7117">
        <v>145</v>
      </c>
    </row>
    <row r="7118" spans="1:9" x14ac:dyDescent="0.35">
      <c r="A7118" t="s">
        <v>227</v>
      </c>
      <c r="B7118" t="s">
        <v>244</v>
      </c>
      <c r="C7118" s="2">
        <v>0.59379999999999999</v>
      </c>
      <c r="D7118" s="2">
        <v>0.24829999999999999</v>
      </c>
      <c r="E7118" s="2">
        <v>7.2599999999999998E-2</v>
      </c>
      <c r="F7118" s="2">
        <v>5.5599999999999997E-2</v>
      </c>
      <c r="G7118" s="2">
        <v>2.9700000000000001E-2</v>
      </c>
      <c r="I7118">
        <v>464</v>
      </c>
    </row>
    <row r="7119" spans="1:9" x14ac:dyDescent="0.35">
      <c r="A7119" t="s">
        <v>228</v>
      </c>
      <c r="B7119" t="s">
        <v>228</v>
      </c>
      <c r="C7119" s="2">
        <v>0.53680000000000005</v>
      </c>
      <c r="D7119" s="2">
        <v>0.28000000000000003</v>
      </c>
      <c r="E7119" s="2">
        <v>8.7300000000000003E-2</v>
      </c>
      <c r="F7119" s="2">
        <v>5.6800000000000003E-2</v>
      </c>
      <c r="G7119" s="2">
        <v>2.1499999999999998E-2</v>
      </c>
      <c r="H7119" s="2">
        <v>1.77E-2</v>
      </c>
      <c r="I7119">
        <v>609</v>
      </c>
    </row>
    <row r="7121" spans="1:9" x14ac:dyDescent="0.35">
      <c r="A7121" s="1" t="s">
        <v>1841</v>
      </c>
    </row>
    <row r="7122" spans="1:9" x14ac:dyDescent="0.35">
      <c r="A7122" t="s">
        <v>219</v>
      </c>
      <c r="B7122" t="s">
        <v>301</v>
      </c>
      <c r="C7122" t="s">
        <v>1829</v>
      </c>
      <c r="D7122" t="s">
        <v>1830</v>
      </c>
      <c r="E7122" t="s">
        <v>1831</v>
      </c>
      <c r="F7122" t="s">
        <v>1832</v>
      </c>
      <c r="G7122" t="s">
        <v>1833</v>
      </c>
      <c r="H7122" t="s">
        <v>277</v>
      </c>
      <c r="I7122" t="s">
        <v>226</v>
      </c>
    </row>
    <row r="7123" spans="1:9" x14ac:dyDescent="0.35">
      <c r="A7123" s="3" t="s">
        <v>227</v>
      </c>
      <c r="B7123" s="3" t="s">
        <v>259</v>
      </c>
      <c r="C7123" s="4">
        <v>0.43</v>
      </c>
      <c r="D7123" s="4">
        <v>0.22819999999999999</v>
      </c>
      <c r="E7123" s="4">
        <v>9.74E-2</v>
      </c>
      <c r="F7123" s="4">
        <v>0.18679999999999999</v>
      </c>
      <c r="G7123" s="4">
        <v>5.7700000000000001E-2</v>
      </c>
      <c r="H7123" s="5"/>
      <c r="I7123" s="5" t="s">
        <v>851</v>
      </c>
    </row>
    <row r="7124" spans="1:9" x14ac:dyDescent="0.35">
      <c r="A7124" t="s">
        <v>227</v>
      </c>
      <c r="B7124" t="s">
        <v>257</v>
      </c>
      <c r="C7124" s="2">
        <v>0.39439999999999997</v>
      </c>
      <c r="D7124" s="2">
        <v>0.31580000000000003</v>
      </c>
      <c r="E7124" s="2">
        <v>3.5799999999999998E-2</v>
      </c>
      <c r="F7124" s="2">
        <v>3.1E-2</v>
      </c>
      <c r="G7124" s="2">
        <v>0.1104</v>
      </c>
      <c r="H7124" s="2">
        <v>0.11260000000000001</v>
      </c>
      <c r="I7124">
        <v>66</v>
      </c>
    </row>
    <row r="7125" spans="1:9" x14ac:dyDescent="0.35">
      <c r="A7125" t="s">
        <v>227</v>
      </c>
      <c r="B7125" t="s">
        <v>256</v>
      </c>
      <c r="C7125" s="2">
        <v>0.59919999999999995</v>
      </c>
      <c r="D7125" s="2">
        <v>0.27179999999999999</v>
      </c>
      <c r="E7125" s="2">
        <v>8.4099999999999994E-2</v>
      </c>
      <c r="F7125" s="2">
        <v>3.9899999999999998E-2</v>
      </c>
      <c r="G7125" s="2">
        <v>5.1000000000000004E-3</v>
      </c>
      <c r="I7125">
        <v>312</v>
      </c>
    </row>
    <row r="7126" spans="1:9" x14ac:dyDescent="0.35">
      <c r="A7126" s="3" t="s">
        <v>227</v>
      </c>
      <c r="B7126" s="3" t="s">
        <v>232</v>
      </c>
      <c r="C7126" s="5"/>
      <c r="D7126" s="4">
        <v>0.77110000000000001</v>
      </c>
      <c r="E7126" s="4">
        <v>0.22889999999999999</v>
      </c>
      <c r="F7126" s="5"/>
      <c r="G7126" s="5"/>
      <c r="H7126" s="5"/>
      <c r="I7126" s="5" t="s">
        <v>341</v>
      </c>
    </row>
    <row r="7127" spans="1:9" x14ac:dyDescent="0.35">
      <c r="A7127" t="s">
        <v>227</v>
      </c>
      <c r="B7127" t="s">
        <v>258</v>
      </c>
      <c r="C7127" s="2">
        <v>0.52629999999999999</v>
      </c>
      <c r="D7127" s="2">
        <v>0.27360000000000001</v>
      </c>
      <c r="E7127" s="2">
        <v>0.1152</v>
      </c>
      <c r="F7127" s="2">
        <v>8.4900000000000003E-2</v>
      </c>
      <c r="I7127">
        <v>198</v>
      </c>
    </row>
    <row r="7128" spans="1:9" x14ac:dyDescent="0.35">
      <c r="A7128" t="s">
        <v>228</v>
      </c>
      <c r="B7128" t="s">
        <v>228</v>
      </c>
      <c r="C7128" s="2">
        <v>0.53680000000000005</v>
      </c>
      <c r="D7128" s="2">
        <v>0.28000000000000003</v>
      </c>
      <c r="E7128" s="2">
        <v>8.7300000000000003E-2</v>
      </c>
      <c r="F7128" s="2">
        <v>5.6800000000000003E-2</v>
      </c>
      <c r="G7128" s="2">
        <v>2.1499999999999998E-2</v>
      </c>
      <c r="H7128" s="2">
        <v>1.77E-2</v>
      </c>
      <c r="I7128">
        <v>609</v>
      </c>
    </row>
    <row r="7130" spans="1:9" x14ac:dyDescent="0.35">
      <c r="A7130" s="1" t="s">
        <v>1842</v>
      </c>
    </row>
    <row r="7131" spans="1:9" x14ac:dyDescent="0.35">
      <c r="A7131" t="s">
        <v>219</v>
      </c>
      <c r="B7131" t="s">
        <v>301</v>
      </c>
      <c r="C7131" t="s">
        <v>1829</v>
      </c>
      <c r="D7131" t="s">
        <v>1830</v>
      </c>
      <c r="E7131" t="s">
        <v>1831</v>
      </c>
      <c r="F7131" t="s">
        <v>1832</v>
      </c>
      <c r="G7131" t="s">
        <v>1833</v>
      </c>
      <c r="H7131" t="s">
        <v>277</v>
      </c>
      <c r="I7131" t="s">
        <v>226</v>
      </c>
    </row>
    <row r="7132" spans="1:9" x14ac:dyDescent="0.35">
      <c r="A7132" t="s">
        <v>227</v>
      </c>
      <c r="B7132" t="s">
        <v>343</v>
      </c>
      <c r="C7132" s="2">
        <v>0.39439999999999997</v>
      </c>
      <c r="D7132" s="2">
        <v>0.31580000000000003</v>
      </c>
      <c r="E7132" s="2">
        <v>3.5799999999999998E-2</v>
      </c>
      <c r="F7132" s="2">
        <v>3.1E-2</v>
      </c>
      <c r="G7132" s="2">
        <v>0.1104</v>
      </c>
      <c r="H7132" s="2">
        <v>0.11260000000000001</v>
      </c>
      <c r="I7132">
        <v>66</v>
      </c>
    </row>
    <row r="7133" spans="1:9" x14ac:dyDescent="0.35">
      <c r="A7133" t="s">
        <v>227</v>
      </c>
      <c r="B7133" t="s">
        <v>344</v>
      </c>
      <c r="C7133" s="2">
        <v>0.56330000000000002</v>
      </c>
      <c r="D7133" s="2">
        <v>0.27329999999999999</v>
      </c>
      <c r="E7133" s="2">
        <v>9.69E-2</v>
      </c>
      <c r="F7133" s="2">
        <v>6.1600000000000002E-2</v>
      </c>
      <c r="G7133" s="2">
        <v>4.8999999999999998E-3</v>
      </c>
      <c r="I7133">
        <v>543</v>
      </c>
    </row>
    <row r="7134" spans="1:9" x14ac:dyDescent="0.35">
      <c r="A7134" t="s">
        <v>228</v>
      </c>
      <c r="B7134" t="s">
        <v>228</v>
      </c>
      <c r="C7134" s="2">
        <v>0.53680000000000005</v>
      </c>
      <c r="D7134" s="2">
        <v>0.28000000000000003</v>
      </c>
      <c r="E7134" s="2">
        <v>8.7300000000000003E-2</v>
      </c>
      <c r="F7134" s="2">
        <v>5.6800000000000003E-2</v>
      </c>
      <c r="G7134" s="2">
        <v>2.1499999999999998E-2</v>
      </c>
      <c r="H7134" s="2">
        <v>1.77E-2</v>
      </c>
      <c r="I7134">
        <v>609</v>
      </c>
    </row>
    <row r="7136" spans="1:9" x14ac:dyDescent="0.35">
      <c r="A7136" s="1" t="s">
        <v>1843</v>
      </c>
    </row>
    <row r="7137" spans="1:9" x14ac:dyDescent="0.35">
      <c r="A7137" t="s">
        <v>219</v>
      </c>
      <c r="B7137" t="s">
        <v>301</v>
      </c>
      <c r="C7137" t="s">
        <v>1829</v>
      </c>
      <c r="D7137" t="s">
        <v>1830</v>
      </c>
      <c r="E7137" t="s">
        <v>1831</v>
      </c>
      <c r="F7137" t="s">
        <v>1832</v>
      </c>
      <c r="G7137" t="s">
        <v>1833</v>
      </c>
      <c r="H7137" t="s">
        <v>277</v>
      </c>
      <c r="I7137" t="s">
        <v>226</v>
      </c>
    </row>
    <row r="7138" spans="1:9" x14ac:dyDescent="0.35">
      <c r="A7138" t="s">
        <v>227</v>
      </c>
      <c r="B7138" t="s">
        <v>346</v>
      </c>
      <c r="C7138" s="2">
        <v>0.52370000000000005</v>
      </c>
      <c r="D7138" s="2">
        <v>0.30049999999999999</v>
      </c>
      <c r="E7138" s="2">
        <v>6.6299999999999998E-2</v>
      </c>
      <c r="F7138" s="2">
        <v>4.9000000000000002E-2</v>
      </c>
      <c r="G7138" s="2">
        <v>0.03</v>
      </c>
      <c r="H7138" s="2">
        <v>3.0599999999999999E-2</v>
      </c>
      <c r="I7138">
        <v>145</v>
      </c>
    </row>
    <row r="7139" spans="1:9" x14ac:dyDescent="0.35">
      <c r="A7139" t="s">
        <v>227</v>
      </c>
      <c r="B7139" t="s">
        <v>347</v>
      </c>
      <c r="C7139" s="2">
        <v>0.4995</v>
      </c>
      <c r="D7139" s="2">
        <v>0.28820000000000001</v>
      </c>
      <c r="E7139" s="2">
        <v>0.1244</v>
      </c>
      <c r="F7139" s="2">
        <v>7.0499999999999993E-2</v>
      </c>
      <c r="G7139" s="2">
        <v>1.7399999999999999E-2</v>
      </c>
      <c r="I7139">
        <v>234</v>
      </c>
    </row>
    <row r="7140" spans="1:9" x14ac:dyDescent="0.35">
      <c r="A7140" t="s">
        <v>227</v>
      </c>
      <c r="B7140" t="s">
        <v>348</v>
      </c>
      <c r="C7140" s="2">
        <v>0.58299999999999996</v>
      </c>
      <c r="D7140" s="2">
        <v>0.23350000000000001</v>
      </c>
      <c r="E7140" s="2">
        <v>0.11169999999999999</v>
      </c>
      <c r="F7140" s="2">
        <v>6.59E-2</v>
      </c>
      <c r="G7140" s="2">
        <v>6.0000000000000001E-3</v>
      </c>
      <c r="I7140">
        <v>230</v>
      </c>
    </row>
    <row r="7141" spans="1:9" x14ac:dyDescent="0.35">
      <c r="A7141" t="s">
        <v>228</v>
      </c>
      <c r="B7141" t="s">
        <v>228</v>
      </c>
      <c r="C7141" s="2">
        <v>0.53680000000000005</v>
      </c>
      <c r="D7141" s="2">
        <v>0.28000000000000003</v>
      </c>
      <c r="E7141" s="2">
        <v>8.7300000000000003E-2</v>
      </c>
      <c r="F7141" s="2">
        <v>5.6800000000000003E-2</v>
      </c>
      <c r="G7141" s="2">
        <v>2.1499999999999998E-2</v>
      </c>
      <c r="H7141" s="2">
        <v>1.77E-2</v>
      </c>
      <c r="I7141">
        <v>609</v>
      </c>
    </row>
    <row r="7143" spans="1:9" x14ac:dyDescent="0.35">
      <c r="A7143" s="1" t="s">
        <v>1844</v>
      </c>
    </row>
    <row r="7144" spans="1:9" x14ac:dyDescent="0.35">
      <c r="A7144" t="s">
        <v>219</v>
      </c>
      <c r="B7144" t="s">
        <v>301</v>
      </c>
      <c r="C7144" t="s">
        <v>1829</v>
      </c>
      <c r="D7144" t="s">
        <v>1830</v>
      </c>
      <c r="E7144" t="s">
        <v>1831</v>
      </c>
      <c r="F7144" t="s">
        <v>1832</v>
      </c>
      <c r="G7144" t="s">
        <v>1833</v>
      </c>
      <c r="H7144" t="s">
        <v>277</v>
      </c>
      <c r="I7144" t="s">
        <v>226</v>
      </c>
    </row>
    <row r="7145" spans="1:9" x14ac:dyDescent="0.35">
      <c r="A7145" t="s">
        <v>227</v>
      </c>
      <c r="B7145" t="s">
        <v>251</v>
      </c>
      <c r="C7145" s="2">
        <v>0.59379999999999999</v>
      </c>
      <c r="D7145" s="2">
        <v>0.24829999999999999</v>
      </c>
      <c r="E7145" s="2">
        <v>7.2599999999999998E-2</v>
      </c>
      <c r="F7145" s="2">
        <v>5.5599999999999997E-2</v>
      </c>
      <c r="G7145" s="2">
        <v>2.9700000000000001E-2</v>
      </c>
      <c r="I7145">
        <v>464</v>
      </c>
    </row>
    <row r="7146" spans="1:9" x14ac:dyDescent="0.35">
      <c r="A7146" t="s">
        <v>227</v>
      </c>
      <c r="B7146" t="s">
        <v>252</v>
      </c>
      <c r="C7146" s="2">
        <v>0.3987</v>
      </c>
      <c r="D7146" s="2">
        <v>0.36809999999999998</v>
      </c>
      <c r="E7146" s="2">
        <v>0.1348</v>
      </c>
      <c r="F7146" s="2">
        <v>2.75E-2</v>
      </c>
      <c r="H7146" s="2">
        <v>7.0900000000000005E-2</v>
      </c>
      <c r="I7146">
        <v>124</v>
      </c>
    </row>
    <row r="7147" spans="1:9" x14ac:dyDescent="0.35">
      <c r="A7147" s="3" t="s">
        <v>227</v>
      </c>
      <c r="B7147" s="3" t="s">
        <v>253</v>
      </c>
      <c r="C7147" s="4">
        <v>0.21149999999999999</v>
      </c>
      <c r="D7147" s="4">
        <v>0.31440000000000001</v>
      </c>
      <c r="E7147" s="4">
        <v>5.0900000000000001E-2</v>
      </c>
      <c r="F7147" s="4">
        <v>0.42309999999999998</v>
      </c>
      <c r="G7147" s="5"/>
      <c r="H7147" s="5"/>
      <c r="I7147" s="5" t="s">
        <v>522</v>
      </c>
    </row>
    <row r="7148" spans="1:9" x14ac:dyDescent="0.35">
      <c r="A7148" s="3" t="s">
        <v>227</v>
      </c>
      <c r="B7148" s="3" t="s">
        <v>254</v>
      </c>
      <c r="C7148" s="4">
        <v>0.68279999999999996</v>
      </c>
      <c r="D7148" s="4">
        <v>0.31719999999999998</v>
      </c>
      <c r="E7148" s="5"/>
      <c r="F7148" s="5"/>
      <c r="G7148" s="5"/>
      <c r="H7148" s="5"/>
      <c r="I7148" s="5" t="s">
        <v>327</v>
      </c>
    </row>
    <row r="7149" spans="1:9" x14ac:dyDescent="0.35">
      <c r="A7149" t="s">
        <v>228</v>
      </c>
      <c r="B7149" t="s">
        <v>228</v>
      </c>
      <c r="C7149" s="2">
        <v>0.53680000000000005</v>
      </c>
      <c r="D7149" s="2">
        <v>0.28000000000000003</v>
      </c>
      <c r="E7149" s="2">
        <v>8.7300000000000003E-2</v>
      </c>
      <c r="F7149" s="2">
        <v>5.6800000000000003E-2</v>
      </c>
      <c r="G7149" s="2">
        <v>2.1499999999999998E-2</v>
      </c>
      <c r="H7149" s="2">
        <v>1.77E-2</v>
      </c>
      <c r="I7149">
        <v>609</v>
      </c>
    </row>
    <row r="7151" spans="1:9" x14ac:dyDescent="0.35">
      <c r="A7151" s="1" t="s">
        <v>1845</v>
      </c>
    </row>
    <row r="7152" spans="1:9" x14ac:dyDescent="0.35">
      <c r="A7152" t="s">
        <v>219</v>
      </c>
      <c r="B7152" t="s">
        <v>299</v>
      </c>
      <c r="C7152" t="s">
        <v>1846</v>
      </c>
      <c r="D7152" t="s">
        <v>1847</v>
      </c>
      <c r="E7152" t="s">
        <v>226</v>
      </c>
    </row>
    <row r="7153" spans="1:6" x14ac:dyDescent="0.35">
      <c r="A7153" t="s">
        <v>227</v>
      </c>
      <c r="B7153" s="2">
        <v>0.97799999999999998</v>
      </c>
      <c r="C7153" s="2">
        <v>2.1299999999999999E-2</v>
      </c>
      <c r="D7153" s="2">
        <v>5.9999999999999995E-4</v>
      </c>
      <c r="E7153">
        <v>2810</v>
      </c>
    </row>
    <row r="7154" spans="1:6" x14ac:dyDescent="0.35">
      <c r="A7154" t="s">
        <v>228</v>
      </c>
      <c r="B7154" s="2">
        <v>0.97799999999999998</v>
      </c>
      <c r="C7154" s="2">
        <v>2.1299999999999999E-2</v>
      </c>
      <c r="D7154" s="2">
        <v>5.9999999999999995E-4</v>
      </c>
      <c r="E7154">
        <v>2810</v>
      </c>
    </row>
    <row r="7156" spans="1:6" x14ac:dyDescent="0.35">
      <c r="A7156" s="1" t="s">
        <v>1848</v>
      </c>
    </row>
    <row r="7157" spans="1:6" x14ac:dyDescent="0.35">
      <c r="A7157" t="s">
        <v>219</v>
      </c>
      <c r="B7157" t="s">
        <v>301</v>
      </c>
      <c r="C7157" t="s">
        <v>299</v>
      </c>
      <c r="D7157" t="s">
        <v>1846</v>
      </c>
      <c r="E7157" t="s">
        <v>1847</v>
      </c>
      <c r="F7157" t="s">
        <v>226</v>
      </c>
    </row>
    <row r="7158" spans="1:6" x14ac:dyDescent="0.35">
      <c r="A7158" t="s">
        <v>227</v>
      </c>
      <c r="B7158" t="s">
        <v>238</v>
      </c>
      <c r="C7158" s="2">
        <v>0.96460000000000001</v>
      </c>
      <c r="D7158" s="2">
        <v>3.5400000000000001E-2</v>
      </c>
      <c r="F7158">
        <v>1003</v>
      </c>
    </row>
    <row r="7159" spans="1:6" x14ac:dyDescent="0.35">
      <c r="A7159" t="s">
        <v>227</v>
      </c>
      <c r="B7159" t="s">
        <v>237</v>
      </c>
      <c r="C7159" s="2">
        <v>0.98580000000000001</v>
      </c>
      <c r="D7159" s="2">
        <v>1.32E-2</v>
      </c>
      <c r="E7159" s="2">
        <v>1E-3</v>
      </c>
      <c r="F7159">
        <v>1807</v>
      </c>
    </row>
    <row r="7160" spans="1:6" x14ac:dyDescent="0.35">
      <c r="A7160" t="s">
        <v>228</v>
      </c>
      <c r="B7160" t="s">
        <v>228</v>
      </c>
      <c r="C7160" s="2">
        <v>0.97799999999999998</v>
      </c>
      <c r="D7160" s="2">
        <v>2.1299999999999999E-2</v>
      </c>
      <c r="E7160" s="2">
        <v>5.9999999999999995E-4</v>
      </c>
      <c r="F7160">
        <v>2810</v>
      </c>
    </row>
    <row r="7162" spans="1:6" x14ac:dyDescent="0.35">
      <c r="A7162" s="1" t="s">
        <v>1849</v>
      </c>
    </row>
    <row r="7163" spans="1:6" x14ac:dyDescent="0.35">
      <c r="A7163" t="s">
        <v>219</v>
      </c>
      <c r="B7163" t="s">
        <v>301</v>
      </c>
      <c r="C7163" t="s">
        <v>299</v>
      </c>
      <c r="D7163" t="s">
        <v>1846</v>
      </c>
      <c r="E7163" t="s">
        <v>1847</v>
      </c>
      <c r="F7163" t="s">
        <v>226</v>
      </c>
    </row>
    <row r="7164" spans="1:6" x14ac:dyDescent="0.35">
      <c r="A7164" t="s">
        <v>227</v>
      </c>
      <c r="B7164" t="s">
        <v>235</v>
      </c>
      <c r="C7164" s="2">
        <v>0.97140000000000004</v>
      </c>
      <c r="D7164" s="2">
        <v>2.64E-2</v>
      </c>
      <c r="E7164" s="2">
        <v>2.2000000000000001E-3</v>
      </c>
      <c r="F7164">
        <v>992</v>
      </c>
    </row>
    <row r="7165" spans="1:6" x14ac:dyDescent="0.35">
      <c r="A7165" t="s">
        <v>227</v>
      </c>
      <c r="B7165" t="s">
        <v>234</v>
      </c>
      <c r="C7165" s="2">
        <v>0.98080000000000001</v>
      </c>
      <c r="D7165" s="2">
        <v>1.9199999999999998E-2</v>
      </c>
      <c r="F7165">
        <v>1818</v>
      </c>
    </row>
    <row r="7166" spans="1:6" x14ac:dyDescent="0.35">
      <c r="A7166" t="s">
        <v>228</v>
      </c>
      <c r="B7166" t="s">
        <v>228</v>
      </c>
      <c r="C7166" s="2">
        <v>0.97799999999999998</v>
      </c>
      <c r="D7166" s="2">
        <v>2.1299999999999999E-2</v>
      </c>
      <c r="E7166" s="2">
        <v>5.9999999999999995E-4</v>
      </c>
      <c r="F7166">
        <v>2810</v>
      </c>
    </row>
    <row r="7168" spans="1:6" x14ac:dyDescent="0.35">
      <c r="A7168" s="1" t="s">
        <v>1850</v>
      </c>
    </row>
    <row r="7169" spans="1:6" x14ac:dyDescent="0.35">
      <c r="A7169" t="s">
        <v>219</v>
      </c>
      <c r="B7169" t="s">
        <v>301</v>
      </c>
      <c r="C7169" t="s">
        <v>299</v>
      </c>
      <c r="D7169" t="s">
        <v>1846</v>
      </c>
      <c r="E7169" t="s">
        <v>1847</v>
      </c>
      <c r="F7169" t="s">
        <v>226</v>
      </c>
    </row>
    <row r="7170" spans="1:6" x14ac:dyDescent="0.35">
      <c r="A7170" t="s">
        <v>227</v>
      </c>
      <c r="B7170" t="s">
        <v>240</v>
      </c>
      <c r="C7170" s="2">
        <v>0.9778</v>
      </c>
      <c r="D7170" s="2">
        <v>2.2200000000000001E-2</v>
      </c>
      <c r="F7170">
        <v>1754</v>
      </c>
    </row>
    <row r="7171" spans="1:6" x14ac:dyDescent="0.35">
      <c r="A7171" t="s">
        <v>227</v>
      </c>
      <c r="B7171" t="s">
        <v>241</v>
      </c>
      <c r="C7171" s="2">
        <v>0.98570000000000002</v>
      </c>
      <c r="D7171" s="2">
        <v>1.43E-2</v>
      </c>
      <c r="F7171">
        <v>890</v>
      </c>
    </row>
    <row r="7172" spans="1:6" x14ac:dyDescent="0.35">
      <c r="A7172" t="s">
        <v>227</v>
      </c>
      <c r="B7172" t="s">
        <v>242</v>
      </c>
      <c r="C7172" s="2">
        <v>0.94610000000000005</v>
      </c>
      <c r="D7172" s="2">
        <v>4.41E-2</v>
      </c>
      <c r="E7172" s="2">
        <v>9.7000000000000003E-3</v>
      </c>
      <c r="F7172">
        <v>166</v>
      </c>
    </row>
    <row r="7173" spans="1:6" x14ac:dyDescent="0.35">
      <c r="A7173" t="s">
        <v>228</v>
      </c>
      <c r="B7173" t="s">
        <v>228</v>
      </c>
      <c r="C7173" s="2">
        <v>0.97799999999999998</v>
      </c>
      <c r="D7173" s="2">
        <v>2.1299999999999999E-2</v>
      </c>
      <c r="E7173" s="2">
        <v>5.9999999999999995E-4</v>
      </c>
      <c r="F7173">
        <v>2810</v>
      </c>
    </row>
    <row r="7175" spans="1:6" x14ac:dyDescent="0.35">
      <c r="A7175" s="1" t="s">
        <v>1851</v>
      </c>
    </row>
    <row r="7176" spans="1:6" x14ac:dyDescent="0.35">
      <c r="A7176" t="s">
        <v>219</v>
      </c>
      <c r="B7176" t="s">
        <v>301</v>
      </c>
      <c r="C7176" t="s">
        <v>299</v>
      </c>
      <c r="D7176" t="s">
        <v>1846</v>
      </c>
      <c r="E7176" t="s">
        <v>1847</v>
      </c>
      <c r="F7176" t="s">
        <v>226</v>
      </c>
    </row>
    <row r="7177" spans="1:6" x14ac:dyDescent="0.35">
      <c r="A7177" t="s">
        <v>227</v>
      </c>
      <c r="B7177" t="s">
        <v>334</v>
      </c>
      <c r="C7177" s="2">
        <v>0.95589999999999997</v>
      </c>
      <c r="D7177" s="2">
        <v>4.1099999999999998E-2</v>
      </c>
      <c r="E7177" s="2">
        <v>3.0999999999999999E-3</v>
      </c>
      <c r="F7177">
        <v>624</v>
      </c>
    </row>
    <row r="7178" spans="1:6" x14ac:dyDescent="0.35">
      <c r="A7178" t="s">
        <v>227</v>
      </c>
      <c r="B7178" t="s">
        <v>335</v>
      </c>
      <c r="C7178" s="2">
        <v>0.98870000000000002</v>
      </c>
      <c r="D7178" s="2">
        <v>1.1299999999999999E-2</v>
      </c>
      <c r="F7178">
        <v>628</v>
      </c>
    </row>
    <row r="7179" spans="1:6" x14ac:dyDescent="0.35">
      <c r="A7179" t="s">
        <v>227</v>
      </c>
      <c r="B7179" t="s">
        <v>336</v>
      </c>
      <c r="C7179" s="2">
        <v>0.97950000000000004</v>
      </c>
      <c r="D7179" s="2">
        <v>2.0500000000000001E-2</v>
      </c>
      <c r="F7179">
        <v>621</v>
      </c>
    </row>
    <row r="7180" spans="1:6" x14ac:dyDescent="0.35">
      <c r="A7180" t="s">
        <v>227</v>
      </c>
      <c r="B7180" t="s">
        <v>337</v>
      </c>
      <c r="C7180" s="2">
        <v>0.98370000000000002</v>
      </c>
      <c r="D7180" s="2">
        <v>1.6299999999999999E-2</v>
      </c>
      <c r="F7180">
        <v>601</v>
      </c>
    </row>
    <row r="7181" spans="1:6" x14ac:dyDescent="0.35">
      <c r="A7181" t="s">
        <v>228</v>
      </c>
      <c r="B7181" t="s">
        <v>228</v>
      </c>
      <c r="C7181" s="2">
        <v>0.97799999999999998</v>
      </c>
      <c r="D7181" s="2">
        <v>2.1299999999999999E-2</v>
      </c>
      <c r="E7181" s="2">
        <v>5.9999999999999995E-4</v>
      </c>
      <c r="F7181">
        <v>2474</v>
      </c>
    </row>
    <row r="7183" spans="1:6" x14ac:dyDescent="0.35">
      <c r="A7183" s="1" t="s">
        <v>1852</v>
      </c>
    </row>
    <row r="7184" spans="1:6" x14ac:dyDescent="0.35">
      <c r="A7184" t="s">
        <v>219</v>
      </c>
      <c r="B7184" t="s">
        <v>301</v>
      </c>
      <c r="C7184" t="s">
        <v>299</v>
      </c>
      <c r="D7184" t="s">
        <v>1846</v>
      </c>
      <c r="E7184" t="s">
        <v>1847</v>
      </c>
      <c r="F7184" t="s">
        <v>226</v>
      </c>
    </row>
    <row r="7185" spans="1:6" x14ac:dyDescent="0.35">
      <c r="A7185" t="s">
        <v>227</v>
      </c>
      <c r="B7185" t="s">
        <v>263</v>
      </c>
      <c r="C7185" s="2">
        <v>0.98419999999999996</v>
      </c>
      <c r="D7185" s="2">
        <v>1.5800000000000002E-2</v>
      </c>
      <c r="F7185">
        <v>589</v>
      </c>
    </row>
    <row r="7186" spans="1:6" x14ac:dyDescent="0.35">
      <c r="A7186" t="s">
        <v>227</v>
      </c>
      <c r="B7186" t="s">
        <v>262</v>
      </c>
      <c r="C7186" s="2">
        <v>0.97540000000000004</v>
      </c>
      <c r="D7186" s="2">
        <v>2.2800000000000001E-2</v>
      </c>
      <c r="E7186" s="2">
        <v>1.8E-3</v>
      </c>
      <c r="F7186">
        <v>1158</v>
      </c>
    </row>
    <row r="7187" spans="1:6" x14ac:dyDescent="0.35">
      <c r="A7187" t="s">
        <v>227</v>
      </c>
      <c r="B7187" t="s">
        <v>261</v>
      </c>
      <c r="C7187" s="2">
        <v>0.97709999999999997</v>
      </c>
      <c r="D7187" s="2">
        <v>2.29E-2</v>
      </c>
      <c r="F7187">
        <v>1061</v>
      </c>
    </row>
    <row r="7188" spans="1:6" x14ac:dyDescent="0.35">
      <c r="A7188" s="3" t="s">
        <v>227</v>
      </c>
      <c r="B7188" s="3" t="s">
        <v>232</v>
      </c>
      <c r="C7188" s="4">
        <v>1</v>
      </c>
      <c r="D7188" s="5"/>
      <c r="E7188" s="5"/>
      <c r="F7188" s="5" t="s">
        <v>434</v>
      </c>
    </row>
    <row r="7189" spans="1:6" x14ac:dyDescent="0.35">
      <c r="A7189" t="s">
        <v>228</v>
      </c>
      <c r="B7189" t="s">
        <v>228</v>
      </c>
      <c r="C7189" s="2">
        <v>0.97799999999999998</v>
      </c>
      <c r="D7189" s="2">
        <v>2.1299999999999999E-2</v>
      </c>
      <c r="E7189" s="2">
        <v>5.9999999999999995E-4</v>
      </c>
      <c r="F7189">
        <v>2810</v>
      </c>
    </row>
    <row r="7191" spans="1:6" x14ac:dyDescent="0.35">
      <c r="A7191" s="1" t="s">
        <v>1853</v>
      </c>
    </row>
    <row r="7192" spans="1:6" x14ac:dyDescent="0.35">
      <c r="A7192" t="s">
        <v>219</v>
      </c>
      <c r="B7192" t="s">
        <v>301</v>
      </c>
      <c r="C7192" t="s">
        <v>299</v>
      </c>
      <c r="D7192" t="s">
        <v>1846</v>
      </c>
      <c r="E7192" t="s">
        <v>1847</v>
      </c>
      <c r="F7192" t="s">
        <v>226</v>
      </c>
    </row>
    <row r="7193" spans="1:6" x14ac:dyDescent="0.35">
      <c r="A7193" t="s">
        <v>227</v>
      </c>
      <c r="B7193" t="s">
        <v>248</v>
      </c>
      <c r="C7193" s="2">
        <v>0.9849</v>
      </c>
      <c r="D7193" s="2">
        <v>1.5100000000000001E-2</v>
      </c>
      <c r="F7193">
        <v>795</v>
      </c>
    </row>
    <row r="7194" spans="1:6" x14ac:dyDescent="0.35">
      <c r="A7194" t="s">
        <v>227</v>
      </c>
      <c r="B7194" t="s">
        <v>249</v>
      </c>
      <c r="C7194" s="2">
        <v>0.96950000000000003</v>
      </c>
      <c r="D7194" s="2">
        <v>3.0499999999999999E-2</v>
      </c>
      <c r="F7194">
        <v>541</v>
      </c>
    </row>
    <row r="7195" spans="1:6" x14ac:dyDescent="0.35">
      <c r="A7195" t="s">
        <v>227</v>
      </c>
      <c r="B7195" t="s">
        <v>247</v>
      </c>
      <c r="C7195" s="2">
        <v>0.97750000000000004</v>
      </c>
      <c r="D7195" s="2">
        <v>2.12E-2</v>
      </c>
      <c r="E7195" s="2">
        <v>1.1999999999999999E-3</v>
      </c>
      <c r="F7195">
        <v>1474</v>
      </c>
    </row>
    <row r="7196" spans="1:6" x14ac:dyDescent="0.35">
      <c r="A7196" t="s">
        <v>228</v>
      </c>
      <c r="B7196" t="s">
        <v>228</v>
      </c>
      <c r="C7196" s="2">
        <v>0.97799999999999998</v>
      </c>
      <c r="D7196" s="2">
        <v>2.1299999999999999E-2</v>
      </c>
      <c r="E7196" s="2">
        <v>5.9999999999999995E-4</v>
      </c>
      <c r="F7196">
        <v>2810</v>
      </c>
    </row>
    <row r="7198" spans="1:6" x14ac:dyDescent="0.35">
      <c r="A7198" s="1" t="s">
        <v>1854</v>
      </c>
    </row>
    <row r="7199" spans="1:6" x14ac:dyDescent="0.35">
      <c r="A7199" t="s">
        <v>219</v>
      </c>
      <c r="B7199" t="s">
        <v>301</v>
      </c>
      <c r="C7199" t="s">
        <v>299</v>
      </c>
      <c r="D7199" t="s">
        <v>1846</v>
      </c>
      <c r="E7199" t="s">
        <v>1847</v>
      </c>
      <c r="F7199" t="s">
        <v>226</v>
      </c>
    </row>
    <row r="7200" spans="1:6" x14ac:dyDescent="0.35">
      <c r="A7200" t="s">
        <v>227</v>
      </c>
      <c r="B7200" t="s">
        <v>245</v>
      </c>
      <c r="C7200" s="2">
        <v>0.97709999999999997</v>
      </c>
      <c r="D7200" s="2">
        <v>2.07E-2</v>
      </c>
      <c r="E7200" s="2">
        <v>2.3E-3</v>
      </c>
      <c r="F7200">
        <v>783</v>
      </c>
    </row>
    <row r="7201" spans="1:6" x14ac:dyDescent="0.35">
      <c r="A7201" t="s">
        <v>227</v>
      </c>
      <c r="B7201" t="s">
        <v>244</v>
      </c>
      <c r="C7201" s="2">
        <v>0.97840000000000005</v>
      </c>
      <c r="D7201" s="2">
        <v>2.1600000000000001E-2</v>
      </c>
      <c r="F7201">
        <v>2027</v>
      </c>
    </row>
    <row r="7202" spans="1:6" x14ac:dyDescent="0.35">
      <c r="A7202" t="s">
        <v>228</v>
      </c>
      <c r="B7202" t="s">
        <v>228</v>
      </c>
      <c r="C7202" s="2">
        <v>0.97799999999999998</v>
      </c>
      <c r="D7202" s="2">
        <v>2.1299999999999999E-2</v>
      </c>
      <c r="E7202" s="2">
        <v>5.9999999999999995E-4</v>
      </c>
      <c r="F7202">
        <v>2810</v>
      </c>
    </row>
    <row r="7204" spans="1:6" x14ac:dyDescent="0.35">
      <c r="A7204" s="1" t="s">
        <v>1855</v>
      </c>
    </row>
    <row r="7205" spans="1:6" x14ac:dyDescent="0.35">
      <c r="A7205" t="s">
        <v>219</v>
      </c>
      <c r="B7205" t="s">
        <v>301</v>
      </c>
      <c r="C7205" t="s">
        <v>299</v>
      </c>
      <c r="D7205" t="s">
        <v>1846</v>
      </c>
      <c r="E7205" t="s">
        <v>1847</v>
      </c>
      <c r="F7205" t="s">
        <v>226</v>
      </c>
    </row>
    <row r="7206" spans="1:6" x14ac:dyDescent="0.35">
      <c r="A7206" t="s">
        <v>227</v>
      </c>
      <c r="B7206" t="s">
        <v>259</v>
      </c>
      <c r="C7206" s="2">
        <v>1</v>
      </c>
      <c r="F7206">
        <v>69</v>
      </c>
    </row>
    <row r="7207" spans="1:6" x14ac:dyDescent="0.35">
      <c r="A7207" t="s">
        <v>227</v>
      </c>
      <c r="B7207" t="s">
        <v>257</v>
      </c>
      <c r="C7207" s="2">
        <v>0.97030000000000005</v>
      </c>
      <c r="D7207" s="2">
        <v>2.5899999999999999E-2</v>
      </c>
      <c r="E7207" s="2">
        <v>3.8E-3</v>
      </c>
      <c r="F7207">
        <v>405</v>
      </c>
    </row>
    <row r="7208" spans="1:6" x14ac:dyDescent="0.35">
      <c r="A7208" t="s">
        <v>227</v>
      </c>
      <c r="B7208" t="s">
        <v>256</v>
      </c>
      <c r="C7208" s="2">
        <v>0.97699999999999998</v>
      </c>
      <c r="D7208" s="2">
        <v>2.3E-2</v>
      </c>
      <c r="F7208">
        <v>1803</v>
      </c>
    </row>
    <row r="7209" spans="1:6" x14ac:dyDescent="0.35">
      <c r="A7209" s="3" t="s">
        <v>227</v>
      </c>
      <c r="B7209" s="3" t="s">
        <v>232</v>
      </c>
      <c r="C7209" s="4">
        <v>1</v>
      </c>
      <c r="D7209" s="5"/>
      <c r="E7209" s="5"/>
      <c r="F7209" s="5" t="s">
        <v>307</v>
      </c>
    </row>
    <row r="7210" spans="1:6" x14ac:dyDescent="0.35">
      <c r="A7210" t="s">
        <v>227</v>
      </c>
      <c r="B7210" t="s">
        <v>258</v>
      </c>
      <c r="C7210" s="2">
        <v>0.98870000000000002</v>
      </c>
      <c r="D7210" s="2">
        <v>1.1299999999999999E-2</v>
      </c>
      <c r="F7210">
        <v>522</v>
      </c>
    </row>
    <row r="7211" spans="1:6" x14ac:dyDescent="0.35">
      <c r="A7211" t="s">
        <v>228</v>
      </c>
      <c r="B7211" t="s">
        <v>228</v>
      </c>
      <c r="C7211" s="2">
        <v>0.97799999999999998</v>
      </c>
      <c r="D7211" s="2">
        <v>2.1299999999999999E-2</v>
      </c>
      <c r="E7211" s="2">
        <v>5.9999999999999995E-4</v>
      </c>
      <c r="F7211">
        <v>2810</v>
      </c>
    </row>
    <row r="7213" spans="1:6" x14ac:dyDescent="0.35">
      <c r="A7213" s="1" t="s">
        <v>1856</v>
      </c>
    </row>
    <row r="7214" spans="1:6" x14ac:dyDescent="0.35">
      <c r="A7214" t="s">
        <v>219</v>
      </c>
      <c r="B7214" t="s">
        <v>301</v>
      </c>
      <c r="C7214" t="s">
        <v>299</v>
      </c>
      <c r="D7214" t="s">
        <v>1846</v>
      </c>
      <c r="E7214" t="s">
        <v>1847</v>
      </c>
      <c r="F7214" t="s">
        <v>226</v>
      </c>
    </row>
    <row r="7215" spans="1:6" x14ac:dyDescent="0.35">
      <c r="A7215" t="s">
        <v>227</v>
      </c>
      <c r="B7215" t="s">
        <v>343</v>
      </c>
      <c r="C7215" s="2">
        <v>0.97030000000000005</v>
      </c>
      <c r="D7215" s="2">
        <v>2.5899999999999999E-2</v>
      </c>
      <c r="E7215" s="2">
        <v>3.8E-3</v>
      </c>
      <c r="F7215">
        <v>405</v>
      </c>
    </row>
    <row r="7216" spans="1:6" x14ac:dyDescent="0.35">
      <c r="A7216" t="s">
        <v>227</v>
      </c>
      <c r="B7216" t="s">
        <v>344</v>
      </c>
      <c r="C7216" s="2">
        <v>0.97960000000000003</v>
      </c>
      <c r="D7216" s="2">
        <v>2.0400000000000001E-2</v>
      </c>
      <c r="F7216">
        <v>2405</v>
      </c>
    </row>
    <row r="7217" spans="1:6" x14ac:dyDescent="0.35">
      <c r="A7217" t="s">
        <v>228</v>
      </c>
      <c r="B7217" t="s">
        <v>228</v>
      </c>
      <c r="C7217" s="2">
        <v>0.97799999999999998</v>
      </c>
      <c r="D7217" s="2">
        <v>2.1299999999999999E-2</v>
      </c>
      <c r="E7217" s="2">
        <v>5.9999999999999995E-4</v>
      </c>
      <c r="F7217">
        <v>2810</v>
      </c>
    </row>
    <row r="7219" spans="1:6" x14ac:dyDescent="0.35">
      <c r="A7219" s="1" t="s">
        <v>1857</v>
      </c>
    </row>
    <row r="7220" spans="1:6" x14ac:dyDescent="0.35">
      <c r="A7220" t="s">
        <v>219</v>
      </c>
      <c r="B7220" t="s">
        <v>301</v>
      </c>
      <c r="C7220" t="s">
        <v>299</v>
      </c>
      <c r="D7220" t="s">
        <v>1846</v>
      </c>
      <c r="E7220" t="s">
        <v>1847</v>
      </c>
      <c r="F7220" t="s">
        <v>226</v>
      </c>
    </row>
    <row r="7221" spans="1:6" x14ac:dyDescent="0.35">
      <c r="A7221" t="s">
        <v>227</v>
      </c>
      <c r="B7221" t="s">
        <v>346</v>
      </c>
      <c r="C7221" s="2">
        <v>0.97819999999999996</v>
      </c>
      <c r="D7221" s="2">
        <v>2.1100000000000001E-2</v>
      </c>
      <c r="E7221" s="2">
        <v>6.9999999999999999E-4</v>
      </c>
      <c r="F7221">
        <v>1461</v>
      </c>
    </row>
    <row r="7222" spans="1:6" x14ac:dyDescent="0.35">
      <c r="A7222" t="s">
        <v>227</v>
      </c>
      <c r="B7222" t="s">
        <v>347</v>
      </c>
      <c r="C7222" s="2">
        <v>0.97770000000000001</v>
      </c>
      <c r="D7222" s="2">
        <v>2.23E-2</v>
      </c>
      <c r="F7222">
        <v>584</v>
      </c>
    </row>
    <row r="7223" spans="1:6" x14ac:dyDescent="0.35">
      <c r="A7223" t="s">
        <v>227</v>
      </c>
      <c r="B7223" t="s">
        <v>348</v>
      </c>
      <c r="C7223" s="2">
        <v>0.97670000000000001</v>
      </c>
      <c r="D7223" s="2">
        <v>2.3300000000000001E-2</v>
      </c>
      <c r="F7223">
        <v>765</v>
      </c>
    </row>
    <row r="7224" spans="1:6" x14ac:dyDescent="0.35">
      <c r="A7224" t="s">
        <v>228</v>
      </c>
      <c r="B7224" t="s">
        <v>228</v>
      </c>
      <c r="C7224" s="2">
        <v>0.97799999999999998</v>
      </c>
      <c r="D7224" s="2">
        <v>2.1299999999999999E-2</v>
      </c>
      <c r="E7224" s="2">
        <v>5.9999999999999995E-4</v>
      </c>
      <c r="F7224">
        <v>2810</v>
      </c>
    </row>
    <row r="7226" spans="1:6" x14ac:dyDescent="0.35">
      <c r="A7226" s="1" t="s">
        <v>1858</v>
      </c>
    </row>
    <row r="7227" spans="1:6" x14ac:dyDescent="0.35">
      <c r="A7227" t="s">
        <v>219</v>
      </c>
      <c r="B7227" t="s">
        <v>301</v>
      </c>
      <c r="C7227" t="s">
        <v>299</v>
      </c>
      <c r="D7227" t="s">
        <v>1846</v>
      </c>
      <c r="E7227" t="s">
        <v>1847</v>
      </c>
      <c r="F7227" t="s">
        <v>226</v>
      </c>
    </row>
    <row r="7228" spans="1:6" x14ac:dyDescent="0.35">
      <c r="A7228" t="s">
        <v>227</v>
      </c>
      <c r="B7228" t="s">
        <v>251</v>
      </c>
      <c r="C7228" s="2">
        <v>0.97840000000000005</v>
      </c>
      <c r="D7228" s="2">
        <v>2.1600000000000001E-2</v>
      </c>
      <c r="F7228">
        <v>2027</v>
      </c>
    </row>
    <row r="7229" spans="1:6" x14ac:dyDescent="0.35">
      <c r="A7229" t="s">
        <v>227</v>
      </c>
      <c r="B7229" t="s">
        <v>252</v>
      </c>
      <c r="C7229" s="2">
        <v>0.97540000000000004</v>
      </c>
      <c r="D7229" s="2">
        <v>2.46E-2</v>
      </c>
      <c r="F7229">
        <v>621</v>
      </c>
    </row>
    <row r="7230" spans="1:6" x14ac:dyDescent="0.35">
      <c r="A7230" t="s">
        <v>227</v>
      </c>
      <c r="B7230" t="s">
        <v>253</v>
      </c>
      <c r="C7230" s="2">
        <v>0.98340000000000005</v>
      </c>
      <c r="D7230" s="2">
        <v>4.3E-3</v>
      </c>
      <c r="E7230" s="2">
        <v>1.23E-2</v>
      </c>
      <c r="F7230">
        <v>153</v>
      </c>
    </row>
    <row r="7231" spans="1:6" x14ac:dyDescent="0.35">
      <c r="A7231" s="3" t="s">
        <v>227</v>
      </c>
      <c r="B7231" s="3" t="s">
        <v>254</v>
      </c>
      <c r="C7231" s="4">
        <v>1</v>
      </c>
      <c r="D7231" s="5"/>
      <c r="E7231" s="5"/>
      <c r="F7231" s="5" t="s">
        <v>515</v>
      </c>
    </row>
    <row r="7232" spans="1:6" x14ac:dyDescent="0.35">
      <c r="A7232" t="s">
        <v>228</v>
      </c>
      <c r="B7232" t="s">
        <v>228</v>
      </c>
      <c r="C7232" s="2">
        <v>0.97799999999999998</v>
      </c>
      <c r="D7232" s="2">
        <v>2.1299999999999999E-2</v>
      </c>
      <c r="E7232" s="2">
        <v>5.9999999999999995E-4</v>
      </c>
      <c r="F7232">
        <v>2810</v>
      </c>
    </row>
    <row r="7234" spans="1:5" x14ac:dyDescent="0.35">
      <c r="A7234" s="1" t="s">
        <v>1859</v>
      </c>
    </row>
    <row r="7235" spans="1:5" x14ac:dyDescent="0.35">
      <c r="A7235" t="s">
        <v>219</v>
      </c>
      <c r="B7235" t="s">
        <v>299</v>
      </c>
      <c r="C7235" t="s">
        <v>298</v>
      </c>
      <c r="D7235" t="s">
        <v>226</v>
      </c>
    </row>
    <row r="7236" spans="1:5" x14ac:dyDescent="0.35">
      <c r="A7236" t="s">
        <v>227</v>
      </c>
      <c r="B7236" s="2">
        <v>0.98370000000000002</v>
      </c>
      <c r="C7236" s="2">
        <v>1.6299999999999999E-2</v>
      </c>
      <c r="D7236">
        <v>2810</v>
      </c>
    </row>
    <row r="7237" spans="1:5" x14ac:dyDescent="0.35">
      <c r="A7237" t="s">
        <v>228</v>
      </c>
      <c r="B7237" s="2">
        <v>0.98370000000000002</v>
      </c>
      <c r="C7237" s="2">
        <v>1.6299999999999999E-2</v>
      </c>
      <c r="D7237">
        <v>2810</v>
      </c>
    </row>
    <row r="7239" spans="1:5" x14ac:dyDescent="0.35">
      <c r="A7239" s="1" t="s">
        <v>1860</v>
      </c>
    </row>
    <row r="7240" spans="1:5" x14ac:dyDescent="0.35">
      <c r="A7240" t="s">
        <v>219</v>
      </c>
      <c r="B7240" t="s">
        <v>301</v>
      </c>
      <c r="C7240" t="s">
        <v>299</v>
      </c>
      <c r="D7240" t="s">
        <v>298</v>
      </c>
      <c r="E7240" t="s">
        <v>226</v>
      </c>
    </row>
    <row r="7241" spans="1:5" x14ac:dyDescent="0.35">
      <c r="A7241" t="s">
        <v>227</v>
      </c>
      <c r="B7241" t="s">
        <v>238</v>
      </c>
      <c r="C7241" s="2">
        <v>0.97670000000000001</v>
      </c>
      <c r="D7241" s="2">
        <v>2.3300000000000001E-2</v>
      </c>
      <c r="E7241">
        <v>1003</v>
      </c>
    </row>
    <row r="7242" spans="1:5" x14ac:dyDescent="0.35">
      <c r="A7242" t="s">
        <v>227</v>
      </c>
      <c r="B7242" t="s">
        <v>237</v>
      </c>
      <c r="C7242" s="2">
        <v>0.98780000000000001</v>
      </c>
      <c r="D7242" s="2">
        <v>1.2200000000000001E-2</v>
      </c>
      <c r="E7242">
        <v>1807</v>
      </c>
    </row>
    <row r="7243" spans="1:5" x14ac:dyDescent="0.35">
      <c r="A7243" t="s">
        <v>228</v>
      </c>
      <c r="B7243" t="s">
        <v>228</v>
      </c>
      <c r="C7243" s="2">
        <v>0.98370000000000002</v>
      </c>
      <c r="D7243" s="2">
        <v>1.6299999999999999E-2</v>
      </c>
      <c r="E7243">
        <v>2810</v>
      </c>
    </row>
    <row r="7245" spans="1:5" x14ac:dyDescent="0.35">
      <c r="A7245" s="1" t="s">
        <v>1861</v>
      </c>
    </row>
    <row r="7246" spans="1:5" x14ac:dyDescent="0.35">
      <c r="A7246" t="s">
        <v>219</v>
      </c>
      <c r="B7246" t="s">
        <v>301</v>
      </c>
      <c r="C7246" t="s">
        <v>299</v>
      </c>
      <c r="D7246" t="s">
        <v>298</v>
      </c>
      <c r="E7246" t="s">
        <v>226</v>
      </c>
    </row>
    <row r="7247" spans="1:5" x14ac:dyDescent="0.35">
      <c r="A7247" t="s">
        <v>227</v>
      </c>
      <c r="B7247" t="s">
        <v>235</v>
      </c>
      <c r="C7247" s="2">
        <v>0.97989999999999999</v>
      </c>
      <c r="D7247" s="2">
        <v>2.01E-2</v>
      </c>
      <c r="E7247">
        <v>992</v>
      </c>
    </row>
    <row r="7248" spans="1:5" x14ac:dyDescent="0.35">
      <c r="A7248" t="s">
        <v>227</v>
      </c>
      <c r="B7248" t="s">
        <v>234</v>
      </c>
      <c r="C7248" s="2">
        <v>0.98529999999999995</v>
      </c>
      <c r="D7248" s="2">
        <v>1.47E-2</v>
      </c>
      <c r="E7248">
        <v>1818</v>
      </c>
    </row>
    <row r="7249" spans="1:5" x14ac:dyDescent="0.35">
      <c r="A7249" t="s">
        <v>228</v>
      </c>
      <c r="B7249" t="s">
        <v>228</v>
      </c>
      <c r="C7249" s="2">
        <v>0.98370000000000002</v>
      </c>
      <c r="D7249" s="2">
        <v>1.6299999999999999E-2</v>
      </c>
      <c r="E7249">
        <v>2810</v>
      </c>
    </row>
    <row r="7251" spans="1:5" x14ac:dyDescent="0.35">
      <c r="A7251" s="1" t="s">
        <v>1862</v>
      </c>
    </row>
    <row r="7252" spans="1:5" x14ac:dyDescent="0.35">
      <c r="A7252" t="s">
        <v>219</v>
      </c>
      <c r="B7252" t="s">
        <v>301</v>
      </c>
      <c r="C7252" t="s">
        <v>299</v>
      </c>
      <c r="D7252" t="s">
        <v>298</v>
      </c>
      <c r="E7252" t="s">
        <v>226</v>
      </c>
    </row>
    <row r="7253" spans="1:5" x14ac:dyDescent="0.35">
      <c r="A7253" t="s">
        <v>227</v>
      </c>
      <c r="B7253" t="s">
        <v>240</v>
      </c>
      <c r="C7253" s="2">
        <v>0.98699999999999999</v>
      </c>
      <c r="D7253" s="2">
        <v>1.2999999999999999E-2</v>
      </c>
      <c r="E7253">
        <v>1754</v>
      </c>
    </row>
    <row r="7254" spans="1:5" x14ac:dyDescent="0.35">
      <c r="A7254" t="s">
        <v>227</v>
      </c>
      <c r="B7254" t="s">
        <v>241</v>
      </c>
      <c r="C7254" s="2">
        <v>0.9849</v>
      </c>
      <c r="D7254" s="2">
        <v>1.5100000000000001E-2</v>
      </c>
      <c r="E7254">
        <v>890</v>
      </c>
    </row>
    <row r="7255" spans="1:5" x14ac:dyDescent="0.35">
      <c r="A7255" t="s">
        <v>227</v>
      </c>
      <c r="B7255" t="s">
        <v>242</v>
      </c>
      <c r="C7255" s="2">
        <v>0.94710000000000005</v>
      </c>
      <c r="D7255" s="2">
        <v>5.2900000000000003E-2</v>
      </c>
      <c r="E7255">
        <v>166</v>
      </c>
    </row>
    <row r="7256" spans="1:5" x14ac:dyDescent="0.35">
      <c r="A7256" t="s">
        <v>228</v>
      </c>
      <c r="B7256" t="s">
        <v>228</v>
      </c>
      <c r="C7256" s="2">
        <v>0.98370000000000002</v>
      </c>
      <c r="D7256" s="2">
        <v>1.6299999999999999E-2</v>
      </c>
      <c r="E7256">
        <v>2810</v>
      </c>
    </row>
    <row r="7258" spans="1:5" x14ac:dyDescent="0.35">
      <c r="A7258" s="1" t="s">
        <v>1863</v>
      </c>
    </row>
    <row r="7259" spans="1:5" x14ac:dyDescent="0.35">
      <c r="A7259" t="s">
        <v>219</v>
      </c>
      <c r="B7259" t="s">
        <v>301</v>
      </c>
      <c r="C7259" t="s">
        <v>299</v>
      </c>
      <c r="D7259" t="s">
        <v>298</v>
      </c>
      <c r="E7259" t="s">
        <v>226</v>
      </c>
    </row>
    <row r="7260" spans="1:5" x14ac:dyDescent="0.35">
      <c r="A7260" t="s">
        <v>227</v>
      </c>
      <c r="B7260" t="s">
        <v>334</v>
      </c>
      <c r="C7260" s="2">
        <v>0.98150000000000004</v>
      </c>
      <c r="D7260" s="2">
        <v>1.8499999999999999E-2</v>
      </c>
      <c r="E7260">
        <v>624</v>
      </c>
    </row>
    <row r="7261" spans="1:5" x14ac:dyDescent="0.35">
      <c r="A7261" t="s">
        <v>227</v>
      </c>
      <c r="B7261" t="s">
        <v>335</v>
      </c>
      <c r="C7261" s="2">
        <v>0.99360000000000004</v>
      </c>
      <c r="D7261" s="2">
        <v>6.4000000000000003E-3</v>
      </c>
      <c r="E7261">
        <v>628</v>
      </c>
    </row>
    <row r="7262" spans="1:5" x14ac:dyDescent="0.35">
      <c r="A7262" t="s">
        <v>227</v>
      </c>
      <c r="B7262" t="s">
        <v>336</v>
      </c>
      <c r="C7262" s="2">
        <v>0.98340000000000005</v>
      </c>
      <c r="D7262" s="2">
        <v>1.66E-2</v>
      </c>
      <c r="E7262">
        <v>621</v>
      </c>
    </row>
    <row r="7263" spans="1:5" x14ac:dyDescent="0.35">
      <c r="A7263" t="s">
        <v>227</v>
      </c>
      <c r="B7263" t="s">
        <v>337</v>
      </c>
      <c r="C7263" s="2">
        <v>0.97509999999999997</v>
      </c>
      <c r="D7263" s="2">
        <v>2.4899999999999999E-2</v>
      </c>
      <c r="E7263">
        <v>601</v>
      </c>
    </row>
    <row r="7264" spans="1:5" x14ac:dyDescent="0.35">
      <c r="A7264" t="s">
        <v>228</v>
      </c>
      <c r="B7264" t="s">
        <v>228</v>
      </c>
      <c r="C7264" s="2">
        <v>0.98370000000000002</v>
      </c>
      <c r="D7264" s="2">
        <v>1.6299999999999999E-2</v>
      </c>
      <c r="E7264">
        <v>2474</v>
      </c>
    </row>
    <row r="7266" spans="1:5" x14ac:dyDescent="0.35">
      <c r="A7266" s="1" t="s">
        <v>1864</v>
      </c>
    </row>
    <row r="7267" spans="1:5" x14ac:dyDescent="0.35">
      <c r="A7267" t="s">
        <v>219</v>
      </c>
      <c r="B7267" t="s">
        <v>301</v>
      </c>
      <c r="C7267" t="s">
        <v>299</v>
      </c>
      <c r="D7267" t="s">
        <v>298</v>
      </c>
      <c r="E7267" t="s">
        <v>226</v>
      </c>
    </row>
    <row r="7268" spans="1:5" x14ac:dyDescent="0.35">
      <c r="A7268" t="s">
        <v>227</v>
      </c>
      <c r="B7268" t="s">
        <v>263</v>
      </c>
      <c r="C7268" s="2">
        <v>0.98809999999999998</v>
      </c>
      <c r="D7268" s="2">
        <v>1.1900000000000001E-2</v>
      </c>
      <c r="E7268">
        <v>589</v>
      </c>
    </row>
    <row r="7269" spans="1:5" x14ac:dyDescent="0.35">
      <c r="A7269" t="s">
        <v>227</v>
      </c>
      <c r="B7269" t="s">
        <v>262</v>
      </c>
      <c r="C7269" s="2">
        <v>0.97709999999999997</v>
      </c>
      <c r="D7269" s="2">
        <v>2.29E-2</v>
      </c>
      <c r="E7269">
        <v>1158</v>
      </c>
    </row>
    <row r="7270" spans="1:5" x14ac:dyDescent="0.35">
      <c r="A7270" t="s">
        <v>227</v>
      </c>
      <c r="B7270" t="s">
        <v>261</v>
      </c>
      <c r="C7270" s="2">
        <v>0.98729999999999996</v>
      </c>
      <c r="D7270" s="2">
        <v>1.2699999999999999E-2</v>
      </c>
      <c r="E7270">
        <v>1061</v>
      </c>
    </row>
    <row r="7271" spans="1:5" x14ac:dyDescent="0.35">
      <c r="A7271" s="3" t="s">
        <v>227</v>
      </c>
      <c r="B7271" s="3" t="s">
        <v>232</v>
      </c>
      <c r="C7271" s="4">
        <v>1</v>
      </c>
      <c r="D7271" s="5"/>
      <c r="E7271" s="5" t="s">
        <v>434</v>
      </c>
    </row>
    <row r="7272" spans="1:5" x14ac:dyDescent="0.35">
      <c r="A7272" t="s">
        <v>228</v>
      </c>
      <c r="B7272" t="s">
        <v>228</v>
      </c>
      <c r="C7272" s="2">
        <v>0.98370000000000002</v>
      </c>
      <c r="D7272" s="2">
        <v>1.6299999999999999E-2</v>
      </c>
      <c r="E7272">
        <v>2810</v>
      </c>
    </row>
    <row r="7274" spans="1:5" x14ac:dyDescent="0.35">
      <c r="A7274" s="1" t="s">
        <v>1865</v>
      </c>
    </row>
    <row r="7275" spans="1:5" x14ac:dyDescent="0.35">
      <c r="A7275" t="s">
        <v>219</v>
      </c>
      <c r="B7275" t="s">
        <v>301</v>
      </c>
      <c r="C7275" t="s">
        <v>299</v>
      </c>
      <c r="D7275" t="s">
        <v>298</v>
      </c>
      <c r="E7275" t="s">
        <v>226</v>
      </c>
    </row>
    <row r="7276" spans="1:5" x14ac:dyDescent="0.35">
      <c r="A7276" t="s">
        <v>227</v>
      </c>
      <c r="B7276" t="s">
        <v>248</v>
      </c>
      <c r="C7276" s="2">
        <v>0.98319999999999996</v>
      </c>
      <c r="D7276" s="2">
        <v>1.6799999999999999E-2</v>
      </c>
      <c r="E7276">
        <v>795</v>
      </c>
    </row>
    <row r="7277" spans="1:5" x14ac:dyDescent="0.35">
      <c r="A7277" t="s">
        <v>227</v>
      </c>
      <c r="B7277" t="s">
        <v>249</v>
      </c>
      <c r="C7277" s="2">
        <v>0.97509999999999997</v>
      </c>
      <c r="D7277" s="2">
        <v>2.4899999999999999E-2</v>
      </c>
      <c r="E7277">
        <v>541</v>
      </c>
    </row>
    <row r="7278" spans="1:5" x14ac:dyDescent="0.35">
      <c r="A7278" t="s">
        <v>227</v>
      </c>
      <c r="B7278" t="s">
        <v>247</v>
      </c>
      <c r="C7278" s="2">
        <v>0.98709999999999998</v>
      </c>
      <c r="D7278" s="2">
        <v>1.29E-2</v>
      </c>
      <c r="E7278">
        <v>1474</v>
      </c>
    </row>
    <row r="7279" spans="1:5" x14ac:dyDescent="0.35">
      <c r="A7279" t="s">
        <v>228</v>
      </c>
      <c r="B7279" t="s">
        <v>228</v>
      </c>
      <c r="C7279" s="2">
        <v>0.98370000000000002</v>
      </c>
      <c r="D7279" s="2">
        <v>1.6299999999999999E-2</v>
      </c>
      <c r="E7279">
        <v>2810</v>
      </c>
    </row>
    <row r="7281" spans="1:5" x14ac:dyDescent="0.35">
      <c r="A7281" s="1" t="s">
        <v>1866</v>
      </c>
    </row>
    <row r="7282" spans="1:5" x14ac:dyDescent="0.35">
      <c r="A7282" t="s">
        <v>219</v>
      </c>
      <c r="B7282" t="s">
        <v>301</v>
      </c>
      <c r="C7282" t="s">
        <v>299</v>
      </c>
      <c r="D7282" t="s">
        <v>298</v>
      </c>
      <c r="E7282" t="s">
        <v>226</v>
      </c>
    </row>
    <row r="7283" spans="1:5" x14ac:dyDescent="0.35">
      <c r="A7283" t="s">
        <v>227</v>
      </c>
      <c r="B7283" t="s">
        <v>245</v>
      </c>
      <c r="C7283" s="2">
        <v>0.97260000000000002</v>
      </c>
      <c r="D7283" s="2">
        <v>2.7400000000000001E-2</v>
      </c>
      <c r="E7283">
        <v>783</v>
      </c>
    </row>
    <row r="7284" spans="1:5" x14ac:dyDescent="0.35">
      <c r="A7284" t="s">
        <v>227</v>
      </c>
      <c r="B7284" t="s">
        <v>244</v>
      </c>
      <c r="C7284" s="2">
        <v>0.98809999999999998</v>
      </c>
      <c r="D7284" s="2">
        <v>1.1900000000000001E-2</v>
      </c>
      <c r="E7284">
        <v>2027</v>
      </c>
    </row>
    <row r="7285" spans="1:5" x14ac:dyDescent="0.35">
      <c r="A7285" t="s">
        <v>228</v>
      </c>
      <c r="B7285" t="s">
        <v>228</v>
      </c>
      <c r="C7285" s="2">
        <v>0.98370000000000002</v>
      </c>
      <c r="D7285" s="2">
        <v>1.6299999999999999E-2</v>
      </c>
      <c r="E7285">
        <v>2810</v>
      </c>
    </row>
    <row r="7287" spans="1:5" x14ac:dyDescent="0.35">
      <c r="A7287" s="1" t="s">
        <v>1867</v>
      </c>
    </row>
    <row r="7288" spans="1:5" x14ac:dyDescent="0.35">
      <c r="A7288" t="s">
        <v>219</v>
      </c>
      <c r="B7288" t="s">
        <v>301</v>
      </c>
      <c r="C7288" t="s">
        <v>299</v>
      </c>
      <c r="D7288" t="s">
        <v>298</v>
      </c>
      <c r="E7288" t="s">
        <v>226</v>
      </c>
    </row>
    <row r="7289" spans="1:5" x14ac:dyDescent="0.35">
      <c r="A7289" t="s">
        <v>227</v>
      </c>
      <c r="B7289" t="s">
        <v>259</v>
      </c>
      <c r="C7289" s="2">
        <v>0.98409999999999997</v>
      </c>
      <c r="D7289" s="2">
        <v>1.5900000000000001E-2</v>
      </c>
      <c r="E7289">
        <v>69</v>
      </c>
    </row>
    <row r="7290" spans="1:5" x14ac:dyDescent="0.35">
      <c r="A7290" t="s">
        <v>227</v>
      </c>
      <c r="B7290" t="s">
        <v>257</v>
      </c>
      <c r="C7290" s="2">
        <v>0.96099999999999997</v>
      </c>
      <c r="D7290" s="2">
        <v>3.9E-2</v>
      </c>
      <c r="E7290">
        <v>405</v>
      </c>
    </row>
    <row r="7291" spans="1:5" x14ac:dyDescent="0.35">
      <c r="A7291" t="s">
        <v>227</v>
      </c>
      <c r="B7291" t="s">
        <v>256</v>
      </c>
      <c r="C7291" s="2">
        <v>0.98809999999999998</v>
      </c>
      <c r="D7291" s="2">
        <v>1.1900000000000001E-2</v>
      </c>
      <c r="E7291">
        <v>1803</v>
      </c>
    </row>
    <row r="7292" spans="1:5" x14ac:dyDescent="0.35">
      <c r="A7292" s="3" t="s">
        <v>227</v>
      </c>
      <c r="B7292" s="3" t="s">
        <v>232</v>
      </c>
      <c r="C7292" s="4">
        <v>1</v>
      </c>
      <c r="D7292" s="5"/>
      <c r="E7292" s="5" t="s">
        <v>307</v>
      </c>
    </row>
    <row r="7293" spans="1:5" x14ac:dyDescent="0.35">
      <c r="A7293" t="s">
        <v>227</v>
      </c>
      <c r="B7293" t="s">
        <v>258</v>
      </c>
      <c r="C7293" s="2">
        <v>0.99</v>
      </c>
      <c r="D7293" s="2">
        <v>0.01</v>
      </c>
      <c r="E7293">
        <v>522</v>
      </c>
    </row>
    <row r="7294" spans="1:5" x14ac:dyDescent="0.35">
      <c r="A7294" t="s">
        <v>228</v>
      </c>
      <c r="B7294" t="s">
        <v>228</v>
      </c>
      <c r="C7294" s="2">
        <v>0.98370000000000002</v>
      </c>
      <c r="D7294" s="2">
        <v>1.6299999999999999E-2</v>
      </c>
      <c r="E7294">
        <v>2810</v>
      </c>
    </row>
    <row r="7296" spans="1:5" x14ac:dyDescent="0.35">
      <c r="A7296" s="1" t="s">
        <v>1868</v>
      </c>
    </row>
    <row r="7297" spans="1:5" x14ac:dyDescent="0.35">
      <c r="A7297" t="s">
        <v>219</v>
      </c>
      <c r="B7297" t="s">
        <v>301</v>
      </c>
      <c r="C7297" t="s">
        <v>299</v>
      </c>
      <c r="D7297" t="s">
        <v>298</v>
      </c>
      <c r="E7297" t="s">
        <v>226</v>
      </c>
    </row>
    <row r="7298" spans="1:5" x14ac:dyDescent="0.35">
      <c r="A7298" t="s">
        <v>227</v>
      </c>
      <c r="B7298" t="s">
        <v>343</v>
      </c>
      <c r="C7298" s="2">
        <v>0.96099999999999997</v>
      </c>
      <c r="D7298" s="2">
        <v>3.9E-2</v>
      </c>
      <c r="E7298">
        <v>405</v>
      </c>
    </row>
    <row r="7299" spans="1:5" x14ac:dyDescent="0.35">
      <c r="A7299" t="s">
        <v>227</v>
      </c>
      <c r="B7299" t="s">
        <v>344</v>
      </c>
      <c r="C7299" s="2">
        <v>0.98839999999999995</v>
      </c>
      <c r="D7299" s="2">
        <v>1.1599999999999999E-2</v>
      </c>
      <c r="E7299">
        <v>2405</v>
      </c>
    </row>
    <row r="7300" spans="1:5" x14ac:dyDescent="0.35">
      <c r="A7300" t="s">
        <v>228</v>
      </c>
      <c r="B7300" t="s">
        <v>228</v>
      </c>
      <c r="C7300" s="2">
        <v>0.98370000000000002</v>
      </c>
      <c r="D7300" s="2">
        <v>1.6299999999999999E-2</v>
      </c>
      <c r="E7300">
        <v>2810</v>
      </c>
    </row>
    <row r="7302" spans="1:5" x14ac:dyDescent="0.35">
      <c r="A7302" s="1" t="s">
        <v>1869</v>
      </c>
    </row>
    <row r="7303" spans="1:5" x14ac:dyDescent="0.35">
      <c r="A7303" t="s">
        <v>219</v>
      </c>
      <c r="B7303" t="s">
        <v>301</v>
      </c>
      <c r="C7303" t="s">
        <v>299</v>
      </c>
      <c r="D7303" t="s">
        <v>298</v>
      </c>
      <c r="E7303" t="s">
        <v>226</v>
      </c>
    </row>
    <row r="7304" spans="1:5" x14ac:dyDescent="0.35">
      <c r="A7304" t="s">
        <v>227</v>
      </c>
      <c r="B7304" t="s">
        <v>346</v>
      </c>
      <c r="C7304" s="2">
        <v>0.98419999999999996</v>
      </c>
      <c r="D7304" s="2">
        <v>1.5800000000000002E-2</v>
      </c>
      <c r="E7304">
        <v>1461</v>
      </c>
    </row>
    <row r="7305" spans="1:5" x14ac:dyDescent="0.35">
      <c r="A7305" t="s">
        <v>227</v>
      </c>
      <c r="B7305" t="s">
        <v>347</v>
      </c>
      <c r="C7305" s="2">
        <v>0.98060000000000003</v>
      </c>
      <c r="D7305" s="2">
        <v>1.9400000000000001E-2</v>
      </c>
      <c r="E7305">
        <v>584</v>
      </c>
    </row>
    <row r="7306" spans="1:5" x14ac:dyDescent="0.35">
      <c r="A7306" t="s">
        <v>227</v>
      </c>
      <c r="B7306" t="s">
        <v>348</v>
      </c>
      <c r="C7306" s="2">
        <v>0.98040000000000005</v>
      </c>
      <c r="D7306" s="2">
        <v>1.9599999999999999E-2</v>
      </c>
      <c r="E7306">
        <v>765</v>
      </c>
    </row>
    <row r="7307" spans="1:5" x14ac:dyDescent="0.35">
      <c r="A7307" t="s">
        <v>228</v>
      </c>
      <c r="B7307" t="s">
        <v>228</v>
      </c>
      <c r="C7307" s="2">
        <v>0.98370000000000002</v>
      </c>
      <c r="D7307" s="2">
        <v>1.6299999999999999E-2</v>
      </c>
      <c r="E7307">
        <v>2810</v>
      </c>
    </row>
    <row r="7309" spans="1:5" x14ac:dyDescent="0.35">
      <c r="A7309" s="1" t="s">
        <v>1870</v>
      </c>
    </row>
    <row r="7310" spans="1:5" x14ac:dyDescent="0.35">
      <c r="A7310" t="s">
        <v>219</v>
      </c>
      <c r="B7310" t="s">
        <v>301</v>
      </c>
      <c r="C7310" t="s">
        <v>299</v>
      </c>
      <c r="D7310" t="s">
        <v>298</v>
      </c>
      <c r="E7310" t="s">
        <v>226</v>
      </c>
    </row>
    <row r="7311" spans="1:5" x14ac:dyDescent="0.35">
      <c r="A7311" t="s">
        <v>227</v>
      </c>
      <c r="B7311" t="s">
        <v>251</v>
      </c>
      <c r="C7311" s="2">
        <v>0.98809999999999998</v>
      </c>
      <c r="D7311" s="2">
        <v>1.1900000000000001E-2</v>
      </c>
      <c r="E7311">
        <v>2027</v>
      </c>
    </row>
    <row r="7312" spans="1:5" x14ac:dyDescent="0.35">
      <c r="A7312" t="s">
        <v>227</v>
      </c>
      <c r="B7312" t="s">
        <v>252</v>
      </c>
      <c r="C7312" s="2">
        <v>0.96779999999999999</v>
      </c>
      <c r="D7312" s="2">
        <v>3.2199999999999999E-2</v>
      </c>
      <c r="E7312">
        <v>621</v>
      </c>
    </row>
    <row r="7313" spans="1:6" x14ac:dyDescent="0.35">
      <c r="A7313" t="s">
        <v>227</v>
      </c>
      <c r="B7313" t="s">
        <v>253</v>
      </c>
      <c r="C7313" s="2">
        <v>0.99270000000000003</v>
      </c>
      <c r="D7313" s="2">
        <v>7.3000000000000001E-3</v>
      </c>
      <c r="E7313">
        <v>153</v>
      </c>
    </row>
    <row r="7314" spans="1:6" x14ac:dyDescent="0.35">
      <c r="A7314" s="3" t="s">
        <v>227</v>
      </c>
      <c r="B7314" s="3" t="s">
        <v>254</v>
      </c>
      <c r="C7314" s="4">
        <v>1</v>
      </c>
      <c r="D7314" s="5"/>
      <c r="E7314" s="5" t="s">
        <v>515</v>
      </c>
    </row>
    <row r="7315" spans="1:6" x14ac:dyDescent="0.35">
      <c r="A7315" t="s">
        <v>228</v>
      </c>
      <c r="B7315" t="s">
        <v>228</v>
      </c>
      <c r="C7315" s="2">
        <v>0.98370000000000002</v>
      </c>
      <c r="D7315" s="2">
        <v>1.6299999999999999E-2</v>
      </c>
      <c r="E7315">
        <v>2810</v>
      </c>
    </row>
    <row r="7317" spans="1:6" x14ac:dyDescent="0.35">
      <c r="A7317" s="1" t="s">
        <v>1871</v>
      </c>
    </row>
    <row r="7318" spans="1:6" x14ac:dyDescent="0.35">
      <c r="A7318" t="s">
        <v>219</v>
      </c>
      <c r="B7318" t="s">
        <v>299</v>
      </c>
      <c r="C7318" t="s">
        <v>298</v>
      </c>
      <c r="D7318" t="s">
        <v>282</v>
      </c>
      <c r="E7318" t="s">
        <v>226</v>
      </c>
    </row>
    <row r="7319" spans="1:6" x14ac:dyDescent="0.35">
      <c r="A7319" t="s">
        <v>227</v>
      </c>
      <c r="B7319" s="2">
        <v>0.99060000000000004</v>
      </c>
      <c r="C7319" s="2">
        <v>9.4000000000000004E-3</v>
      </c>
      <c r="D7319" s="2">
        <v>0</v>
      </c>
      <c r="E7319">
        <v>2810</v>
      </c>
    </row>
    <row r="7320" spans="1:6" x14ac:dyDescent="0.35">
      <c r="A7320" t="s">
        <v>228</v>
      </c>
      <c r="B7320" s="2">
        <v>0.99060000000000004</v>
      </c>
      <c r="C7320" s="2">
        <v>9.4000000000000004E-3</v>
      </c>
      <c r="D7320" s="2">
        <v>0</v>
      </c>
      <c r="E7320">
        <v>2810</v>
      </c>
    </row>
    <row r="7322" spans="1:6" x14ac:dyDescent="0.35">
      <c r="A7322" s="1" t="s">
        <v>1872</v>
      </c>
    </row>
    <row r="7323" spans="1:6" x14ac:dyDescent="0.35">
      <c r="A7323" t="s">
        <v>219</v>
      </c>
      <c r="B7323" t="s">
        <v>301</v>
      </c>
      <c r="C7323" t="s">
        <v>299</v>
      </c>
      <c r="D7323" t="s">
        <v>298</v>
      </c>
      <c r="E7323" t="s">
        <v>282</v>
      </c>
      <c r="F7323" t="s">
        <v>226</v>
      </c>
    </row>
    <row r="7324" spans="1:6" x14ac:dyDescent="0.35">
      <c r="A7324" t="s">
        <v>227</v>
      </c>
      <c r="B7324" t="s">
        <v>238</v>
      </c>
      <c r="C7324" s="2">
        <v>0.9919</v>
      </c>
      <c r="D7324" s="2">
        <v>8.0000000000000002E-3</v>
      </c>
      <c r="E7324" s="2">
        <v>1E-4</v>
      </c>
      <c r="F7324">
        <v>1003</v>
      </c>
    </row>
    <row r="7325" spans="1:6" x14ac:dyDescent="0.35">
      <c r="A7325" t="s">
        <v>227</v>
      </c>
      <c r="B7325" t="s">
        <v>237</v>
      </c>
      <c r="C7325" s="2">
        <v>0.98980000000000001</v>
      </c>
      <c r="D7325" s="2">
        <v>1.0200000000000001E-2</v>
      </c>
      <c r="F7325">
        <v>1807</v>
      </c>
    </row>
    <row r="7326" spans="1:6" x14ac:dyDescent="0.35">
      <c r="A7326" t="s">
        <v>228</v>
      </c>
      <c r="B7326" t="s">
        <v>228</v>
      </c>
      <c r="C7326" s="2">
        <v>0.99060000000000004</v>
      </c>
      <c r="D7326" s="2">
        <v>9.4000000000000004E-3</v>
      </c>
      <c r="E7326" s="2">
        <v>0</v>
      </c>
      <c r="F7326">
        <v>2810</v>
      </c>
    </row>
    <row r="7328" spans="1:6" x14ac:dyDescent="0.35">
      <c r="A7328" s="1" t="s">
        <v>1873</v>
      </c>
    </row>
    <row r="7329" spans="1:6" x14ac:dyDescent="0.35">
      <c r="A7329" t="s">
        <v>219</v>
      </c>
      <c r="B7329" t="s">
        <v>301</v>
      </c>
      <c r="C7329" t="s">
        <v>299</v>
      </c>
      <c r="D7329" t="s">
        <v>298</v>
      </c>
      <c r="E7329" t="s">
        <v>282</v>
      </c>
      <c r="F7329" t="s">
        <v>226</v>
      </c>
    </row>
    <row r="7330" spans="1:6" x14ac:dyDescent="0.35">
      <c r="A7330" t="s">
        <v>227</v>
      </c>
      <c r="B7330" t="s">
        <v>235</v>
      </c>
      <c r="C7330" s="2">
        <v>0.97829999999999995</v>
      </c>
      <c r="D7330" s="2">
        <v>2.1600000000000001E-2</v>
      </c>
      <c r="E7330" s="2">
        <v>1E-4</v>
      </c>
      <c r="F7330">
        <v>992</v>
      </c>
    </row>
    <row r="7331" spans="1:6" x14ac:dyDescent="0.35">
      <c r="A7331" t="s">
        <v>227</v>
      </c>
      <c r="B7331" t="s">
        <v>234</v>
      </c>
      <c r="C7331" s="2">
        <v>0.99570000000000003</v>
      </c>
      <c r="D7331" s="2">
        <v>4.3E-3</v>
      </c>
      <c r="F7331">
        <v>1818</v>
      </c>
    </row>
    <row r="7332" spans="1:6" x14ac:dyDescent="0.35">
      <c r="A7332" t="s">
        <v>228</v>
      </c>
      <c r="B7332" t="s">
        <v>228</v>
      </c>
      <c r="C7332" s="2">
        <v>0.99060000000000004</v>
      </c>
      <c r="D7332" s="2">
        <v>9.4000000000000004E-3</v>
      </c>
      <c r="E7332" s="2">
        <v>0</v>
      </c>
      <c r="F7332">
        <v>2810</v>
      </c>
    </row>
    <row r="7334" spans="1:6" x14ac:dyDescent="0.35">
      <c r="A7334" s="1" t="s">
        <v>1874</v>
      </c>
    </row>
    <row r="7335" spans="1:6" x14ac:dyDescent="0.35">
      <c r="A7335" t="s">
        <v>219</v>
      </c>
      <c r="B7335" t="s">
        <v>301</v>
      </c>
      <c r="C7335" t="s">
        <v>299</v>
      </c>
      <c r="D7335" t="s">
        <v>298</v>
      </c>
      <c r="E7335" t="s">
        <v>282</v>
      </c>
      <c r="F7335" t="s">
        <v>226</v>
      </c>
    </row>
    <row r="7336" spans="1:6" x14ac:dyDescent="0.35">
      <c r="A7336" t="s">
        <v>227</v>
      </c>
      <c r="B7336" t="s">
        <v>240</v>
      </c>
      <c r="C7336" s="2">
        <v>0.99229999999999996</v>
      </c>
      <c r="D7336" s="2">
        <v>7.7000000000000002E-3</v>
      </c>
      <c r="F7336">
        <v>1754</v>
      </c>
    </row>
    <row r="7337" spans="1:6" x14ac:dyDescent="0.35">
      <c r="A7337" t="s">
        <v>227</v>
      </c>
      <c r="B7337" t="s">
        <v>241</v>
      </c>
      <c r="C7337" s="2">
        <v>0.99080000000000001</v>
      </c>
      <c r="D7337" s="2">
        <v>9.1000000000000004E-3</v>
      </c>
      <c r="E7337" s="2">
        <v>1E-4</v>
      </c>
      <c r="F7337">
        <v>890</v>
      </c>
    </row>
    <row r="7338" spans="1:6" x14ac:dyDescent="0.35">
      <c r="A7338" t="s">
        <v>227</v>
      </c>
      <c r="B7338" t="s">
        <v>242</v>
      </c>
      <c r="C7338" s="2">
        <v>0.97350000000000003</v>
      </c>
      <c r="D7338" s="2">
        <v>2.6499999999999999E-2</v>
      </c>
      <c r="F7338">
        <v>166</v>
      </c>
    </row>
    <row r="7339" spans="1:6" x14ac:dyDescent="0.35">
      <c r="A7339" t="s">
        <v>228</v>
      </c>
      <c r="B7339" t="s">
        <v>228</v>
      </c>
      <c r="C7339" s="2">
        <v>0.99060000000000004</v>
      </c>
      <c r="D7339" s="2">
        <v>9.4000000000000004E-3</v>
      </c>
      <c r="E7339" s="2">
        <v>0</v>
      </c>
      <c r="F7339">
        <v>2810</v>
      </c>
    </row>
    <row r="7341" spans="1:6" x14ac:dyDescent="0.35">
      <c r="A7341" s="1" t="s">
        <v>1875</v>
      </c>
    </row>
    <row r="7342" spans="1:6" x14ac:dyDescent="0.35">
      <c r="A7342" t="s">
        <v>219</v>
      </c>
      <c r="B7342" t="s">
        <v>301</v>
      </c>
      <c r="C7342" t="s">
        <v>299</v>
      </c>
      <c r="D7342" t="s">
        <v>298</v>
      </c>
      <c r="E7342" t="s">
        <v>282</v>
      </c>
      <c r="F7342" t="s">
        <v>226</v>
      </c>
    </row>
    <row r="7343" spans="1:6" x14ac:dyDescent="0.35">
      <c r="A7343" t="s">
        <v>227</v>
      </c>
      <c r="B7343" t="s">
        <v>334</v>
      </c>
      <c r="C7343" s="2">
        <v>0.99019999999999997</v>
      </c>
      <c r="D7343" s="2">
        <v>9.7000000000000003E-3</v>
      </c>
      <c r="E7343" s="2">
        <v>1E-4</v>
      </c>
      <c r="F7343">
        <v>624</v>
      </c>
    </row>
    <row r="7344" spans="1:6" x14ac:dyDescent="0.35">
      <c r="A7344" t="s">
        <v>227</v>
      </c>
      <c r="B7344" t="s">
        <v>335</v>
      </c>
      <c r="C7344" s="2">
        <v>0.98870000000000002</v>
      </c>
      <c r="D7344" s="2">
        <v>1.1299999999999999E-2</v>
      </c>
      <c r="F7344">
        <v>628</v>
      </c>
    </row>
    <row r="7345" spans="1:6" x14ac:dyDescent="0.35">
      <c r="A7345" t="s">
        <v>227</v>
      </c>
      <c r="B7345" t="s">
        <v>336</v>
      </c>
      <c r="C7345" s="2">
        <v>0.99780000000000002</v>
      </c>
      <c r="D7345" s="2">
        <v>2.2000000000000001E-3</v>
      </c>
      <c r="F7345">
        <v>621</v>
      </c>
    </row>
    <row r="7346" spans="1:6" x14ac:dyDescent="0.35">
      <c r="A7346" t="s">
        <v>227</v>
      </c>
      <c r="B7346" t="s">
        <v>337</v>
      </c>
      <c r="C7346" s="2">
        <v>0.98409999999999997</v>
      </c>
      <c r="D7346" s="2">
        <v>1.5900000000000001E-2</v>
      </c>
      <c r="F7346">
        <v>601</v>
      </c>
    </row>
    <row r="7347" spans="1:6" x14ac:dyDescent="0.35">
      <c r="A7347" t="s">
        <v>228</v>
      </c>
      <c r="B7347" t="s">
        <v>228</v>
      </c>
      <c r="C7347" s="2">
        <v>0.99060000000000004</v>
      </c>
      <c r="D7347" s="2">
        <v>9.4000000000000004E-3</v>
      </c>
      <c r="E7347" s="2">
        <v>0</v>
      </c>
      <c r="F7347">
        <v>2474</v>
      </c>
    </row>
    <row r="7349" spans="1:6" x14ac:dyDescent="0.35">
      <c r="A7349" s="1" t="s">
        <v>1876</v>
      </c>
    </row>
    <row r="7350" spans="1:6" x14ac:dyDescent="0.35">
      <c r="A7350" t="s">
        <v>219</v>
      </c>
      <c r="B7350" t="s">
        <v>301</v>
      </c>
      <c r="C7350" t="s">
        <v>299</v>
      </c>
      <c r="D7350" t="s">
        <v>298</v>
      </c>
      <c r="E7350" t="s">
        <v>282</v>
      </c>
      <c r="F7350" t="s">
        <v>226</v>
      </c>
    </row>
    <row r="7351" spans="1:6" x14ac:dyDescent="0.35">
      <c r="A7351" t="s">
        <v>227</v>
      </c>
      <c r="B7351" t="s">
        <v>263</v>
      </c>
      <c r="C7351" s="2">
        <v>0.99650000000000005</v>
      </c>
      <c r="D7351" s="2">
        <v>3.5000000000000001E-3</v>
      </c>
      <c r="F7351">
        <v>589</v>
      </c>
    </row>
    <row r="7352" spans="1:6" x14ac:dyDescent="0.35">
      <c r="A7352" t="s">
        <v>227</v>
      </c>
      <c r="B7352" t="s">
        <v>262</v>
      </c>
      <c r="C7352" s="2">
        <v>0.98650000000000004</v>
      </c>
      <c r="D7352" s="2">
        <v>1.34E-2</v>
      </c>
      <c r="E7352" s="2">
        <v>1E-4</v>
      </c>
      <c r="F7352">
        <v>1158</v>
      </c>
    </row>
    <row r="7353" spans="1:6" x14ac:dyDescent="0.35">
      <c r="A7353" t="s">
        <v>227</v>
      </c>
      <c r="B7353" t="s">
        <v>261</v>
      </c>
      <c r="C7353" s="2">
        <v>0.99119999999999997</v>
      </c>
      <c r="D7353" s="2">
        <v>8.8000000000000005E-3</v>
      </c>
      <c r="F7353">
        <v>1061</v>
      </c>
    </row>
    <row r="7354" spans="1:6" x14ac:dyDescent="0.35">
      <c r="A7354" s="3" t="s">
        <v>227</v>
      </c>
      <c r="B7354" s="3" t="s">
        <v>232</v>
      </c>
      <c r="C7354" s="4">
        <v>1</v>
      </c>
      <c r="D7354" s="5"/>
      <c r="E7354" s="5"/>
      <c r="F7354" s="5" t="s">
        <v>434</v>
      </c>
    </row>
    <row r="7355" spans="1:6" x14ac:dyDescent="0.35">
      <c r="A7355" t="s">
        <v>228</v>
      </c>
      <c r="B7355" t="s">
        <v>228</v>
      </c>
      <c r="C7355" s="2">
        <v>0.99060000000000004</v>
      </c>
      <c r="D7355" s="2">
        <v>9.4000000000000004E-3</v>
      </c>
      <c r="E7355" s="2">
        <v>0</v>
      </c>
      <c r="F7355">
        <v>2810</v>
      </c>
    </row>
    <row r="7357" spans="1:6" x14ac:dyDescent="0.35">
      <c r="A7357" s="1" t="s">
        <v>1877</v>
      </c>
    </row>
    <row r="7358" spans="1:6" x14ac:dyDescent="0.35">
      <c r="A7358" t="s">
        <v>219</v>
      </c>
      <c r="B7358" t="s">
        <v>301</v>
      </c>
      <c r="C7358" t="s">
        <v>299</v>
      </c>
      <c r="D7358" t="s">
        <v>298</v>
      </c>
      <c r="E7358" t="s">
        <v>282</v>
      </c>
      <c r="F7358" t="s">
        <v>226</v>
      </c>
    </row>
    <row r="7359" spans="1:6" x14ac:dyDescent="0.35">
      <c r="A7359" t="s">
        <v>227</v>
      </c>
      <c r="B7359" t="s">
        <v>248</v>
      </c>
      <c r="C7359" s="2">
        <v>0.99239999999999995</v>
      </c>
      <c r="D7359" s="2">
        <v>7.4999999999999997E-3</v>
      </c>
      <c r="E7359" s="2">
        <v>1E-4</v>
      </c>
      <c r="F7359">
        <v>795</v>
      </c>
    </row>
    <row r="7360" spans="1:6" x14ac:dyDescent="0.35">
      <c r="A7360" t="s">
        <v>227</v>
      </c>
      <c r="B7360" t="s">
        <v>249</v>
      </c>
      <c r="C7360" s="2">
        <v>0.98560000000000003</v>
      </c>
      <c r="D7360" s="2">
        <v>1.44E-2</v>
      </c>
      <c r="F7360">
        <v>541</v>
      </c>
    </row>
    <row r="7361" spans="1:6" x14ac:dyDescent="0.35">
      <c r="A7361" t="s">
        <v>227</v>
      </c>
      <c r="B7361" t="s">
        <v>247</v>
      </c>
      <c r="C7361" s="2">
        <v>0.99150000000000005</v>
      </c>
      <c r="D7361" s="2">
        <v>8.5000000000000006E-3</v>
      </c>
      <c r="F7361">
        <v>1474</v>
      </c>
    </row>
    <row r="7362" spans="1:6" x14ac:dyDescent="0.35">
      <c r="A7362" t="s">
        <v>228</v>
      </c>
      <c r="B7362" t="s">
        <v>228</v>
      </c>
      <c r="C7362" s="2">
        <v>0.99060000000000004</v>
      </c>
      <c r="D7362" s="2">
        <v>9.4000000000000004E-3</v>
      </c>
      <c r="E7362" s="2">
        <v>0</v>
      </c>
      <c r="F7362">
        <v>2810</v>
      </c>
    </row>
    <row r="7364" spans="1:6" x14ac:dyDescent="0.35">
      <c r="A7364" s="1" t="s">
        <v>1878</v>
      </c>
    </row>
    <row r="7365" spans="1:6" x14ac:dyDescent="0.35">
      <c r="A7365" t="s">
        <v>219</v>
      </c>
      <c r="B7365" t="s">
        <v>301</v>
      </c>
      <c r="C7365" t="s">
        <v>299</v>
      </c>
      <c r="D7365" t="s">
        <v>298</v>
      </c>
      <c r="E7365" t="s">
        <v>282</v>
      </c>
      <c r="F7365" t="s">
        <v>226</v>
      </c>
    </row>
    <row r="7366" spans="1:6" x14ac:dyDescent="0.35">
      <c r="A7366" t="s">
        <v>227</v>
      </c>
      <c r="B7366" t="s">
        <v>245</v>
      </c>
      <c r="C7366" s="2">
        <v>0.99209999999999998</v>
      </c>
      <c r="D7366" s="2">
        <v>7.9000000000000008E-3</v>
      </c>
      <c r="F7366">
        <v>783</v>
      </c>
    </row>
    <row r="7367" spans="1:6" x14ac:dyDescent="0.35">
      <c r="A7367" t="s">
        <v>227</v>
      </c>
      <c r="B7367" t="s">
        <v>244</v>
      </c>
      <c r="C7367" s="2">
        <v>0.99</v>
      </c>
      <c r="D7367" s="2">
        <v>9.9000000000000008E-3</v>
      </c>
      <c r="E7367" s="2">
        <v>0</v>
      </c>
      <c r="F7367">
        <v>2027</v>
      </c>
    </row>
    <row r="7368" spans="1:6" x14ac:dyDescent="0.35">
      <c r="A7368" t="s">
        <v>228</v>
      </c>
      <c r="B7368" t="s">
        <v>228</v>
      </c>
      <c r="C7368" s="2">
        <v>0.99060000000000004</v>
      </c>
      <c r="D7368" s="2">
        <v>9.4000000000000004E-3</v>
      </c>
      <c r="E7368" s="2">
        <v>0</v>
      </c>
      <c r="F7368">
        <v>2810</v>
      </c>
    </row>
    <row r="7370" spans="1:6" x14ac:dyDescent="0.35">
      <c r="A7370" s="1" t="s">
        <v>1879</v>
      </c>
    </row>
    <row r="7371" spans="1:6" x14ac:dyDescent="0.35">
      <c r="A7371" t="s">
        <v>219</v>
      </c>
      <c r="B7371" t="s">
        <v>301</v>
      </c>
      <c r="C7371" t="s">
        <v>299</v>
      </c>
      <c r="D7371" t="s">
        <v>298</v>
      </c>
      <c r="E7371" t="s">
        <v>282</v>
      </c>
      <c r="F7371" t="s">
        <v>226</v>
      </c>
    </row>
    <row r="7372" spans="1:6" x14ac:dyDescent="0.35">
      <c r="A7372" t="s">
        <v>227</v>
      </c>
      <c r="B7372" t="s">
        <v>259</v>
      </c>
      <c r="C7372" s="2">
        <v>0.94110000000000005</v>
      </c>
      <c r="D7372" s="2">
        <v>5.74E-2</v>
      </c>
      <c r="E7372" s="2">
        <v>1.6000000000000001E-3</v>
      </c>
      <c r="F7372">
        <v>69</v>
      </c>
    </row>
    <row r="7373" spans="1:6" x14ac:dyDescent="0.35">
      <c r="A7373" t="s">
        <v>227</v>
      </c>
      <c r="B7373" t="s">
        <v>257</v>
      </c>
      <c r="C7373" s="2">
        <v>0.97829999999999995</v>
      </c>
      <c r="D7373" s="2">
        <v>2.1700000000000001E-2</v>
      </c>
      <c r="F7373">
        <v>405</v>
      </c>
    </row>
    <row r="7374" spans="1:6" x14ac:dyDescent="0.35">
      <c r="A7374" t="s">
        <v>227</v>
      </c>
      <c r="B7374" t="s">
        <v>256</v>
      </c>
      <c r="C7374" s="2">
        <v>0.99339999999999995</v>
      </c>
      <c r="D7374" s="2">
        <v>6.6E-3</v>
      </c>
      <c r="F7374">
        <v>1803</v>
      </c>
    </row>
    <row r="7375" spans="1:6" x14ac:dyDescent="0.35">
      <c r="A7375" s="3" t="s">
        <v>227</v>
      </c>
      <c r="B7375" s="3" t="s">
        <v>232</v>
      </c>
      <c r="C7375" s="4">
        <v>1</v>
      </c>
      <c r="D7375" s="5"/>
      <c r="E7375" s="5"/>
      <c r="F7375" s="5" t="s">
        <v>307</v>
      </c>
    </row>
    <row r="7376" spans="1:6" x14ac:dyDescent="0.35">
      <c r="A7376" t="s">
        <v>227</v>
      </c>
      <c r="B7376" t="s">
        <v>258</v>
      </c>
      <c r="C7376" s="2">
        <v>0.99750000000000005</v>
      </c>
      <c r="D7376" s="2">
        <v>2.5000000000000001E-3</v>
      </c>
      <c r="F7376">
        <v>522</v>
      </c>
    </row>
    <row r="7377" spans="1:6" x14ac:dyDescent="0.35">
      <c r="A7377" t="s">
        <v>228</v>
      </c>
      <c r="B7377" t="s">
        <v>228</v>
      </c>
      <c r="C7377" s="2">
        <v>0.99060000000000004</v>
      </c>
      <c r="D7377" s="2">
        <v>9.4000000000000004E-3</v>
      </c>
      <c r="E7377" s="2">
        <v>0</v>
      </c>
      <c r="F7377">
        <v>2810</v>
      </c>
    </row>
    <row r="7379" spans="1:6" x14ac:dyDescent="0.35">
      <c r="A7379" s="1" t="s">
        <v>1880</v>
      </c>
    </row>
    <row r="7380" spans="1:6" x14ac:dyDescent="0.35">
      <c r="A7380" t="s">
        <v>219</v>
      </c>
      <c r="B7380" t="s">
        <v>301</v>
      </c>
      <c r="C7380" t="s">
        <v>299</v>
      </c>
      <c r="D7380" t="s">
        <v>298</v>
      </c>
      <c r="E7380" t="s">
        <v>282</v>
      </c>
      <c r="F7380" t="s">
        <v>226</v>
      </c>
    </row>
    <row r="7381" spans="1:6" x14ac:dyDescent="0.35">
      <c r="A7381" t="s">
        <v>227</v>
      </c>
      <c r="B7381" t="s">
        <v>343</v>
      </c>
      <c r="C7381" s="2">
        <v>0.97829999999999995</v>
      </c>
      <c r="D7381" s="2">
        <v>2.1700000000000001E-2</v>
      </c>
      <c r="F7381">
        <v>405</v>
      </c>
    </row>
    <row r="7382" spans="1:6" x14ac:dyDescent="0.35">
      <c r="A7382" t="s">
        <v>227</v>
      </c>
      <c r="B7382" t="s">
        <v>344</v>
      </c>
      <c r="C7382" s="2">
        <v>0.99309999999999998</v>
      </c>
      <c r="D7382" s="2">
        <v>6.8999999999999999E-3</v>
      </c>
      <c r="E7382" s="2">
        <v>0</v>
      </c>
      <c r="F7382">
        <v>2405</v>
      </c>
    </row>
    <row r="7383" spans="1:6" x14ac:dyDescent="0.35">
      <c r="A7383" t="s">
        <v>228</v>
      </c>
      <c r="B7383" t="s">
        <v>228</v>
      </c>
      <c r="C7383" s="2">
        <v>0.99060000000000004</v>
      </c>
      <c r="D7383" s="2">
        <v>9.4000000000000004E-3</v>
      </c>
      <c r="E7383" s="2">
        <v>0</v>
      </c>
      <c r="F7383">
        <v>2810</v>
      </c>
    </row>
    <row r="7385" spans="1:6" x14ac:dyDescent="0.35">
      <c r="A7385" s="1" t="s">
        <v>1881</v>
      </c>
    </row>
    <row r="7386" spans="1:6" x14ac:dyDescent="0.35">
      <c r="A7386" t="s">
        <v>219</v>
      </c>
      <c r="B7386" t="s">
        <v>301</v>
      </c>
      <c r="C7386" t="s">
        <v>299</v>
      </c>
      <c r="D7386" t="s">
        <v>298</v>
      </c>
      <c r="E7386" t="s">
        <v>282</v>
      </c>
      <c r="F7386" t="s">
        <v>226</v>
      </c>
    </row>
    <row r="7387" spans="1:6" x14ac:dyDescent="0.35">
      <c r="A7387" t="s">
        <v>227</v>
      </c>
      <c r="B7387" t="s">
        <v>346</v>
      </c>
      <c r="C7387" s="2">
        <v>0.9909</v>
      </c>
      <c r="D7387" s="2">
        <v>9.1000000000000004E-3</v>
      </c>
      <c r="F7387">
        <v>1461</v>
      </c>
    </row>
    <row r="7388" spans="1:6" x14ac:dyDescent="0.35">
      <c r="A7388" t="s">
        <v>227</v>
      </c>
      <c r="B7388" t="s">
        <v>347</v>
      </c>
      <c r="C7388" s="2">
        <v>0.98160000000000003</v>
      </c>
      <c r="D7388" s="2">
        <v>1.77E-2</v>
      </c>
      <c r="E7388" s="2">
        <v>6.9999999999999999E-4</v>
      </c>
      <c r="F7388">
        <v>584</v>
      </c>
    </row>
    <row r="7389" spans="1:6" x14ac:dyDescent="0.35">
      <c r="A7389" t="s">
        <v>227</v>
      </c>
      <c r="B7389" t="s">
        <v>348</v>
      </c>
      <c r="C7389" s="2">
        <v>0.99160000000000004</v>
      </c>
      <c r="D7389" s="2">
        <v>8.3999999999999995E-3</v>
      </c>
      <c r="F7389">
        <v>765</v>
      </c>
    </row>
    <row r="7390" spans="1:6" x14ac:dyDescent="0.35">
      <c r="A7390" t="s">
        <v>228</v>
      </c>
      <c r="B7390" t="s">
        <v>228</v>
      </c>
      <c r="C7390" s="2">
        <v>0.99060000000000004</v>
      </c>
      <c r="D7390" s="2">
        <v>9.4000000000000004E-3</v>
      </c>
      <c r="E7390" s="2">
        <v>0</v>
      </c>
      <c r="F7390">
        <v>2810</v>
      </c>
    </row>
    <row r="7392" spans="1:6" x14ac:dyDescent="0.35">
      <c r="A7392" s="1" t="s">
        <v>1882</v>
      </c>
    </row>
    <row r="7393" spans="1:11" x14ac:dyDescent="0.35">
      <c r="A7393" t="s">
        <v>219</v>
      </c>
      <c r="B7393" t="s">
        <v>301</v>
      </c>
      <c r="C7393" t="s">
        <v>299</v>
      </c>
      <c r="D7393" t="s">
        <v>298</v>
      </c>
      <c r="E7393" t="s">
        <v>282</v>
      </c>
      <c r="F7393" t="s">
        <v>226</v>
      </c>
    </row>
    <row r="7394" spans="1:11" x14ac:dyDescent="0.35">
      <c r="A7394" t="s">
        <v>227</v>
      </c>
      <c r="B7394" t="s">
        <v>251</v>
      </c>
      <c r="C7394" s="2">
        <v>0.99</v>
      </c>
      <c r="D7394" s="2">
        <v>9.9000000000000008E-3</v>
      </c>
      <c r="E7394" s="2">
        <v>0</v>
      </c>
      <c r="F7394">
        <v>2027</v>
      </c>
    </row>
    <row r="7395" spans="1:11" x14ac:dyDescent="0.35">
      <c r="A7395" t="s">
        <v>227</v>
      </c>
      <c r="B7395" t="s">
        <v>252</v>
      </c>
      <c r="C7395" s="2">
        <v>0.99080000000000001</v>
      </c>
      <c r="D7395" s="2">
        <v>9.1999999999999998E-3</v>
      </c>
      <c r="F7395">
        <v>621</v>
      </c>
    </row>
    <row r="7396" spans="1:11" x14ac:dyDescent="0.35">
      <c r="A7396" t="s">
        <v>227</v>
      </c>
      <c r="B7396" t="s">
        <v>253</v>
      </c>
      <c r="C7396" s="2">
        <v>0.99760000000000004</v>
      </c>
      <c r="D7396" s="2">
        <v>2.3999999999999998E-3</v>
      </c>
      <c r="F7396">
        <v>153</v>
      </c>
    </row>
    <row r="7397" spans="1:11" x14ac:dyDescent="0.35">
      <c r="A7397" s="3" t="s">
        <v>227</v>
      </c>
      <c r="B7397" s="3" t="s">
        <v>254</v>
      </c>
      <c r="C7397" s="4">
        <v>0.98570000000000002</v>
      </c>
      <c r="D7397" s="4">
        <v>1.43E-2</v>
      </c>
      <c r="E7397" s="5"/>
      <c r="F7397" s="5" t="s">
        <v>515</v>
      </c>
    </row>
    <row r="7398" spans="1:11" x14ac:dyDescent="0.35">
      <c r="A7398" t="s">
        <v>228</v>
      </c>
      <c r="B7398" t="s">
        <v>228</v>
      </c>
      <c r="C7398" s="2">
        <v>0.99060000000000004</v>
      </c>
      <c r="D7398" s="2">
        <v>9.4000000000000004E-3</v>
      </c>
      <c r="E7398" s="2">
        <v>0</v>
      </c>
      <c r="F7398">
        <v>2810</v>
      </c>
    </row>
    <row r="7400" spans="1:11" x14ac:dyDescent="0.35">
      <c r="A7400" s="1" t="s">
        <v>1883</v>
      </c>
    </row>
    <row r="7401" spans="1:11" x14ac:dyDescent="0.35">
      <c r="A7401" t="s">
        <v>219</v>
      </c>
      <c r="B7401" t="s">
        <v>1884</v>
      </c>
      <c r="C7401" t="s">
        <v>1885</v>
      </c>
      <c r="D7401" t="s">
        <v>1886</v>
      </c>
      <c r="E7401" t="s">
        <v>1887</v>
      </c>
      <c r="F7401" t="s">
        <v>277</v>
      </c>
      <c r="G7401" t="s">
        <v>1888</v>
      </c>
      <c r="H7401" t="s">
        <v>1889</v>
      </c>
      <c r="I7401" t="s">
        <v>282</v>
      </c>
      <c r="J7401" t="s">
        <v>226</v>
      </c>
    </row>
    <row r="7402" spans="1:11" x14ac:dyDescent="0.35">
      <c r="A7402" t="s">
        <v>227</v>
      </c>
      <c r="B7402" s="2">
        <v>0.46879999999999999</v>
      </c>
      <c r="C7402" s="2">
        <v>0.28549999999999998</v>
      </c>
      <c r="D7402" s="2">
        <v>0.1739</v>
      </c>
      <c r="E7402" s="2">
        <v>4.9399999999999999E-2</v>
      </c>
      <c r="F7402" s="2">
        <v>1.11E-2</v>
      </c>
      <c r="G7402" s="2">
        <v>6.3E-3</v>
      </c>
      <c r="H7402" s="2">
        <v>4.8999999999999998E-3</v>
      </c>
      <c r="I7402" s="2">
        <v>2.0000000000000001E-4</v>
      </c>
      <c r="J7402">
        <v>2812</v>
      </c>
    </row>
    <row r="7403" spans="1:11" x14ac:dyDescent="0.35">
      <c r="A7403" t="s">
        <v>228</v>
      </c>
      <c r="B7403" s="2">
        <v>0.46879999999999999</v>
      </c>
      <c r="C7403" s="2">
        <v>0.28549999999999998</v>
      </c>
      <c r="D7403" s="2">
        <v>0.1739</v>
      </c>
      <c r="E7403" s="2">
        <v>4.9399999999999999E-2</v>
      </c>
      <c r="F7403" s="2">
        <v>1.11E-2</v>
      </c>
      <c r="G7403" s="2">
        <v>6.3E-3</v>
      </c>
      <c r="H7403" s="2">
        <v>4.8999999999999998E-3</v>
      </c>
      <c r="I7403" s="2">
        <v>2.0000000000000001E-4</v>
      </c>
      <c r="J7403">
        <v>2812</v>
      </c>
    </row>
    <row r="7405" spans="1:11" x14ac:dyDescent="0.35">
      <c r="A7405" s="1" t="s">
        <v>1890</v>
      </c>
    </row>
    <row r="7406" spans="1:11" x14ac:dyDescent="0.35">
      <c r="A7406" t="s">
        <v>219</v>
      </c>
      <c r="B7406" t="s">
        <v>301</v>
      </c>
      <c r="C7406" t="s">
        <v>1884</v>
      </c>
      <c r="D7406" t="s">
        <v>1885</v>
      </c>
      <c r="E7406" t="s">
        <v>1886</v>
      </c>
      <c r="F7406" t="s">
        <v>1887</v>
      </c>
      <c r="G7406" t="s">
        <v>277</v>
      </c>
      <c r="H7406" t="s">
        <v>1888</v>
      </c>
      <c r="I7406" t="s">
        <v>1889</v>
      </c>
      <c r="J7406" t="s">
        <v>282</v>
      </c>
      <c r="K7406" t="s">
        <v>226</v>
      </c>
    </row>
    <row r="7407" spans="1:11" x14ac:dyDescent="0.35">
      <c r="A7407" t="s">
        <v>227</v>
      </c>
      <c r="B7407" t="s">
        <v>238</v>
      </c>
      <c r="C7407" s="2">
        <v>0.44269999999999998</v>
      </c>
      <c r="D7407" s="2">
        <v>0.30759999999999998</v>
      </c>
      <c r="E7407" s="2">
        <v>0.19359999999999999</v>
      </c>
      <c r="F7407" s="2">
        <v>3.6200000000000003E-2</v>
      </c>
      <c r="G7407" s="2">
        <v>4.8999999999999998E-3</v>
      </c>
      <c r="H7407" s="2">
        <v>8.8999999999999999E-3</v>
      </c>
      <c r="I7407" s="2">
        <v>6.1000000000000004E-3</v>
      </c>
      <c r="K7407">
        <v>1005</v>
      </c>
    </row>
    <row r="7408" spans="1:11" x14ac:dyDescent="0.35">
      <c r="A7408" t="s">
        <v>227</v>
      </c>
      <c r="B7408" t="s">
        <v>237</v>
      </c>
      <c r="C7408" s="2">
        <v>0.48399999999999999</v>
      </c>
      <c r="D7408" s="2">
        <v>0.27260000000000001</v>
      </c>
      <c r="E7408" s="2">
        <v>0.16239999999999999</v>
      </c>
      <c r="F7408" s="2">
        <v>5.7099999999999998E-2</v>
      </c>
      <c r="G7408" s="2">
        <v>1.46E-2</v>
      </c>
      <c r="H7408" s="2">
        <v>4.7999999999999996E-3</v>
      </c>
      <c r="I7408" s="2">
        <v>4.1000000000000003E-3</v>
      </c>
      <c r="J7408" s="2">
        <v>2.9999999999999997E-4</v>
      </c>
      <c r="K7408">
        <v>1807</v>
      </c>
    </row>
    <row r="7409" spans="1:11" x14ac:dyDescent="0.35">
      <c r="A7409" t="s">
        <v>228</v>
      </c>
      <c r="B7409" t="s">
        <v>228</v>
      </c>
      <c r="C7409" s="2">
        <v>0.46879999999999999</v>
      </c>
      <c r="D7409" s="2">
        <v>0.28549999999999998</v>
      </c>
      <c r="E7409" s="2">
        <v>0.1739</v>
      </c>
      <c r="F7409" s="2">
        <v>4.9399999999999999E-2</v>
      </c>
      <c r="G7409" s="2">
        <v>1.11E-2</v>
      </c>
      <c r="H7409" s="2">
        <v>6.3E-3</v>
      </c>
      <c r="I7409" s="2">
        <v>4.8999999999999998E-3</v>
      </c>
      <c r="J7409" s="2">
        <v>2.0000000000000001E-4</v>
      </c>
      <c r="K7409">
        <v>2812</v>
      </c>
    </row>
    <row r="7411" spans="1:11" x14ac:dyDescent="0.35">
      <c r="A7411" s="1" t="s">
        <v>1891</v>
      </c>
    </row>
    <row r="7412" spans="1:11" x14ac:dyDescent="0.35">
      <c r="A7412" t="s">
        <v>219</v>
      </c>
      <c r="B7412" t="s">
        <v>301</v>
      </c>
      <c r="C7412" t="s">
        <v>1884</v>
      </c>
      <c r="D7412" t="s">
        <v>1885</v>
      </c>
      <c r="E7412" t="s">
        <v>1886</v>
      </c>
      <c r="F7412" t="s">
        <v>1887</v>
      </c>
      <c r="G7412" t="s">
        <v>277</v>
      </c>
      <c r="H7412" t="s">
        <v>1888</v>
      </c>
      <c r="I7412" t="s">
        <v>1889</v>
      </c>
      <c r="J7412" t="s">
        <v>282</v>
      </c>
      <c r="K7412" t="s">
        <v>226</v>
      </c>
    </row>
    <row r="7413" spans="1:11" x14ac:dyDescent="0.35">
      <c r="A7413" t="s">
        <v>227</v>
      </c>
      <c r="B7413" t="s">
        <v>235</v>
      </c>
      <c r="C7413" s="2">
        <v>0.19059999999999999</v>
      </c>
      <c r="D7413" s="2">
        <v>0.29959999999999998</v>
      </c>
      <c r="E7413" s="2">
        <v>0.43190000000000001</v>
      </c>
      <c r="F7413" s="2">
        <v>4.7899999999999998E-2</v>
      </c>
      <c r="G7413" s="2">
        <v>5.0000000000000001E-3</v>
      </c>
      <c r="H7413" s="2">
        <v>1.29E-2</v>
      </c>
      <c r="I7413" s="2">
        <v>1.18E-2</v>
      </c>
      <c r="J7413" s="2">
        <v>2.0000000000000001E-4</v>
      </c>
      <c r="K7413">
        <v>991</v>
      </c>
    </row>
    <row r="7414" spans="1:11" x14ac:dyDescent="0.35">
      <c r="A7414" t="s">
        <v>227</v>
      </c>
      <c r="B7414" t="s">
        <v>234</v>
      </c>
      <c r="C7414" s="2">
        <v>0.58509999999999995</v>
      </c>
      <c r="D7414" s="2">
        <v>0.27950000000000003</v>
      </c>
      <c r="E7414" s="2">
        <v>6.6000000000000003E-2</v>
      </c>
      <c r="F7414" s="2">
        <v>0.05</v>
      </c>
      <c r="G7414" s="2">
        <v>1.3599999999999999E-2</v>
      </c>
      <c r="H7414" s="2">
        <v>3.5999999999999999E-3</v>
      </c>
      <c r="I7414" s="2">
        <v>2E-3</v>
      </c>
      <c r="J7414" s="2">
        <v>1E-4</v>
      </c>
      <c r="K7414">
        <v>1821</v>
      </c>
    </row>
    <row r="7415" spans="1:11" x14ac:dyDescent="0.35">
      <c r="A7415" t="s">
        <v>228</v>
      </c>
      <c r="B7415" t="s">
        <v>228</v>
      </c>
      <c r="C7415" s="2">
        <v>0.46879999999999999</v>
      </c>
      <c r="D7415" s="2">
        <v>0.28549999999999998</v>
      </c>
      <c r="E7415" s="2">
        <v>0.1739</v>
      </c>
      <c r="F7415" s="2">
        <v>4.9399999999999999E-2</v>
      </c>
      <c r="G7415" s="2">
        <v>1.11E-2</v>
      </c>
      <c r="H7415" s="2">
        <v>6.3E-3</v>
      </c>
      <c r="I7415" s="2">
        <v>4.8999999999999998E-3</v>
      </c>
      <c r="J7415" s="2">
        <v>2.0000000000000001E-4</v>
      </c>
      <c r="K7415">
        <v>2812</v>
      </c>
    </row>
    <row r="7417" spans="1:11" x14ac:dyDescent="0.35">
      <c r="A7417" s="1" t="s">
        <v>1892</v>
      </c>
    </row>
    <row r="7418" spans="1:11" x14ac:dyDescent="0.35">
      <c r="A7418" t="s">
        <v>219</v>
      </c>
      <c r="B7418" t="s">
        <v>301</v>
      </c>
      <c r="C7418" t="s">
        <v>1884</v>
      </c>
      <c r="D7418" t="s">
        <v>1885</v>
      </c>
      <c r="E7418" t="s">
        <v>1886</v>
      </c>
      <c r="F7418" t="s">
        <v>1887</v>
      </c>
      <c r="G7418" t="s">
        <v>277</v>
      </c>
      <c r="H7418" t="s">
        <v>1888</v>
      </c>
      <c r="I7418" t="s">
        <v>1889</v>
      </c>
      <c r="J7418" t="s">
        <v>282</v>
      </c>
      <c r="K7418" t="s">
        <v>226</v>
      </c>
    </row>
    <row r="7419" spans="1:11" x14ac:dyDescent="0.35">
      <c r="A7419" t="s">
        <v>227</v>
      </c>
      <c r="B7419" t="s">
        <v>240</v>
      </c>
      <c r="C7419" s="2">
        <v>0.47899999999999998</v>
      </c>
      <c r="D7419" s="2">
        <v>0.28260000000000002</v>
      </c>
      <c r="E7419" s="2">
        <v>0.16569999999999999</v>
      </c>
      <c r="F7419" s="2">
        <v>4.87E-2</v>
      </c>
      <c r="G7419" s="2">
        <v>1.1900000000000001E-2</v>
      </c>
      <c r="H7419" s="2">
        <v>9.4000000000000004E-3</v>
      </c>
      <c r="I7419" s="2">
        <v>2.3999999999999998E-3</v>
      </c>
      <c r="J7419" s="2">
        <v>2.9999999999999997E-4</v>
      </c>
      <c r="K7419">
        <v>1756</v>
      </c>
    </row>
    <row r="7420" spans="1:11" x14ac:dyDescent="0.35">
      <c r="A7420" t="s">
        <v>227</v>
      </c>
      <c r="B7420" t="s">
        <v>241</v>
      </c>
      <c r="C7420" s="2">
        <v>0.47220000000000001</v>
      </c>
      <c r="D7420" s="2">
        <v>0.29670000000000002</v>
      </c>
      <c r="E7420" s="2">
        <v>0.16209999999999999</v>
      </c>
      <c r="F7420" s="2">
        <v>5.0900000000000001E-2</v>
      </c>
      <c r="G7420" s="2">
        <v>1.15E-2</v>
      </c>
      <c r="H7420" s="2">
        <v>1E-3</v>
      </c>
      <c r="I7420" s="2">
        <v>5.7000000000000002E-3</v>
      </c>
      <c r="K7420">
        <v>890</v>
      </c>
    </row>
    <row r="7421" spans="1:11" x14ac:dyDescent="0.35">
      <c r="A7421" t="s">
        <v>227</v>
      </c>
      <c r="B7421" t="s">
        <v>242</v>
      </c>
      <c r="C7421" s="2">
        <v>0.35439999999999999</v>
      </c>
      <c r="D7421" s="2">
        <v>0.2631</v>
      </c>
      <c r="E7421" s="2">
        <v>0.30659999999999998</v>
      </c>
      <c r="F7421" s="2">
        <v>5.0200000000000002E-2</v>
      </c>
      <c r="G7421" s="2">
        <v>4.0000000000000002E-4</v>
      </c>
      <c r="I7421" s="2">
        <v>2.53E-2</v>
      </c>
      <c r="K7421">
        <v>166</v>
      </c>
    </row>
    <row r="7422" spans="1:11" x14ac:dyDescent="0.35">
      <c r="A7422" t="s">
        <v>228</v>
      </c>
      <c r="B7422" t="s">
        <v>228</v>
      </c>
      <c r="C7422" s="2">
        <v>0.46879999999999999</v>
      </c>
      <c r="D7422" s="2">
        <v>0.28549999999999998</v>
      </c>
      <c r="E7422" s="2">
        <v>0.1739</v>
      </c>
      <c r="F7422" s="2">
        <v>4.9399999999999999E-2</v>
      </c>
      <c r="G7422" s="2">
        <v>1.11E-2</v>
      </c>
      <c r="H7422" s="2">
        <v>6.3E-3</v>
      </c>
      <c r="I7422" s="2">
        <v>4.8999999999999998E-3</v>
      </c>
      <c r="J7422" s="2">
        <v>2.0000000000000001E-4</v>
      </c>
      <c r="K7422">
        <v>2812</v>
      </c>
    </row>
    <row r="7424" spans="1:11" x14ac:dyDescent="0.35">
      <c r="A7424" s="1" t="s">
        <v>1893</v>
      </c>
    </row>
    <row r="7425" spans="1:11" x14ac:dyDescent="0.35">
      <c r="A7425" t="s">
        <v>219</v>
      </c>
      <c r="B7425" t="s">
        <v>301</v>
      </c>
      <c r="C7425" t="s">
        <v>1884</v>
      </c>
      <c r="D7425" t="s">
        <v>1885</v>
      </c>
      <c r="E7425" t="s">
        <v>1886</v>
      </c>
      <c r="F7425" t="s">
        <v>1887</v>
      </c>
      <c r="G7425" t="s">
        <v>277</v>
      </c>
      <c r="H7425" t="s">
        <v>1888</v>
      </c>
      <c r="I7425" t="s">
        <v>1889</v>
      </c>
      <c r="J7425" t="s">
        <v>282</v>
      </c>
      <c r="K7425" t="s">
        <v>226</v>
      </c>
    </row>
    <row r="7426" spans="1:11" x14ac:dyDescent="0.35">
      <c r="A7426" t="s">
        <v>227</v>
      </c>
      <c r="B7426" t="s">
        <v>334</v>
      </c>
      <c r="C7426" s="2">
        <v>0.33979999999999999</v>
      </c>
      <c r="D7426" s="2">
        <v>0.2737</v>
      </c>
      <c r="E7426" s="2">
        <v>0.33040000000000003</v>
      </c>
      <c r="F7426" s="2">
        <v>2.76E-2</v>
      </c>
      <c r="G7426" s="2">
        <v>1.2500000000000001E-2</v>
      </c>
      <c r="H7426" s="2">
        <v>7.4999999999999997E-3</v>
      </c>
      <c r="I7426" s="2">
        <v>8.0999999999999996E-3</v>
      </c>
      <c r="J7426" s="2">
        <v>2.9999999999999997E-4</v>
      </c>
      <c r="K7426">
        <v>625</v>
      </c>
    </row>
    <row r="7427" spans="1:11" x14ac:dyDescent="0.35">
      <c r="A7427" t="s">
        <v>227</v>
      </c>
      <c r="B7427" t="s">
        <v>335</v>
      </c>
      <c r="C7427" s="2">
        <v>0.53649999999999998</v>
      </c>
      <c r="D7427" s="2">
        <v>0.31909999999999999</v>
      </c>
      <c r="E7427" s="2">
        <v>7.8100000000000003E-2</v>
      </c>
      <c r="F7427" s="2">
        <v>4.7800000000000002E-2</v>
      </c>
      <c r="G7427" s="2">
        <v>1.17E-2</v>
      </c>
      <c r="H7427" s="2">
        <v>6.9999999999999999E-4</v>
      </c>
      <c r="I7427" s="2">
        <v>6.1999999999999998E-3</v>
      </c>
      <c r="K7427">
        <v>628</v>
      </c>
    </row>
    <row r="7428" spans="1:11" x14ac:dyDescent="0.35">
      <c r="A7428" t="s">
        <v>227</v>
      </c>
      <c r="B7428" t="s">
        <v>336</v>
      </c>
      <c r="C7428" s="2">
        <v>0.44650000000000001</v>
      </c>
      <c r="D7428" s="2">
        <v>0.22370000000000001</v>
      </c>
      <c r="E7428" s="2">
        <v>0.23039999999999999</v>
      </c>
      <c r="F7428" s="2">
        <v>6.7400000000000002E-2</v>
      </c>
      <c r="G7428" s="2">
        <v>1.11E-2</v>
      </c>
      <c r="H7428" s="2">
        <v>1.7899999999999999E-2</v>
      </c>
      <c r="I7428" s="2">
        <v>3.0000000000000001E-3</v>
      </c>
      <c r="K7428">
        <v>620</v>
      </c>
    </row>
    <row r="7429" spans="1:11" x14ac:dyDescent="0.35">
      <c r="A7429" t="s">
        <v>227</v>
      </c>
      <c r="B7429" t="s">
        <v>337</v>
      </c>
      <c r="C7429" s="2">
        <v>0.50109999999999999</v>
      </c>
      <c r="D7429" s="2">
        <v>0.31269999999999998</v>
      </c>
      <c r="E7429" s="2">
        <v>0.1234</v>
      </c>
      <c r="F7429" s="2">
        <v>5.1499999999999997E-2</v>
      </c>
      <c r="G7429" s="2">
        <v>3.2000000000000002E-3</v>
      </c>
      <c r="H7429" s="2">
        <v>4.7000000000000002E-3</v>
      </c>
      <c r="I7429" s="2">
        <v>3.3E-3</v>
      </c>
      <c r="K7429">
        <v>602</v>
      </c>
    </row>
    <row r="7430" spans="1:11" x14ac:dyDescent="0.35">
      <c r="A7430" t="s">
        <v>228</v>
      </c>
      <c r="B7430" t="s">
        <v>228</v>
      </c>
      <c r="C7430" s="2">
        <v>0.46879999999999999</v>
      </c>
      <c r="D7430" s="2">
        <v>0.28549999999999998</v>
      </c>
      <c r="E7430" s="2">
        <v>0.1739</v>
      </c>
      <c r="F7430" s="2">
        <v>4.9399999999999999E-2</v>
      </c>
      <c r="G7430" s="2">
        <v>1.11E-2</v>
      </c>
      <c r="H7430" s="2">
        <v>6.3E-3</v>
      </c>
      <c r="I7430" s="2">
        <v>4.8999999999999998E-3</v>
      </c>
      <c r="J7430" s="2">
        <v>2.0000000000000001E-4</v>
      </c>
      <c r="K7430">
        <v>2475</v>
      </c>
    </row>
    <row r="7432" spans="1:11" x14ac:dyDescent="0.35">
      <c r="A7432" s="1" t="s">
        <v>1894</v>
      </c>
    </row>
    <row r="7433" spans="1:11" x14ac:dyDescent="0.35">
      <c r="A7433" t="s">
        <v>219</v>
      </c>
      <c r="B7433" t="s">
        <v>301</v>
      </c>
      <c r="C7433" t="s">
        <v>1884</v>
      </c>
      <c r="D7433" t="s">
        <v>1885</v>
      </c>
      <c r="E7433" t="s">
        <v>1886</v>
      </c>
      <c r="F7433" t="s">
        <v>1887</v>
      </c>
      <c r="G7433" t="s">
        <v>277</v>
      </c>
      <c r="H7433" t="s">
        <v>1888</v>
      </c>
      <c r="I7433" t="s">
        <v>1889</v>
      </c>
      <c r="J7433" t="s">
        <v>282</v>
      </c>
      <c r="K7433" t="s">
        <v>226</v>
      </c>
    </row>
    <row r="7434" spans="1:11" x14ac:dyDescent="0.35">
      <c r="A7434" t="s">
        <v>227</v>
      </c>
      <c r="B7434" t="s">
        <v>263</v>
      </c>
      <c r="C7434" s="2">
        <v>0.44819999999999999</v>
      </c>
      <c r="D7434" s="2">
        <v>0.32329999999999998</v>
      </c>
      <c r="E7434" s="2">
        <v>0.16639999999999999</v>
      </c>
      <c r="F7434" s="2">
        <v>4.3900000000000002E-2</v>
      </c>
      <c r="G7434" s="2">
        <v>7.7999999999999996E-3</v>
      </c>
      <c r="H7434" s="2">
        <v>6.8999999999999999E-3</v>
      </c>
      <c r="I7434" s="2">
        <v>3.5000000000000001E-3</v>
      </c>
      <c r="K7434">
        <v>589</v>
      </c>
    </row>
    <row r="7435" spans="1:11" x14ac:dyDescent="0.35">
      <c r="A7435" t="s">
        <v>227</v>
      </c>
      <c r="B7435" t="s">
        <v>262</v>
      </c>
      <c r="C7435" s="2">
        <v>0.48130000000000001</v>
      </c>
      <c r="D7435" s="2">
        <v>0.28210000000000002</v>
      </c>
      <c r="E7435" s="2">
        <v>0.15640000000000001</v>
      </c>
      <c r="F7435" s="2">
        <v>5.2200000000000003E-2</v>
      </c>
      <c r="G7435" s="2">
        <v>1.5299999999999999E-2</v>
      </c>
      <c r="H7435" s="2">
        <v>6.0000000000000001E-3</v>
      </c>
      <c r="I7435" s="2">
        <v>6.4999999999999997E-3</v>
      </c>
      <c r="J7435" s="2">
        <v>2.0000000000000001E-4</v>
      </c>
      <c r="K7435">
        <v>1159</v>
      </c>
    </row>
    <row r="7436" spans="1:11" x14ac:dyDescent="0.35">
      <c r="A7436" t="s">
        <v>227</v>
      </c>
      <c r="B7436" t="s">
        <v>261</v>
      </c>
      <c r="C7436" s="2">
        <v>0.46639999999999998</v>
      </c>
      <c r="D7436" s="2">
        <v>0.27079999999999999</v>
      </c>
      <c r="E7436" s="2">
        <v>0.1933</v>
      </c>
      <c r="F7436" s="2">
        <v>4.99E-2</v>
      </c>
      <c r="G7436" s="2">
        <v>8.9999999999999993E-3</v>
      </c>
      <c r="H7436" s="2">
        <v>6.4000000000000003E-3</v>
      </c>
      <c r="I7436" s="2">
        <v>4.1000000000000003E-3</v>
      </c>
      <c r="J7436" s="2">
        <v>2.0000000000000001E-4</v>
      </c>
      <c r="K7436">
        <v>1062</v>
      </c>
    </row>
    <row r="7437" spans="1:11" x14ac:dyDescent="0.35">
      <c r="A7437" s="3" t="s">
        <v>227</v>
      </c>
      <c r="B7437" s="3" t="s">
        <v>232</v>
      </c>
      <c r="C7437" s="4">
        <v>1</v>
      </c>
      <c r="D7437" s="5"/>
      <c r="E7437" s="5"/>
      <c r="F7437" s="5"/>
      <c r="G7437" s="5"/>
      <c r="H7437" s="5"/>
      <c r="I7437" s="5"/>
      <c r="J7437" s="5"/>
      <c r="K7437" s="5" t="s">
        <v>434</v>
      </c>
    </row>
    <row r="7438" spans="1:11" x14ac:dyDescent="0.35">
      <c r="A7438" t="s">
        <v>228</v>
      </c>
      <c r="B7438" t="s">
        <v>228</v>
      </c>
      <c r="C7438" s="2">
        <v>0.46879999999999999</v>
      </c>
      <c r="D7438" s="2">
        <v>0.28549999999999998</v>
      </c>
      <c r="E7438" s="2">
        <v>0.1739</v>
      </c>
      <c r="F7438" s="2">
        <v>4.9399999999999999E-2</v>
      </c>
      <c r="G7438" s="2">
        <v>1.11E-2</v>
      </c>
      <c r="H7438" s="2">
        <v>6.3E-3</v>
      </c>
      <c r="I7438" s="2">
        <v>4.8999999999999998E-3</v>
      </c>
      <c r="J7438" s="2">
        <v>2.0000000000000001E-4</v>
      </c>
      <c r="K7438">
        <v>2812</v>
      </c>
    </row>
    <row r="7440" spans="1:11" x14ac:dyDescent="0.35">
      <c r="A7440" s="1" t="s">
        <v>1895</v>
      </c>
    </row>
    <row r="7441" spans="1:11" x14ac:dyDescent="0.35">
      <c r="A7441" t="s">
        <v>219</v>
      </c>
      <c r="B7441" t="s">
        <v>301</v>
      </c>
      <c r="C7441" t="s">
        <v>1884</v>
      </c>
      <c r="D7441" t="s">
        <v>1885</v>
      </c>
      <c r="E7441" t="s">
        <v>1886</v>
      </c>
      <c r="F7441" t="s">
        <v>1887</v>
      </c>
      <c r="G7441" t="s">
        <v>277</v>
      </c>
      <c r="H7441" t="s">
        <v>1888</v>
      </c>
      <c r="I7441" t="s">
        <v>1889</v>
      </c>
      <c r="J7441" t="s">
        <v>282</v>
      </c>
      <c r="K7441" t="s">
        <v>226</v>
      </c>
    </row>
    <row r="7442" spans="1:11" x14ac:dyDescent="0.35">
      <c r="A7442" t="s">
        <v>227</v>
      </c>
      <c r="B7442" t="s">
        <v>248</v>
      </c>
      <c r="C7442" s="2">
        <v>0.4239</v>
      </c>
      <c r="D7442" s="2">
        <v>0.32079999999999997</v>
      </c>
      <c r="E7442" s="2">
        <v>0.1762</v>
      </c>
      <c r="F7442" s="2">
        <v>4.1300000000000003E-2</v>
      </c>
      <c r="G7442" s="2">
        <v>1.5100000000000001E-2</v>
      </c>
      <c r="H7442" s="2">
        <v>1.26E-2</v>
      </c>
      <c r="I7442" s="2">
        <v>1.01E-2</v>
      </c>
      <c r="K7442">
        <v>796</v>
      </c>
    </row>
    <row r="7443" spans="1:11" x14ac:dyDescent="0.35">
      <c r="A7443" t="s">
        <v>227</v>
      </c>
      <c r="B7443" t="s">
        <v>249</v>
      </c>
      <c r="C7443" s="2">
        <v>0.44479999999999997</v>
      </c>
      <c r="D7443" s="2">
        <v>0.26750000000000002</v>
      </c>
      <c r="E7443" s="2">
        <v>0.2145</v>
      </c>
      <c r="F7443" s="2">
        <v>5.0500000000000003E-2</v>
      </c>
      <c r="G7443" s="2">
        <v>2.5999999999999999E-3</v>
      </c>
      <c r="H7443" s="2">
        <v>1.06E-2</v>
      </c>
      <c r="I7443" s="2">
        <v>9.1999999999999998E-3</v>
      </c>
      <c r="J7443" s="2">
        <v>4.0000000000000002E-4</v>
      </c>
      <c r="K7443">
        <v>541</v>
      </c>
    </row>
    <row r="7444" spans="1:11" x14ac:dyDescent="0.35">
      <c r="A7444" t="s">
        <v>227</v>
      </c>
      <c r="B7444" t="s">
        <v>247</v>
      </c>
      <c r="C7444" s="2">
        <v>0.50070000000000003</v>
      </c>
      <c r="D7444" s="2">
        <v>0.2737</v>
      </c>
      <c r="E7444" s="2">
        <v>0.158</v>
      </c>
      <c r="F7444" s="2">
        <v>5.3199999999999997E-2</v>
      </c>
      <c r="G7444" s="2">
        <v>1.2E-2</v>
      </c>
      <c r="H7444" s="2">
        <v>1.5E-3</v>
      </c>
      <c r="I7444" s="2">
        <v>5.9999999999999995E-4</v>
      </c>
      <c r="J7444" s="2">
        <v>2.0000000000000001E-4</v>
      </c>
      <c r="K7444">
        <v>1475</v>
      </c>
    </row>
    <row r="7445" spans="1:11" x14ac:dyDescent="0.35">
      <c r="A7445" t="s">
        <v>228</v>
      </c>
      <c r="B7445" t="s">
        <v>228</v>
      </c>
      <c r="C7445" s="2">
        <v>0.46879999999999999</v>
      </c>
      <c r="D7445" s="2">
        <v>0.28549999999999998</v>
      </c>
      <c r="E7445" s="2">
        <v>0.1739</v>
      </c>
      <c r="F7445" s="2">
        <v>4.9399999999999999E-2</v>
      </c>
      <c r="G7445" s="2">
        <v>1.11E-2</v>
      </c>
      <c r="H7445" s="2">
        <v>6.3E-3</v>
      </c>
      <c r="I7445" s="2">
        <v>4.8999999999999998E-3</v>
      </c>
      <c r="J7445" s="2">
        <v>2.0000000000000001E-4</v>
      </c>
      <c r="K7445">
        <v>2812</v>
      </c>
    </row>
    <row r="7447" spans="1:11" x14ac:dyDescent="0.35">
      <c r="A7447" s="1" t="s">
        <v>1896</v>
      </c>
    </row>
    <row r="7448" spans="1:11" x14ac:dyDescent="0.35">
      <c r="A7448" t="s">
        <v>219</v>
      </c>
      <c r="B7448" t="s">
        <v>301</v>
      </c>
      <c r="C7448" t="s">
        <v>1884</v>
      </c>
      <c r="D7448" t="s">
        <v>1885</v>
      </c>
      <c r="E7448" t="s">
        <v>1886</v>
      </c>
      <c r="F7448" t="s">
        <v>1887</v>
      </c>
      <c r="G7448" t="s">
        <v>277</v>
      </c>
      <c r="H7448" t="s">
        <v>1888</v>
      </c>
      <c r="I7448" t="s">
        <v>1889</v>
      </c>
      <c r="J7448" t="s">
        <v>282</v>
      </c>
      <c r="K7448" t="s">
        <v>226</v>
      </c>
    </row>
    <row r="7449" spans="1:11" x14ac:dyDescent="0.35">
      <c r="A7449" t="s">
        <v>227</v>
      </c>
      <c r="B7449" t="s">
        <v>245</v>
      </c>
      <c r="C7449" s="2">
        <v>0.49519999999999997</v>
      </c>
      <c r="D7449" s="2">
        <v>0.24740000000000001</v>
      </c>
      <c r="E7449" s="2">
        <v>0.18820000000000001</v>
      </c>
      <c r="F7449" s="2">
        <v>4.1200000000000001E-2</v>
      </c>
      <c r="G7449" s="2">
        <v>1.5100000000000001E-2</v>
      </c>
      <c r="H7449" s="2">
        <v>6.7000000000000002E-3</v>
      </c>
      <c r="I7449" s="2">
        <v>5.8999999999999999E-3</v>
      </c>
      <c r="J7449" s="2">
        <v>2.0000000000000001E-4</v>
      </c>
      <c r="K7449">
        <v>783</v>
      </c>
    </row>
    <row r="7450" spans="1:11" x14ac:dyDescent="0.35">
      <c r="A7450" t="s">
        <v>227</v>
      </c>
      <c r="B7450" t="s">
        <v>244</v>
      </c>
      <c r="C7450" s="2">
        <v>0.45829999999999999</v>
      </c>
      <c r="D7450" s="2">
        <v>0.30049999999999999</v>
      </c>
      <c r="E7450" s="2">
        <v>0.16830000000000001</v>
      </c>
      <c r="F7450" s="2">
        <v>5.2699999999999997E-2</v>
      </c>
      <c r="G7450" s="2">
        <v>9.4000000000000004E-3</v>
      </c>
      <c r="H7450" s="2">
        <v>6.1999999999999998E-3</v>
      </c>
      <c r="I7450" s="2">
        <v>4.4999999999999997E-3</v>
      </c>
      <c r="J7450" s="2">
        <v>1E-4</v>
      </c>
      <c r="K7450">
        <v>2029</v>
      </c>
    </row>
    <row r="7451" spans="1:11" x14ac:dyDescent="0.35">
      <c r="A7451" t="s">
        <v>228</v>
      </c>
      <c r="B7451" t="s">
        <v>228</v>
      </c>
      <c r="C7451" s="2">
        <v>0.46879999999999999</v>
      </c>
      <c r="D7451" s="2">
        <v>0.28549999999999998</v>
      </c>
      <c r="E7451" s="2">
        <v>0.1739</v>
      </c>
      <c r="F7451" s="2">
        <v>4.9399999999999999E-2</v>
      </c>
      <c r="G7451" s="2">
        <v>1.11E-2</v>
      </c>
      <c r="H7451" s="2">
        <v>6.3E-3</v>
      </c>
      <c r="I7451" s="2">
        <v>4.8999999999999998E-3</v>
      </c>
      <c r="J7451" s="2">
        <v>2.0000000000000001E-4</v>
      </c>
      <c r="K7451">
        <v>2812</v>
      </c>
    </row>
    <row r="7453" spans="1:11" x14ac:dyDescent="0.35">
      <c r="A7453" s="1" t="s">
        <v>1897</v>
      </c>
    </row>
    <row r="7454" spans="1:11" x14ac:dyDescent="0.35">
      <c r="A7454" t="s">
        <v>219</v>
      </c>
      <c r="B7454" t="s">
        <v>301</v>
      </c>
      <c r="C7454" t="s">
        <v>1884</v>
      </c>
      <c r="D7454" t="s">
        <v>1885</v>
      </c>
      <c r="E7454" t="s">
        <v>1886</v>
      </c>
      <c r="F7454" t="s">
        <v>1887</v>
      </c>
      <c r="G7454" t="s">
        <v>277</v>
      </c>
      <c r="H7454" t="s">
        <v>1888</v>
      </c>
      <c r="I7454" t="s">
        <v>1889</v>
      </c>
      <c r="J7454" t="s">
        <v>282</v>
      </c>
      <c r="K7454" t="s">
        <v>226</v>
      </c>
    </row>
    <row r="7455" spans="1:11" x14ac:dyDescent="0.35">
      <c r="A7455" t="s">
        <v>227</v>
      </c>
      <c r="B7455" t="s">
        <v>259</v>
      </c>
      <c r="C7455" s="2">
        <v>0.41239999999999999</v>
      </c>
      <c r="D7455" s="2">
        <v>0.39639999999999997</v>
      </c>
      <c r="E7455" s="2">
        <v>0.12590000000000001</v>
      </c>
      <c r="F7455" s="2">
        <v>6.0900000000000003E-2</v>
      </c>
      <c r="I7455" s="2">
        <v>4.3E-3</v>
      </c>
      <c r="K7455">
        <v>69</v>
      </c>
    </row>
    <row r="7456" spans="1:11" x14ac:dyDescent="0.35">
      <c r="A7456" t="s">
        <v>227</v>
      </c>
      <c r="B7456" t="s">
        <v>257</v>
      </c>
      <c r="C7456" s="2">
        <v>0.50109999999999999</v>
      </c>
      <c r="D7456" s="2">
        <v>0.25209999999999999</v>
      </c>
      <c r="E7456" s="2">
        <v>0.14710000000000001</v>
      </c>
      <c r="F7456" s="2">
        <v>5.4899999999999997E-2</v>
      </c>
      <c r="G7456" s="2">
        <v>2.2700000000000001E-2</v>
      </c>
      <c r="H7456" s="2">
        <v>4.5999999999999999E-3</v>
      </c>
      <c r="I7456" s="2">
        <v>1.7000000000000001E-2</v>
      </c>
      <c r="J7456" s="2">
        <v>4.0000000000000002E-4</v>
      </c>
      <c r="K7456">
        <v>405</v>
      </c>
    </row>
    <row r="7457" spans="1:11" x14ac:dyDescent="0.35">
      <c r="A7457" t="s">
        <v>227</v>
      </c>
      <c r="B7457" t="s">
        <v>256</v>
      </c>
      <c r="C7457" s="2">
        <v>0.42520000000000002</v>
      </c>
      <c r="D7457" s="2">
        <v>0.30930000000000002</v>
      </c>
      <c r="E7457" s="2">
        <v>0.20130000000000001</v>
      </c>
      <c r="F7457" s="2">
        <v>4.2700000000000002E-2</v>
      </c>
      <c r="G7457" s="2">
        <v>1.0800000000000001E-2</v>
      </c>
      <c r="H7457" s="2">
        <v>8.0000000000000002E-3</v>
      </c>
      <c r="I7457" s="2">
        <v>2.7000000000000001E-3</v>
      </c>
      <c r="K7457">
        <v>1802</v>
      </c>
    </row>
    <row r="7458" spans="1:11" x14ac:dyDescent="0.35">
      <c r="A7458" s="3" t="s">
        <v>227</v>
      </c>
      <c r="B7458" s="3" t="s">
        <v>232</v>
      </c>
      <c r="C7458" s="4">
        <v>0.56489999999999996</v>
      </c>
      <c r="D7458" s="4">
        <v>0.15959999999999999</v>
      </c>
      <c r="E7458" s="4">
        <v>0.27550000000000002</v>
      </c>
      <c r="F7458" s="5"/>
      <c r="G7458" s="5"/>
      <c r="H7458" s="5"/>
      <c r="I7458" s="5"/>
      <c r="J7458" s="5"/>
      <c r="K7458" s="5" t="s">
        <v>307</v>
      </c>
    </row>
    <row r="7459" spans="1:11" x14ac:dyDescent="0.35">
      <c r="A7459" t="s">
        <v>227</v>
      </c>
      <c r="B7459" t="s">
        <v>258</v>
      </c>
      <c r="C7459" s="2">
        <v>0.63339999999999996</v>
      </c>
      <c r="D7459" s="2">
        <v>0.2051</v>
      </c>
      <c r="E7459" s="2">
        <v>8.5400000000000004E-2</v>
      </c>
      <c r="F7459" s="2">
        <v>7.2999999999999995E-2</v>
      </c>
      <c r="H7459" s="2">
        <v>1.4E-3</v>
      </c>
      <c r="I7459" s="2">
        <v>1E-3</v>
      </c>
      <c r="J7459" s="2">
        <v>5.9999999999999995E-4</v>
      </c>
      <c r="K7459">
        <v>525</v>
      </c>
    </row>
    <row r="7460" spans="1:11" x14ac:dyDescent="0.35">
      <c r="A7460" t="s">
        <v>228</v>
      </c>
      <c r="B7460" t="s">
        <v>228</v>
      </c>
      <c r="C7460" s="2">
        <v>0.46879999999999999</v>
      </c>
      <c r="D7460" s="2">
        <v>0.28549999999999998</v>
      </c>
      <c r="E7460" s="2">
        <v>0.1739</v>
      </c>
      <c r="F7460" s="2">
        <v>4.9399999999999999E-2</v>
      </c>
      <c r="G7460" s="2">
        <v>1.11E-2</v>
      </c>
      <c r="H7460" s="2">
        <v>6.3E-3</v>
      </c>
      <c r="I7460" s="2">
        <v>4.8999999999999998E-3</v>
      </c>
      <c r="J7460" s="2">
        <v>2.0000000000000001E-4</v>
      </c>
      <c r="K7460">
        <v>2812</v>
      </c>
    </row>
    <row r="7462" spans="1:11" x14ac:dyDescent="0.35">
      <c r="A7462" s="1" t="s">
        <v>1898</v>
      </c>
    </row>
    <row r="7463" spans="1:11" x14ac:dyDescent="0.35">
      <c r="A7463" t="s">
        <v>219</v>
      </c>
      <c r="B7463" t="s">
        <v>301</v>
      </c>
      <c r="C7463" t="s">
        <v>1884</v>
      </c>
      <c r="D7463" t="s">
        <v>1885</v>
      </c>
      <c r="E7463" t="s">
        <v>1886</v>
      </c>
      <c r="F7463" t="s">
        <v>1887</v>
      </c>
      <c r="G7463" t="s">
        <v>277</v>
      </c>
      <c r="H7463" t="s">
        <v>1888</v>
      </c>
      <c r="I7463" t="s">
        <v>1889</v>
      </c>
      <c r="J7463" t="s">
        <v>282</v>
      </c>
      <c r="K7463" t="s">
        <v>226</v>
      </c>
    </row>
    <row r="7464" spans="1:11" x14ac:dyDescent="0.35">
      <c r="A7464" t="s">
        <v>227</v>
      </c>
      <c r="B7464" t="s">
        <v>343</v>
      </c>
      <c r="C7464" s="2">
        <v>0.50109999999999999</v>
      </c>
      <c r="D7464" s="2">
        <v>0.25209999999999999</v>
      </c>
      <c r="E7464" s="2">
        <v>0.14710000000000001</v>
      </c>
      <c r="F7464" s="2">
        <v>5.4899999999999997E-2</v>
      </c>
      <c r="G7464" s="2">
        <v>2.2700000000000001E-2</v>
      </c>
      <c r="H7464" s="2">
        <v>4.5999999999999999E-3</v>
      </c>
      <c r="I7464" s="2">
        <v>1.7000000000000001E-2</v>
      </c>
      <c r="J7464" s="2">
        <v>4.0000000000000002E-4</v>
      </c>
      <c r="K7464">
        <v>405</v>
      </c>
    </row>
    <row r="7465" spans="1:11" x14ac:dyDescent="0.35">
      <c r="A7465" t="s">
        <v>227</v>
      </c>
      <c r="B7465" t="s">
        <v>344</v>
      </c>
      <c r="C7465" s="2">
        <v>0.4622</v>
      </c>
      <c r="D7465" s="2">
        <v>0.29220000000000002</v>
      </c>
      <c r="E7465" s="2">
        <v>0.1794</v>
      </c>
      <c r="F7465" s="2">
        <v>4.8300000000000003E-2</v>
      </c>
      <c r="G7465" s="2">
        <v>8.6999999999999994E-3</v>
      </c>
      <c r="H7465" s="2">
        <v>6.7000000000000002E-3</v>
      </c>
      <c r="I7465" s="2">
        <v>2.3999999999999998E-3</v>
      </c>
      <c r="J7465" s="2">
        <v>1E-4</v>
      </c>
      <c r="K7465">
        <v>2407</v>
      </c>
    </row>
    <row r="7466" spans="1:11" x14ac:dyDescent="0.35">
      <c r="A7466" t="s">
        <v>228</v>
      </c>
      <c r="B7466" t="s">
        <v>228</v>
      </c>
      <c r="C7466" s="2">
        <v>0.46879999999999999</v>
      </c>
      <c r="D7466" s="2">
        <v>0.28549999999999998</v>
      </c>
      <c r="E7466" s="2">
        <v>0.1739</v>
      </c>
      <c r="F7466" s="2">
        <v>4.9399999999999999E-2</v>
      </c>
      <c r="G7466" s="2">
        <v>1.11E-2</v>
      </c>
      <c r="H7466" s="2">
        <v>6.3E-3</v>
      </c>
      <c r="I7466" s="2">
        <v>4.8999999999999998E-3</v>
      </c>
      <c r="J7466" s="2">
        <v>2.0000000000000001E-4</v>
      </c>
      <c r="K7466">
        <v>2812</v>
      </c>
    </row>
    <row r="7468" spans="1:11" x14ac:dyDescent="0.35">
      <c r="A7468" s="1" t="s">
        <v>1899</v>
      </c>
    </row>
    <row r="7469" spans="1:11" x14ac:dyDescent="0.35">
      <c r="A7469" t="s">
        <v>219</v>
      </c>
      <c r="B7469" t="s">
        <v>301</v>
      </c>
      <c r="C7469" t="s">
        <v>1884</v>
      </c>
      <c r="D7469" t="s">
        <v>1885</v>
      </c>
      <c r="E7469" t="s">
        <v>1886</v>
      </c>
      <c r="F7469" t="s">
        <v>1887</v>
      </c>
      <c r="G7469" t="s">
        <v>277</v>
      </c>
      <c r="H7469" t="s">
        <v>1888</v>
      </c>
      <c r="I7469" t="s">
        <v>1889</v>
      </c>
      <c r="J7469" t="s">
        <v>282</v>
      </c>
      <c r="K7469" t="s">
        <v>226</v>
      </c>
    </row>
    <row r="7470" spans="1:11" x14ac:dyDescent="0.35">
      <c r="A7470" t="s">
        <v>227</v>
      </c>
      <c r="B7470" t="s">
        <v>346</v>
      </c>
      <c r="C7470" s="2">
        <v>0.45619999999999999</v>
      </c>
      <c r="D7470" s="2">
        <v>0.29459999999999997</v>
      </c>
      <c r="E7470" s="2">
        <v>0.17580000000000001</v>
      </c>
      <c r="F7470" s="2">
        <v>5.0200000000000002E-2</v>
      </c>
      <c r="G7470" s="2">
        <v>1.17E-2</v>
      </c>
      <c r="H7470" s="2">
        <v>6.3E-3</v>
      </c>
      <c r="I7470" s="2">
        <v>5.1000000000000004E-3</v>
      </c>
      <c r="J7470" s="2">
        <v>1E-4</v>
      </c>
      <c r="K7470">
        <v>1463</v>
      </c>
    </row>
    <row r="7471" spans="1:11" x14ac:dyDescent="0.35">
      <c r="A7471" t="s">
        <v>227</v>
      </c>
      <c r="B7471" t="s">
        <v>347</v>
      </c>
      <c r="C7471" s="2">
        <v>0.3821</v>
      </c>
      <c r="D7471" s="2">
        <v>0.25890000000000002</v>
      </c>
      <c r="E7471" s="2">
        <v>0.27350000000000002</v>
      </c>
      <c r="F7471" s="2">
        <v>5.5100000000000003E-2</v>
      </c>
      <c r="G7471" s="2">
        <v>3.3E-3</v>
      </c>
      <c r="H7471" s="2">
        <v>1.7100000000000001E-2</v>
      </c>
      <c r="I7471" s="2">
        <v>7.4999999999999997E-3</v>
      </c>
      <c r="J7471" s="2">
        <v>2.5999999999999999E-3</v>
      </c>
      <c r="K7471">
        <v>585</v>
      </c>
    </row>
    <row r="7472" spans="1:11" x14ac:dyDescent="0.35">
      <c r="A7472" t="s">
        <v>227</v>
      </c>
      <c r="B7472" t="s">
        <v>348</v>
      </c>
      <c r="C7472" s="2">
        <v>0.61519999999999997</v>
      </c>
      <c r="D7472" s="2">
        <v>0.2127</v>
      </c>
      <c r="E7472" s="2">
        <v>0.11890000000000001</v>
      </c>
      <c r="F7472" s="2">
        <v>4.0599999999999997E-2</v>
      </c>
      <c r="G7472" s="2">
        <v>8.2000000000000007E-3</v>
      </c>
      <c r="H7472" s="2">
        <v>2.8E-3</v>
      </c>
      <c r="I7472" s="2">
        <v>1.6000000000000001E-3</v>
      </c>
      <c r="K7472">
        <v>764</v>
      </c>
    </row>
    <row r="7473" spans="1:11" x14ac:dyDescent="0.35">
      <c r="A7473" t="s">
        <v>228</v>
      </c>
      <c r="B7473" t="s">
        <v>228</v>
      </c>
      <c r="C7473" s="2">
        <v>0.46879999999999999</v>
      </c>
      <c r="D7473" s="2">
        <v>0.28549999999999998</v>
      </c>
      <c r="E7473" s="2">
        <v>0.1739</v>
      </c>
      <c r="F7473" s="2">
        <v>4.9399999999999999E-2</v>
      </c>
      <c r="G7473" s="2">
        <v>1.11E-2</v>
      </c>
      <c r="H7473" s="2">
        <v>6.3E-3</v>
      </c>
      <c r="I7473" s="2">
        <v>4.8999999999999998E-3</v>
      </c>
      <c r="J7473" s="2">
        <v>2.0000000000000001E-4</v>
      </c>
      <c r="K7473">
        <v>2812</v>
      </c>
    </row>
    <row r="7475" spans="1:11" x14ac:dyDescent="0.35">
      <c r="A7475" s="1" t="s">
        <v>1900</v>
      </c>
    </row>
    <row r="7476" spans="1:11" x14ac:dyDescent="0.35">
      <c r="A7476" t="s">
        <v>219</v>
      </c>
      <c r="B7476" t="s">
        <v>301</v>
      </c>
      <c r="C7476" t="s">
        <v>1884</v>
      </c>
      <c r="D7476" t="s">
        <v>1885</v>
      </c>
      <c r="E7476" t="s">
        <v>1886</v>
      </c>
      <c r="F7476" t="s">
        <v>1887</v>
      </c>
      <c r="G7476" t="s">
        <v>277</v>
      </c>
      <c r="H7476" t="s">
        <v>1888</v>
      </c>
      <c r="I7476" t="s">
        <v>1889</v>
      </c>
      <c r="J7476" t="s">
        <v>282</v>
      </c>
      <c r="K7476" t="s">
        <v>226</v>
      </c>
    </row>
    <row r="7477" spans="1:11" x14ac:dyDescent="0.35">
      <c r="A7477" t="s">
        <v>227</v>
      </c>
      <c r="B7477" t="s">
        <v>251</v>
      </c>
      <c r="C7477" s="2">
        <v>0.45829999999999999</v>
      </c>
      <c r="D7477" s="2">
        <v>0.30049999999999999</v>
      </c>
      <c r="E7477" s="2">
        <v>0.16830000000000001</v>
      </c>
      <c r="F7477" s="2">
        <v>5.2699999999999997E-2</v>
      </c>
      <c r="G7477" s="2">
        <v>9.4000000000000004E-3</v>
      </c>
      <c r="H7477" s="2">
        <v>6.1999999999999998E-3</v>
      </c>
      <c r="I7477" s="2">
        <v>4.4999999999999997E-3</v>
      </c>
      <c r="J7477" s="2">
        <v>1E-4</v>
      </c>
      <c r="K7477">
        <v>2029</v>
      </c>
    </row>
    <row r="7478" spans="1:11" x14ac:dyDescent="0.35">
      <c r="A7478" t="s">
        <v>227</v>
      </c>
      <c r="B7478" t="s">
        <v>252</v>
      </c>
      <c r="C7478" s="2">
        <v>0.4965</v>
      </c>
      <c r="D7478" s="2">
        <v>0.2344</v>
      </c>
      <c r="E7478" s="2">
        <v>0.1988</v>
      </c>
      <c r="F7478" s="2">
        <v>4.8399999999999999E-2</v>
      </c>
      <c r="G7478" s="2">
        <v>8.3000000000000001E-3</v>
      </c>
      <c r="H7478" s="2">
        <v>6.0000000000000001E-3</v>
      </c>
      <c r="I7478" s="2">
        <v>7.3000000000000001E-3</v>
      </c>
      <c r="J7478" s="2">
        <v>2.9999999999999997E-4</v>
      </c>
      <c r="K7478">
        <v>621</v>
      </c>
    </row>
    <row r="7479" spans="1:11" x14ac:dyDescent="0.35">
      <c r="A7479" t="s">
        <v>227</v>
      </c>
      <c r="B7479" t="s">
        <v>253</v>
      </c>
      <c r="C7479" s="2">
        <v>0.48670000000000002</v>
      </c>
      <c r="D7479" s="2">
        <v>0.31040000000000001</v>
      </c>
      <c r="E7479" s="2">
        <v>0.1363</v>
      </c>
      <c r="F7479" s="2">
        <v>1.12E-2</v>
      </c>
      <c r="G7479" s="2">
        <v>4.5499999999999999E-2</v>
      </c>
      <c r="H7479" s="2">
        <v>9.7999999999999997E-3</v>
      </c>
      <c r="K7479">
        <v>153</v>
      </c>
    </row>
    <row r="7480" spans="1:11" x14ac:dyDescent="0.35">
      <c r="A7480" s="3" t="s">
        <v>227</v>
      </c>
      <c r="B7480" s="3" t="s">
        <v>254</v>
      </c>
      <c r="C7480" s="4">
        <v>0.57989999999999997</v>
      </c>
      <c r="D7480" s="4">
        <v>7.2300000000000003E-2</v>
      </c>
      <c r="E7480" s="4">
        <v>0.3478</v>
      </c>
      <c r="F7480" s="5"/>
      <c r="G7480" s="5"/>
      <c r="H7480" s="5"/>
      <c r="I7480" s="5"/>
      <c r="J7480" s="5"/>
      <c r="K7480" s="5" t="s">
        <v>515</v>
      </c>
    </row>
    <row r="7481" spans="1:11" x14ac:dyDescent="0.35">
      <c r="A7481" t="s">
        <v>228</v>
      </c>
      <c r="B7481" t="s">
        <v>228</v>
      </c>
      <c r="C7481" s="2">
        <v>0.46879999999999999</v>
      </c>
      <c r="D7481" s="2">
        <v>0.28549999999999998</v>
      </c>
      <c r="E7481" s="2">
        <v>0.1739</v>
      </c>
      <c r="F7481" s="2">
        <v>4.9399999999999999E-2</v>
      </c>
      <c r="G7481" s="2">
        <v>1.11E-2</v>
      </c>
      <c r="H7481" s="2">
        <v>6.3E-3</v>
      </c>
      <c r="I7481" s="2">
        <v>4.8999999999999998E-3</v>
      </c>
      <c r="J7481" s="2">
        <v>2.0000000000000001E-4</v>
      </c>
      <c r="K7481">
        <v>2812</v>
      </c>
    </row>
    <row r="7483" spans="1:11" x14ac:dyDescent="0.35">
      <c r="A7483" s="1" t="s">
        <v>1901</v>
      </c>
    </row>
    <row r="7484" spans="1:11" x14ac:dyDescent="0.35">
      <c r="A7484" t="s">
        <v>219</v>
      </c>
      <c r="B7484" t="s">
        <v>1902</v>
      </c>
      <c r="C7484" t="s">
        <v>1903</v>
      </c>
      <c r="D7484" t="s">
        <v>1904</v>
      </c>
      <c r="E7484" t="s">
        <v>1905</v>
      </c>
      <c r="F7484" t="s">
        <v>1906</v>
      </c>
      <c r="G7484" t="s">
        <v>1907</v>
      </c>
      <c r="H7484" t="s">
        <v>1908</v>
      </c>
      <c r="I7484" t="s">
        <v>1909</v>
      </c>
      <c r="J7484" t="s">
        <v>226</v>
      </c>
    </row>
    <row r="7485" spans="1:11" x14ac:dyDescent="0.35">
      <c r="A7485" t="s">
        <v>227</v>
      </c>
      <c r="B7485" s="2">
        <v>0.99780000000000002</v>
      </c>
      <c r="C7485" s="2">
        <v>8.9999999999999998E-4</v>
      </c>
      <c r="D7485" s="2">
        <v>6.9999999999999999E-4</v>
      </c>
      <c r="E7485" s="2">
        <v>2.0000000000000001E-4</v>
      </c>
      <c r="F7485" s="2">
        <v>2.0000000000000001E-4</v>
      </c>
      <c r="G7485" s="2">
        <v>1E-4</v>
      </c>
      <c r="H7485" s="2">
        <v>1E-4</v>
      </c>
      <c r="I7485" s="2">
        <v>0</v>
      </c>
      <c r="J7485">
        <v>2813</v>
      </c>
    </row>
    <row r="7486" spans="1:11" x14ac:dyDescent="0.35">
      <c r="A7486" t="s">
        <v>228</v>
      </c>
      <c r="B7486" s="2">
        <v>0.99780000000000002</v>
      </c>
      <c r="C7486" s="2">
        <v>8.9999999999999998E-4</v>
      </c>
      <c r="D7486" s="2">
        <v>6.9999999999999999E-4</v>
      </c>
      <c r="E7486" s="2">
        <v>2.0000000000000001E-4</v>
      </c>
      <c r="F7486" s="2">
        <v>2.0000000000000001E-4</v>
      </c>
      <c r="G7486" s="2">
        <v>1E-4</v>
      </c>
      <c r="H7486" s="2">
        <v>1E-4</v>
      </c>
      <c r="I7486" s="2">
        <v>0</v>
      </c>
      <c r="J7486">
        <v>2813</v>
      </c>
    </row>
    <row r="7488" spans="1:11" x14ac:dyDescent="0.35">
      <c r="A7488" s="1" t="s">
        <v>1910</v>
      </c>
    </row>
    <row r="7489" spans="1:11" x14ac:dyDescent="0.35">
      <c r="A7489" t="s">
        <v>219</v>
      </c>
      <c r="B7489" t="s">
        <v>301</v>
      </c>
      <c r="C7489" t="s">
        <v>1902</v>
      </c>
      <c r="D7489" t="s">
        <v>1903</v>
      </c>
      <c r="E7489" t="s">
        <v>1904</v>
      </c>
      <c r="F7489" t="s">
        <v>1905</v>
      </c>
      <c r="G7489" t="s">
        <v>1906</v>
      </c>
      <c r="H7489" t="s">
        <v>1907</v>
      </c>
      <c r="I7489" t="s">
        <v>1908</v>
      </c>
      <c r="J7489" t="s">
        <v>1909</v>
      </c>
      <c r="K7489" t="s">
        <v>226</v>
      </c>
    </row>
    <row r="7490" spans="1:11" x14ac:dyDescent="0.35">
      <c r="A7490" t="s">
        <v>227</v>
      </c>
      <c r="B7490" t="s">
        <v>238</v>
      </c>
      <c r="C7490" s="2">
        <v>0.99570000000000003</v>
      </c>
      <c r="D7490" s="2">
        <v>1.6999999999999999E-3</v>
      </c>
      <c r="E7490" s="2">
        <v>1.6999999999999999E-3</v>
      </c>
      <c r="F7490" s="2">
        <v>5.0000000000000001E-4</v>
      </c>
      <c r="G7490" s="2">
        <v>1E-4</v>
      </c>
      <c r="I7490" s="2">
        <v>2.9999999999999997E-4</v>
      </c>
      <c r="K7490">
        <v>1005</v>
      </c>
    </row>
    <row r="7491" spans="1:11" x14ac:dyDescent="0.35">
      <c r="A7491" t="s">
        <v>227</v>
      </c>
      <c r="B7491" t="s">
        <v>237</v>
      </c>
      <c r="C7491" s="2">
        <v>0.999</v>
      </c>
      <c r="D7491" s="2">
        <v>2.9999999999999997E-4</v>
      </c>
      <c r="E7491" s="2">
        <v>1E-4</v>
      </c>
      <c r="G7491" s="2">
        <v>2.0000000000000001E-4</v>
      </c>
      <c r="H7491" s="2">
        <v>2.0000000000000001E-4</v>
      </c>
      <c r="I7491" s="2">
        <v>1E-4</v>
      </c>
      <c r="J7491" s="2">
        <v>0</v>
      </c>
      <c r="K7491">
        <v>1808</v>
      </c>
    </row>
    <row r="7492" spans="1:11" x14ac:dyDescent="0.35">
      <c r="A7492" t="s">
        <v>228</v>
      </c>
      <c r="B7492" t="s">
        <v>228</v>
      </c>
      <c r="C7492" s="2">
        <v>0.99780000000000002</v>
      </c>
      <c r="D7492" s="2">
        <v>8.9999999999999998E-4</v>
      </c>
      <c r="E7492" s="2">
        <v>6.9999999999999999E-4</v>
      </c>
      <c r="F7492" s="2">
        <v>2.0000000000000001E-4</v>
      </c>
      <c r="G7492" s="2">
        <v>2.0000000000000001E-4</v>
      </c>
      <c r="H7492" s="2">
        <v>1E-4</v>
      </c>
      <c r="I7492" s="2">
        <v>1E-4</v>
      </c>
      <c r="J7492" s="2">
        <v>0</v>
      </c>
      <c r="K7492">
        <v>2813</v>
      </c>
    </row>
    <row r="7494" spans="1:11" x14ac:dyDescent="0.35">
      <c r="A7494" s="1" t="s">
        <v>1911</v>
      </c>
    </row>
    <row r="7495" spans="1:11" x14ac:dyDescent="0.35">
      <c r="A7495" t="s">
        <v>219</v>
      </c>
      <c r="B7495" t="s">
        <v>301</v>
      </c>
      <c r="C7495" t="s">
        <v>1902</v>
      </c>
      <c r="D7495" t="s">
        <v>1903</v>
      </c>
      <c r="E7495" t="s">
        <v>1904</v>
      </c>
      <c r="F7495" t="s">
        <v>1905</v>
      </c>
      <c r="G7495" t="s">
        <v>1906</v>
      </c>
      <c r="H7495" t="s">
        <v>1907</v>
      </c>
      <c r="I7495" t="s">
        <v>1908</v>
      </c>
      <c r="J7495" t="s">
        <v>1909</v>
      </c>
      <c r="K7495" t="s">
        <v>226</v>
      </c>
    </row>
    <row r="7496" spans="1:11" x14ac:dyDescent="0.35">
      <c r="A7496" t="s">
        <v>227</v>
      </c>
      <c r="B7496" t="s">
        <v>235</v>
      </c>
      <c r="C7496" s="2">
        <v>0.99660000000000004</v>
      </c>
      <c r="D7496" s="2">
        <v>2.7000000000000001E-3</v>
      </c>
      <c r="G7496" s="2">
        <v>5.0000000000000001E-4</v>
      </c>
      <c r="I7496" s="2">
        <v>2.0000000000000001E-4</v>
      </c>
      <c r="K7496">
        <v>992</v>
      </c>
    </row>
    <row r="7497" spans="1:11" x14ac:dyDescent="0.35">
      <c r="A7497" t="s">
        <v>227</v>
      </c>
      <c r="B7497" t="s">
        <v>234</v>
      </c>
      <c r="C7497" s="2">
        <v>0.99819999999999998</v>
      </c>
      <c r="D7497" s="2">
        <v>1E-4</v>
      </c>
      <c r="E7497" s="2">
        <v>1E-3</v>
      </c>
      <c r="F7497" s="2">
        <v>2.9999999999999997E-4</v>
      </c>
      <c r="G7497" s="2">
        <v>0</v>
      </c>
      <c r="H7497" s="2">
        <v>2.0000000000000001E-4</v>
      </c>
      <c r="I7497" s="2">
        <v>1E-4</v>
      </c>
      <c r="J7497" s="2">
        <v>0</v>
      </c>
      <c r="K7497">
        <v>1821</v>
      </c>
    </row>
    <row r="7498" spans="1:11" x14ac:dyDescent="0.35">
      <c r="A7498" t="s">
        <v>228</v>
      </c>
      <c r="B7498" t="s">
        <v>228</v>
      </c>
      <c r="C7498" s="2">
        <v>0.99780000000000002</v>
      </c>
      <c r="D7498" s="2">
        <v>8.9999999999999998E-4</v>
      </c>
      <c r="E7498" s="2">
        <v>6.9999999999999999E-4</v>
      </c>
      <c r="F7498" s="2">
        <v>2.0000000000000001E-4</v>
      </c>
      <c r="G7498" s="2">
        <v>2.0000000000000001E-4</v>
      </c>
      <c r="H7498" s="2">
        <v>1E-4</v>
      </c>
      <c r="I7498" s="2">
        <v>1E-4</v>
      </c>
      <c r="J7498" s="2">
        <v>0</v>
      </c>
      <c r="K7498">
        <v>2813</v>
      </c>
    </row>
    <row r="7500" spans="1:11" x14ac:dyDescent="0.35">
      <c r="A7500" s="1" t="s">
        <v>1912</v>
      </c>
    </row>
    <row r="7501" spans="1:11" x14ac:dyDescent="0.35">
      <c r="A7501" t="s">
        <v>219</v>
      </c>
      <c r="B7501" t="s">
        <v>301</v>
      </c>
      <c r="C7501" t="s">
        <v>1902</v>
      </c>
      <c r="D7501" t="s">
        <v>1903</v>
      </c>
      <c r="E7501" t="s">
        <v>1904</v>
      </c>
      <c r="F7501" t="s">
        <v>1905</v>
      </c>
      <c r="G7501" t="s">
        <v>1906</v>
      </c>
      <c r="H7501" t="s">
        <v>1907</v>
      </c>
      <c r="I7501" t="s">
        <v>1908</v>
      </c>
      <c r="J7501" t="s">
        <v>1909</v>
      </c>
      <c r="K7501" t="s">
        <v>226</v>
      </c>
    </row>
    <row r="7502" spans="1:11" x14ac:dyDescent="0.35">
      <c r="A7502" t="s">
        <v>227</v>
      </c>
      <c r="B7502" t="s">
        <v>240</v>
      </c>
      <c r="C7502" s="2">
        <v>0.99880000000000002</v>
      </c>
      <c r="D7502" s="2">
        <v>2.9999999999999997E-4</v>
      </c>
      <c r="E7502" s="2">
        <v>1E-4</v>
      </c>
      <c r="F7502" s="2">
        <v>2.9999999999999997E-4</v>
      </c>
      <c r="G7502" s="2">
        <v>2.9999999999999997E-4</v>
      </c>
      <c r="H7502" s="2">
        <v>2.0000000000000001E-4</v>
      </c>
      <c r="I7502" s="2">
        <v>1E-4</v>
      </c>
      <c r="K7502">
        <v>1756</v>
      </c>
    </row>
    <row r="7503" spans="1:11" x14ac:dyDescent="0.35">
      <c r="A7503" t="s">
        <v>227</v>
      </c>
      <c r="B7503" t="s">
        <v>241</v>
      </c>
      <c r="C7503" s="2">
        <v>0.99509999999999998</v>
      </c>
      <c r="D7503" s="2">
        <v>2.3E-3</v>
      </c>
      <c r="E7503" s="2">
        <v>2.2000000000000001E-3</v>
      </c>
      <c r="I7503" s="2">
        <v>2.9999999999999997E-4</v>
      </c>
      <c r="J7503" s="2">
        <v>1E-4</v>
      </c>
      <c r="K7503">
        <v>891</v>
      </c>
    </row>
    <row r="7504" spans="1:11" x14ac:dyDescent="0.35">
      <c r="A7504" t="s">
        <v>227</v>
      </c>
      <c r="B7504" t="s">
        <v>242</v>
      </c>
      <c r="C7504" s="2">
        <v>1</v>
      </c>
      <c r="K7504">
        <v>166</v>
      </c>
    </row>
    <row r="7505" spans="1:11" x14ac:dyDescent="0.35">
      <c r="A7505" t="s">
        <v>228</v>
      </c>
      <c r="B7505" t="s">
        <v>228</v>
      </c>
      <c r="C7505" s="2">
        <v>0.99780000000000002</v>
      </c>
      <c r="D7505" s="2">
        <v>8.9999999999999998E-4</v>
      </c>
      <c r="E7505" s="2">
        <v>6.9999999999999999E-4</v>
      </c>
      <c r="F7505" s="2">
        <v>2.0000000000000001E-4</v>
      </c>
      <c r="G7505" s="2">
        <v>2.0000000000000001E-4</v>
      </c>
      <c r="H7505" s="2">
        <v>1E-4</v>
      </c>
      <c r="I7505" s="2">
        <v>1E-4</v>
      </c>
      <c r="J7505" s="2">
        <v>0</v>
      </c>
      <c r="K7505">
        <v>2813</v>
      </c>
    </row>
    <row r="7507" spans="1:11" x14ac:dyDescent="0.35">
      <c r="A7507" s="1" t="s">
        <v>1913</v>
      </c>
    </row>
    <row r="7508" spans="1:11" x14ac:dyDescent="0.35">
      <c r="A7508" t="s">
        <v>219</v>
      </c>
      <c r="B7508" t="s">
        <v>301</v>
      </c>
      <c r="C7508" t="s">
        <v>1902</v>
      </c>
      <c r="D7508" t="s">
        <v>1903</v>
      </c>
      <c r="E7508" t="s">
        <v>1904</v>
      </c>
      <c r="F7508" t="s">
        <v>1905</v>
      </c>
      <c r="G7508" t="s">
        <v>1906</v>
      </c>
      <c r="H7508" t="s">
        <v>1907</v>
      </c>
      <c r="I7508" t="s">
        <v>1908</v>
      </c>
      <c r="J7508" t="s">
        <v>1909</v>
      </c>
      <c r="K7508" t="s">
        <v>226</v>
      </c>
    </row>
    <row r="7509" spans="1:11" x14ac:dyDescent="0.35">
      <c r="A7509" t="s">
        <v>227</v>
      </c>
      <c r="B7509" t="s">
        <v>334</v>
      </c>
      <c r="C7509" s="2">
        <v>0.99229999999999996</v>
      </c>
      <c r="D7509" s="2">
        <v>4.0000000000000001E-3</v>
      </c>
      <c r="E7509" s="2">
        <v>3.0999999999999999E-3</v>
      </c>
      <c r="G7509" s="2">
        <v>1E-4</v>
      </c>
      <c r="I7509" s="2">
        <v>4.0000000000000002E-4</v>
      </c>
      <c r="K7509">
        <v>625</v>
      </c>
    </row>
    <row r="7510" spans="1:11" x14ac:dyDescent="0.35">
      <c r="A7510" t="s">
        <v>227</v>
      </c>
      <c r="B7510" t="s">
        <v>335</v>
      </c>
      <c r="C7510" s="2">
        <v>1</v>
      </c>
      <c r="K7510">
        <v>628</v>
      </c>
    </row>
    <row r="7511" spans="1:11" x14ac:dyDescent="0.35">
      <c r="A7511" t="s">
        <v>227</v>
      </c>
      <c r="B7511" t="s">
        <v>336</v>
      </c>
      <c r="C7511" s="2">
        <v>0.99960000000000004</v>
      </c>
      <c r="I7511" s="2">
        <v>2.0000000000000001E-4</v>
      </c>
      <c r="J7511" s="2">
        <v>1E-4</v>
      </c>
      <c r="K7511">
        <v>621</v>
      </c>
    </row>
    <row r="7512" spans="1:11" x14ac:dyDescent="0.35">
      <c r="A7512" t="s">
        <v>227</v>
      </c>
      <c r="B7512" t="s">
        <v>337</v>
      </c>
      <c r="C7512" s="2">
        <v>1</v>
      </c>
      <c r="K7512">
        <v>602</v>
      </c>
    </row>
    <row r="7513" spans="1:11" x14ac:dyDescent="0.35">
      <c r="A7513" t="s">
        <v>228</v>
      </c>
      <c r="B7513" t="s">
        <v>228</v>
      </c>
      <c r="C7513" s="2">
        <v>0.99780000000000002</v>
      </c>
      <c r="D7513" s="2">
        <v>8.9999999999999998E-4</v>
      </c>
      <c r="E7513" s="2">
        <v>6.9999999999999999E-4</v>
      </c>
      <c r="F7513" s="2">
        <v>2.0000000000000001E-4</v>
      </c>
      <c r="G7513" s="2">
        <v>2.0000000000000001E-4</v>
      </c>
      <c r="H7513" s="2">
        <v>1E-4</v>
      </c>
      <c r="I7513" s="2">
        <v>1E-4</v>
      </c>
      <c r="J7513" s="2">
        <v>0</v>
      </c>
      <c r="K7513">
        <v>2476</v>
      </c>
    </row>
    <row r="7515" spans="1:11" x14ac:dyDescent="0.35">
      <c r="A7515" s="1" t="s">
        <v>1914</v>
      </c>
    </row>
    <row r="7516" spans="1:11" x14ac:dyDescent="0.35">
      <c r="A7516" t="s">
        <v>219</v>
      </c>
      <c r="B7516" t="s">
        <v>301</v>
      </c>
      <c r="C7516" t="s">
        <v>1902</v>
      </c>
      <c r="D7516" t="s">
        <v>1903</v>
      </c>
      <c r="E7516" t="s">
        <v>1904</v>
      </c>
      <c r="F7516" t="s">
        <v>1905</v>
      </c>
      <c r="G7516" t="s">
        <v>1906</v>
      </c>
      <c r="H7516" t="s">
        <v>1907</v>
      </c>
      <c r="I7516" t="s">
        <v>1908</v>
      </c>
      <c r="J7516" t="s">
        <v>1909</v>
      </c>
      <c r="K7516" t="s">
        <v>226</v>
      </c>
    </row>
    <row r="7517" spans="1:11" x14ac:dyDescent="0.35">
      <c r="A7517" t="s">
        <v>227</v>
      </c>
      <c r="B7517" t="s">
        <v>263</v>
      </c>
      <c r="C7517" s="2">
        <v>0.99890000000000001</v>
      </c>
      <c r="F7517" s="2">
        <v>8.9999999999999998E-4</v>
      </c>
      <c r="G7517" s="2">
        <v>2.0000000000000001E-4</v>
      </c>
      <c r="K7517">
        <v>589</v>
      </c>
    </row>
    <row r="7518" spans="1:11" x14ac:dyDescent="0.35">
      <c r="A7518" t="s">
        <v>227</v>
      </c>
      <c r="B7518" t="s">
        <v>262</v>
      </c>
      <c r="C7518" s="2">
        <v>0.996</v>
      </c>
      <c r="D7518" s="2">
        <v>1.9E-3</v>
      </c>
      <c r="E7518" s="2">
        <v>1.8E-3</v>
      </c>
      <c r="I7518" s="2">
        <v>2.9999999999999997E-4</v>
      </c>
      <c r="J7518" s="2">
        <v>1E-4</v>
      </c>
      <c r="K7518">
        <v>1160</v>
      </c>
    </row>
    <row r="7519" spans="1:11" x14ac:dyDescent="0.35">
      <c r="A7519" t="s">
        <v>227</v>
      </c>
      <c r="B7519" t="s">
        <v>261</v>
      </c>
      <c r="C7519" s="2">
        <v>0.99870000000000003</v>
      </c>
      <c r="D7519" s="2">
        <v>4.0000000000000002E-4</v>
      </c>
      <c r="E7519" s="2">
        <v>2.0000000000000001E-4</v>
      </c>
      <c r="G7519" s="2">
        <v>2.9999999999999997E-4</v>
      </c>
      <c r="H7519" s="2">
        <v>2.9999999999999997E-4</v>
      </c>
      <c r="I7519" s="2">
        <v>1E-4</v>
      </c>
      <c r="K7519">
        <v>1062</v>
      </c>
    </row>
    <row r="7520" spans="1:11" x14ac:dyDescent="0.35">
      <c r="A7520" s="3" t="s">
        <v>227</v>
      </c>
      <c r="B7520" s="3" t="s">
        <v>232</v>
      </c>
      <c r="C7520" s="4">
        <v>1</v>
      </c>
      <c r="D7520" s="5"/>
      <c r="E7520" s="5"/>
      <c r="F7520" s="5"/>
      <c r="G7520" s="5"/>
      <c r="H7520" s="5"/>
      <c r="I7520" s="5"/>
      <c r="J7520" s="5"/>
      <c r="K7520" s="5" t="s">
        <v>434</v>
      </c>
    </row>
    <row r="7521" spans="1:11" x14ac:dyDescent="0.35">
      <c r="A7521" t="s">
        <v>228</v>
      </c>
      <c r="B7521" t="s">
        <v>228</v>
      </c>
      <c r="C7521" s="2">
        <v>0.99780000000000002</v>
      </c>
      <c r="D7521" s="2">
        <v>8.9999999999999998E-4</v>
      </c>
      <c r="E7521" s="2">
        <v>6.9999999999999999E-4</v>
      </c>
      <c r="F7521" s="2">
        <v>2.0000000000000001E-4</v>
      </c>
      <c r="G7521" s="2">
        <v>2.0000000000000001E-4</v>
      </c>
      <c r="H7521" s="2">
        <v>1E-4</v>
      </c>
      <c r="I7521" s="2">
        <v>1E-4</v>
      </c>
      <c r="J7521" s="2">
        <v>0</v>
      </c>
      <c r="K7521">
        <v>2813</v>
      </c>
    </row>
    <row r="7523" spans="1:11" x14ac:dyDescent="0.35">
      <c r="A7523" s="1" t="s">
        <v>1915</v>
      </c>
    </row>
    <row r="7524" spans="1:11" x14ac:dyDescent="0.35">
      <c r="A7524" t="s">
        <v>219</v>
      </c>
      <c r="B7524" t="s">
        <v>301</v>
      </c>
      <c r="C7524" t="s">
        <v>1902</v>
      </c>
      <c r="D7524" t="s">
        <v>1903</v>
      </c>
      <c r="E7524" t="s">
        <v>1904</v>
      </c>
      <c r="F7524" t="s">
        <v>1905</v>
      </c>
      <c r="G7524" t="s">
        <v>1906</v>
      </c>
      <c r="H7524" t="s">
        <v>1907</v>
      </c>
      <c r="I7524" t="s">
        <v>1908</v>
      </c>
      <c r="J7524" t="s">
        <v>1909</v>
      </c>
      <c r="K7524" t="s">
        <v>226</v>
      </c>
    </row>
    <row r="7525" spans="1:11" x14ac:dyDescent="0.35">
      <c r="A7525" t="s">
        <v>227</v>
      </c>
      <c r="B7525" t="s">
        <v>248</v>
      </c>
      <c r="C7525" s="2">
        <v>0.99409999999999998</v>
      </c>
      <c r="D7525" s="2">
        <v>3.0999999999999999E-3</v>
      </c>
      <c r="E7525" s="2">
        <v>2.3E-3</v>
      </c>
      <c r="I7525" s="2">
        <v>2.9999999999999997E-4</v>
      </c>
      <c r="J7525" s="2">
        <v>1E-4</v>
      </c>
      <c r="K7525">
        <v>796</v>
      </c>
    </row>
    <row r="7526" spans="1:11" x14ac:dyDescent="0.35">
      <c r="A7526" t="s">
        <v>227</v>
      </c>
      <c r="B7526" t="s">
        <v>249</v>
      </c>
      <c r="C7526" s="2">
        <v>0.99990000000000001</v>
      </c>
      <c r="G7526" s="2">
        <v>1E-4</v>
      </c>
      <c r="K7526">
        <v>541</v>
      </c>
    </row>
    <row r="7527" spans="1:11" x14ac:dyDescent="0.35">
      <c r="A7527" t="s">
        <v>227</v>
      </c>
      <c r="B7527" t="s">
        <v>247</v>
      </c>
      <c r="C7527" s="2">
        <v>0.99890000000000001</v>
      </c>
      <c r="E7527" s="2">
        <v>2.0000000000000001E-4</v>
      </c>
      <c r="F7527" s="2">
        <v>4.0000000000000002E-4</v>
      </c>
      <c r="G7527" s="2">
        <v>2.9999999999999997E-4</v>
      </c>
      <c r="H7527" s="2">
        <v>2.0000000000000001E-4</v>
      </c>
      <c r="I7527" s="2">
        <v>1E-4</v>
      </c>
      <c r="K7527">
        <v>1476</v>
      </c>
    </row>
    <row r="7528" spans="1:11" x14ac:dyDescent="0.35">
      <c r="A7528" t="s">
        <v>228</v>
      </c>
      <c r="B7528" t="s">
        <v>228</v>
      </c>
      <c r="C7528" s="2">
        <v>0.99780000000000002</v>
      </c>
      <c r="D7528" s="2">
        <v>8.9999999999999998E-4</v>
      </c>
      <c r="E7528" s="2">
        <v>6.9999999999999999E-4</v>
      </c>
      <c r="F7528" s="2">
        <v>2.0000000000000001E-4</v>
      </c>
      <c r="G7528" s="2">
        <v>2.0000000000000001E-4</v>
      </c>
      <c r="H7528" s="2">
        <v>1E-4</v>
      </c>
      <c r="I7528" s="2">
        <v>1E-4</v>
      </c>
      <c r="J7528" s="2">
        <v>0</v>
      </c>
      <c r="K7528">
        <v>2813</v>
      </c>
    </row>
    <row r="7530" spans="1:11" x14ac:dyDescent="0.35">
      <c r="A7530" s="1" t="s">
        <v>1916</v>
      </c>
    </row>
    <row r="7531" spans="1:11" x14ac:dyDescent="0.35">
      <c r="A7531" t="s">
        <v>219</v>
      </c>
      <c r="B7531" t="s">
        <v>301</v>
      </c>
      <c r="C7531" t="s">
        <v>1902</v>
      </c>
      <c r="D7531" t="s">
        <v>1903</v>
      </c>
      <c r="E7531" t="s">
        <v>1904</v>
      </c>
      <c r="F7531" t="s">
        <v>1905</v>
      </c>
      <c r="G7531" t="s">
        <v>1906</v>
      </c>
      <c r="H7531" t="s">
        <v>1907</v>
      </c>
      <c r="I7531" t="s">
        <v>1908</v>
      </c>
      <c r="J7531" t="s">
        <v>1909</v>
      </c>
      <c r="K7531" t="s">
        <v>226</v>
      </c>
    </row>
    <row r="7532" spans="1:11" x14ac:dyDescent="0.35">
      <c r="A7532" t="s">
        <v>227</v>
      </c>
      <c r="B7532" t="s">
        <v>245</v>
      </c>
      <c r="C7532" s="2">
        <v>0.99960000000000004</v>
      </c>
      <c r="E7532" s="2">
        <v>2.9999999999999997E-4</v>
      </c>
      <c r="H7532" s="2">
        <v>1E-4</v>
      </c>
      <c r="K7532">
        <v>783</v>
      </c>
    </row>
    <row r="7533" spans="1:11" x14ac:dyDescent="0.35">
      <c r="A7533" t="s">
        <v>227</v>
      </c>
      <c r="B7533" t="s">
        <v>244</v>
      </c>
      <c r="C7533" s="2">
        <v>0.997</v>
      </c>
      <c r="D7533" s="2">
        <v>1.1999999999999999E-3</v>
      </c>
      <c r="E7533" s="2">
        <v>8.9999999999999998E-4</v>
      </c>
      <c r="F7533" s="2">
        <v>2.9999999999999997E-4</v>
      </c>
      <c r="G7533" s="2">
        <v>2.0000000000000001E-4</v>
      </c>
      <c r="H7533" s="2">
        <v>1E-4</v>
      </c>
      <c r="I7533" s="2">
        <v>2.0000000000000001E-4</v>
      </c>
      <c r="J7533" s="2">
        <v>0</v>
      </c>
      <c r="K7533">
        <v>2030</v>
      </c>
    </row>
    <row r="7534" spans="1:11" x14ac:dyDescent="0.35">
      <c r="A7534" t="s">
        <v>228</v>
      </c>
      <c r="B7534" t="s">
        <v>228</v>
      </c>
      <c r="C7534" s="2">
        <v>0.99780000000000002</v>
      </c>
      <c r="D7534" s="2">
        <v>8.9999999999999998E-4</v>
      </c>
      <c r="E7534" s="2">
        <v>6.9999999999999999E-4</v>
      </c>
      <c r="F7534" s="2">
        <v>2.0000000000000001E-4</v>
      </c>
      <c r="G7534" s="2">
        <v>2.0000000000000001E-4</v>
      </c>
      <c r="H7534" s="2">
        <v>1E-4</v>
      </c>
      <c r="I7534" s="2">
        <v>1E-4</v>
      </c>
      <c r="J7534" s="2">
        <v>0</v>
      </c>
      <c r="K7534">
        <v>2813</v>
      </c>
    </row>
    <row r="7536" spans="1:11" x14ac:dyDescent="0.35">
      <c r="A7536" s="1" t="s">
        <v>1917</v>
      </c>
    </row>
    <row r="7537" spans="1:11" x14ac:dyDescent="0.35">
      <c r="A7537" t="s">
        <v>219</v>
      </c>
      <c r="B7537" t="s">
        <v>301</v>
      </c>
      <c r="C7537" t="s">
        <v>1902</v>
      </c>
      <c r="D7537" t="s">
        <v>1903</v>
      </c>
      <c r="E7537" t="s">
        <v>1904</v>
      </c>
      <c r="F7537" t="s">
        <v>1905</v>
      </c>
      <c r="G7537" t="s">
        <v>1906</v>
      </c>
      <c r="H7537" t="s">
        <v>1907</v>
      </c>
      <c r="I7537" t="s">
        <v>1908</v>
      </c>
      <c r="J7537" t="s">
        <v>1909</v>
      </c>
      <c r="K7537" t="s">
        <v>226</v>
      </c>
    </row>
    <row r="7538" spans="1:11" x14ac:dyDescent="0.35">
      <c r="A7538" t="s">
        <v>227</v>
      </c>
      <c r="B7538" t="s">
        <v>259</v>
      </c>
      <c r="C7538" s="2">
        <v>1</v>
      </c>
      <c r="K7538">
        <v>69</v>
      </c>
    </row>
    <row r="7539" spans="1:11" x14ac:dyDescent="0.35">
      <c r="A7539" t="s">
        <v>227</v>
      </c>
      <c r="B7539" t="s">
        <v>257</v>
      </c>
      <c r="C7539" s="2">
        <v>0.99970000000000003</v>
      </c>
      <c r="I7539" s="2">
        <v>2.9999999999999997E-4</v>
      </c>
      <c r="K7539">
        <v>405</v>
      </c>
    </row>
    <row r="7540" spans="1:11" x14ac:dyDescent="0.35">
      <c r="A7540" t="s">
        <v>227</v>
      </c>
      <c r="B7540" t="s">
        <v>256</v>
      </c>
      <c r="C7540" s="2">
        <v>0.99750000000000005</v>
      </c>
      <c r="D7540" s="2">
        <v>1.2999999999999999E-3</v>
      </c>
      <c r="E7540" s="2">
        <v>1.1000000000000001E-3</v>
      </c>
      <c r="G7540" s="2">
        <v>1E-4</v>
      </c>
      <c r="H7540" s="2">
        <v>0</v>
      </c>
      <c r="K7540">
        <v>1803</v>
      </c>
    </row>
    <row r="7541" spans="1:11" x14ac:dyDescent="0.35">
      <c r="A7541" s="3" t="s">
        <v>227</v>
      </c>
      <c r="B7541" s="3" t="s">
        <v>232</v>
      </c>
      <c r="C7541" s="4">
        <v>1</v>
      </c>
      <c r="D7541" s="5"/>
      <c r="E7541" s="5"/>
      <c r="F7541" s="5"/>
      <c r="G7541" s="5"/>
      <c r="H7541" s="5"/>
      <c r="I7541" s="5"/>
      <c r="J7541" s="5"/>
      <c r="K7541" s="5" t="s">
        <v>307</v>
      </c>
    </row>
    <row r="7542" spans="1:11" x14ac:dyDescent="0.35">
      <c r="A7542" t="s">
        <v>227</v>
      </c>
      <c r="B7542" t="s">
        <v>258</v>
      </c>
      <c r="C7542" s="2">
        <v>0.99660000000000004</v>
      </c>
      <c r="F7542" s="2">
        <v>1.2999999999999999E-3</v>
      </c>
      <c r="G7542" s="2">
        <v>5.9999999999999995E-4</v>
      </c>
      <c r="H7542" s="2">
        <v>5.9999999999999995E-4</v>
      </c>
      <c r="I7542" s="2">
        <v>5.9999999999999995E-4</v>
      </c>
      <c r="J7542" s="2">
        <v>2.0000000000000001E-4</v>
      </c>
      <c r="K7542">
        <v>525</v>
      </c>
    </row>
    <row r="7543" spans="1:11" x14ac:dyDescent="0.35">
      <c r="A7543" t="s">
        <v>228</v>
      </c>
      <c r="B7543" t="s">
        <v>228</v>
      </c>
      <c r="C7543" s="2">
        <v>0.99780000000000002</v>
      </c>
      <c r="D7543" s="2">
        <v>8.9999999999999998E-4</v>
      </c>
      <c r="E7543" s="2">
        <v>6.9999999999999999E-4</v>
      </c>
      <c r="F7543" s="2">
        <v>2.0000000000000001E-4</v>
      </c>
      <c r="G7543" s="2">
        <v>2.0000000000000001E-4</v>
      </c>
      <c r="H7543" s="2">
        <v>1E-4</v>
      </c>
      <c r="I7543" s="2">
        <v>1E-4</v>
      </c>
      <c r="J7543" s="2">
        <v>0</v>
      </c>
      <c r="K7543">
        <v>2813</v>
      </c>
    </row>
    <row r="7545" spans="1:11" x14ac:dyDescent="0.35">
      <c r="A7545" s="1" t="s">
        <v>1918</v>
      </c>
    </row>
    <row r="7546" spans="1:11" x14ac:dyDescent="0.35">
      <c r="A7546" t="s">
        <v>219</v>
      </c>
      <c r="B7546" t="s">
        <v>301</v>
      </c>
      <c r="C7546" t="s">
        <v>1902</v>
      </c>
      <c r="D7546" t="s">
        <v>1903</v>
      </c>
      <c r="E7546" t="s">
        <v>1904</v>
      </c>
      <c r="F7546" t="s">
        <v>1905</v>
      </c>
      <c r="G7546" t="s">
        <v>1906</v>
      </c>
      <c r="H7546" t="s">
        <v>1907</v>
      </c>
      <c r="I7546" t="s">
        <v>1908</v>
      </c>
      <c r="J7546" t="s">
        <v>1909</v>
      </c>
      <c r="K7546" t="s">
        <v>226</v>
      </c>
    </row>
    <row r="7547" spans="1:11" x14ac:dyDescent="0.35">
      <c r="A7547" t="s">
        <v>227</v>
      </c>
      <c r="B7547" t="s">
        <v>343</v>
      </c>
      <c r="C7547" s="2">
        <v>0.99970000000000003</v>
      </c>
      <c r="I7547" s="2">
        <v>2.9999999999999997E-4</v>
      </c>
      <c r="K7547">
        <v>405</v>
      </c>
    </row>
    <row r="7548" spans="1:11" x14ac:dyDescent="0.35">
      <c r="A7548" t="s">
        <v>227</v>
      </c>
      <c r="B7548" t="s">
        <v>344</v>
      </c>
      <c r="C7548" s="2">
        <v>0.99739999999999995</v>
      </c>
      <c r="D7548" s="2">
        <v>1E-3</v>
      </c>
      <c r="E7548" s="2">
        <v>8.9999999999999998E-4</v>
      </c>
      <c r="F7548" s="2">
        <v>2.0000000000000001E-4</v>
      </c>
      <c r="G7548" s="2">
        <v>2.0000000000000001E-4</v>
      </c>
      <c r="H7548" s="2">
        <v>1E-4</v>
      </c>
      <c r="I7548" s="2">
        <v>1E-4</v>
      </c>
      <c r="J7548" s="2">
        <v>0</v>
      </c>
      <c r="K7548">
        <v>2408</v>
      </c>
    </row>
    <row r="7549" spans="1:11" x14ac:dyDescent="0.35">
      <c r="A7549" t="s">
        <v>228</v>
      </c>
      <c r="B7549" t="s">
        <v>228</v>
      </c>
      <c r="C7549" s="2">
        <v>0.99780000000000002</v>
      </c>
      <c r="D7549" s="2">
        <v>8.9999999999999998E-4</v>
      </c>
      <c r="E7549" s="2">
        <v>6.9999999999999999E-4</v>
      </c>
      <c r="F7549" s="2">
        <v>2.0000000000000001E-4</v>
      </c>
      <c r="G7549" s="2">
        <v>2.0000000000000001E-4</v>
      </c>
      <c r="H7549" s="2">
        <v>1E-4</v>
      </c>
      <c r="I7549" s="2">
        <v>1E-4</v>
      </c>
      <c r="J7549" s="2">
        <v>0</v>
      </c>
      <c r="K7549">
        <v>2813</v>
      </c>
    </row>
    <row r="7551" spans="1:11" x14ac:dyDescent="0.35">
      <c r="A7551" s="1" t="s">
        <v>1919</v>
      </c>
    </row>
    <row r="7552" spans="1:11" x14ac:dyDescent="0.35">
      <c r="A7552" t="s">
        <v>219</v>
      </c>
      <c r="B7552" t="s">
        <v>301</v>
      </c>
      <c r="C7552" t="s">
        <v>1902</v>
      </c>
      <c r="D7552" t="s">
        <v>1903</v>
      </c>
      <c r="E7552" t="s">
        <v>1904</v>
      </c>
      <c r="F7552" t="s">
        <v>1905</v>
      </c>
      <c r="G7552" t="s">
        <v>1906</v>
      </c>
      <c r="H7552" t="s">
        <v>1907</v>
      </c>
      <c r="I7552" t="s">
        <v>1908</v>
      </c>
      <c r="J7552" t="s">
        <v>1909</v>
      </c>
      <c r="K7552" t="s">
        <v>226</v>
      </c>
    </row>
    <row r="7553" spans="1:11" x14ac:dyDescent="0.35">
      <c r="A7553" t="s">
        <v>227</v>
      </c>
      <c r="B7553" t="s">
        <v>346</v>
      </c>
      <c r="C7553" s="2">
        <v>0.99809999999999999</v>
      </c>
      <c r="D7553" s="2">
        <v>6.9999999999999999E-4</v>
      </c>
      <c r="E7553" s="2">
        <v>8.0000000000000004E-4</v>
      </c>
      <c r="F7553" s="2">
        <v>2.0000000000000001E-4</v>
      </c>
      <c r="G7553" s="2">
        <v>1E-4</v>
      </c>
      <c r="K7553">
        <v>1463</v>
      </c>
    </row>
    <row r="7554" spans="1:11" x14ac:dyDescent="0.35">
      <c r="A7554" t="s">
        <v>227</v>
      </c>
      <c r="B7554" t="s">
        <v>347</v>
      </c>
      <c r="C7554" s="2">
        <v>0.98429999999999995</v>
      </c>
      <c r="D7554" s="2">
        <v>5.7000000000000002E-3</v>
      </c>
      <c r="G7554" s="2">
        <v>3.3E-3</v>
      </c>
      <c r="H7554" s="2">
        <v>3.3E-3</v>
      </c>
      <c r="I7554" s="2">
        <v>2.5999999999999999E-3</v>
      </c>
      <c r="J7554" s="2">
        <v>6.9999999999999999E-4</v>
      </c>
      <c r="K7554">
        <v>585</v>
      </c>
    </row>
    <row r="7555" spans="1:11" x14ac:dyDescent="0.35">
      <c r="A7555" t="s">
        <v>227</v>
      </c>
      <c r="B7555" t="s">
        <v>348</v>
      </c>
      <c r="C7555" s="2">
        <v>0.99950000000000006</v>
      </c>
      <c r="I7555" s="2">
        <v>5.0000000000000001E-4</v>
      </c>
      <c r="K7555">
        <v>765</v>
      </c>
    </row>
    <row r="7556" spans="1:11" x14ac:dyDescent="0.35">
      <c r="A7556" t="s">
        <v>228</v>
      </c>
      <c r="B7556" t="s">
        <v>228</v>
      </c>
      <c r="C7556" s="2">
        <v>0.99780000000000002</v>
      </c>
      <c r="D7556" s="2">
        <v>8.9999999999999998E-4</v>
      </c>
      <c r="E7556" s="2">
        <v>6.9999999999999999E-4</v>
      </c>
      <c r="F7556" s="2">
        <v>2.0000000000000001E-4</v>
      </c>
      <c r="G7556" s="2">
        <v>2.0000000000000001E-4</v>
      </c>
      <c r="H7556" s="2">
        <v>1E-4</v>
      </c>
      <c r="I7556" s="2">
        <v>1E-4</v>
      </c>
      <c r="J7556" s="2">
        <v>0</v>
      </c>
      <c r="K7556">
        <v>2813</v>
      </c>
    </row>
    <row r="7558" spans="1:11" x14ac:dyDescent="0.35">
      <c r="A7558" s="1" t="s">
        <v>1920</v>
      </c>
    </row>
    <row r="7559" spans="1:11" x14ac:dyDescent="0.35">
      <c r="A7559" t="s">
        <v>219</v>
      </c>
      <c r="B7559" t="s">
        <v>301</v>
      </c>
      <c r="C7559" t="s">
        <v>1902</v>
      </c>
      <c r="D7559" t="s">
        <v>1903</v>
      </c>
      <c r="E7559" t="s">
        <v>1904</v>
      </c>
      <c r="F7559" t="s">
        <v>1905</v>
      </c>
      <c r="G7559" t="s">
        <v>1906</v>
      </c>
      <c r="H7559" t="s">
        <v>1907</v>
      </c>
      <c r="I7559" t="s">
        <v>1908</v>
      </c>
      <c r="J7559" t="s">
        <v>1909</v>
      </c>
      <c r="K7559" t="s">
        <v>226</v>
      </c>
    </row>
    <row r="7560" spans="1:11" x14ac:dyDescent="0.35">
      <c r="A7560" t="s">
        <v>227</v>
      </c>
      <c r="B7560" t="s">
        <v>251</v>
      </c>
      <c r="C7560" s="2">
        <v>0.997</v>
      </c>
      <c r="D7560" s="2">
        <v>1.1999999999999999E-3</v>
      </c>
      <c r="E7560" s="2">
        <v>8.9999999999999998E-4</v>
      </c>
      <c r="F7560" s="2">
        <v>2.9999999999999997E-4</v>
      </c>
      <c r="G7560" s="2">
        <v>2.0000000000000001E-4</v>
      </c>
      <c r="H7560" s="2">
        <v>1E-4</v>
      </c>
      <c r="I7560" s="2">
        <v>2.0000000000000001E-4</v>
      </c>
      <c r="J7560" s="2">
        <v>0</v>
      </c>
      <c r="K7560">
        <v>2030</v>
      </c>
    </row>
    <row r="7561" spans="1:11" x14ac:dyDescent="0.35">
      <c r="A7561" t="s">
        <v>227</v>
      </c>
      <c r="B7561" t="s">
        <v>252</v>
      </c>
      <c r="C7561" s="2">
        <v>0.99950000000000006</v>
      </c>
      <c r="E7561" s="2">
        <v>4.0000000000000002E-4</v>
      </c>
      <c r="H7561" s="2">
        <v>1E-4</v>
      </c>
      <c r="K7561">
        <v>621</v>
      </c>
    </row>
    <row r="7562" spans="1:11" x14ac:dyDescent="0.35">
      <c r="A7562" t="s">
        <v>227</v>
      </c>
      <c r="B7562" t="s">
        <v>253</v>
      </c>
      <c r="C7562" s="2">
        <v>1</v>
      </c>
      <c r="K7562">
        <v>153</v>
      </c>
    </row>
    <row r="7563" spans="1:11" x14ac:dyDescent="0.35">
      <c r="A7563" s="3" t="s">
        <v>227</v>
      </c>
      <c r="B7563" s="3" t="s">
        <v>254</v>
      </c>
      <c r="C7563" s="4">
        <v>1</v>
      </c>
      <c r="D7563" s="5"/>
      <c r="E7563" s="5"/>
      <c r="F7563" s="5"/>
      <c r="G7563" s="5"/>
      <c r="H7563" s="5"/>
      <c r="I7563" s="5"/>
      <c r="J7563" s="5"/>
      <c r="K7563" s="5" t="s">
        <v>515</v>
      </c>
    </row>
    <row r="7564" spans="1:11" x14ac:dyDescent="0.35">
      <c r="A7564" t="s">
        <v>228</v>
      </c>
      <c r="B7564" t="s">
        <v>228</v>
      </c>
      <c r="C7564" s="2">
        <v>0.99780000000000002</v>
      </c>
      <c r="D7564" s="2">
        <v>8.9999999999999998E-4</v>
      </c>
      <c r="E7564" s="2">
        <v>6.9999999999999999E-4</v>
      </c>
      <c r="F7564" s="2">
        <v>2.0000000000000001E-4</v>
      </c>
      <c r="G7564" s="2">
        <v>2.0000000000000001E-4</v>
      </c>
      <c r="H7564" s="2">
        <v>1E-4</v>
      </c>
      <c r="I7564" s="2">
        <v>1E-4</v>
      </c>
      <c r="J7564" s="2">
        <v>0</v>
      </c>
      <c r="K7564">
        <v>2813</v>
      </c>
    </row>
    <row r="7566" spans="1:11" x14ac:dyDescent="0.35">
      <c r="A7566" s="1" t="s">
        <v>1921</v>
      </c>
    </row>
    <row r="7567" spans="1:11" x14ac:dyDescent="0.35">
      <c r="A7567" t="s">
        <v>219</v>
      </c>
      <c r="B7567" t="s">
        <v>1922</v>
      </c>
      <c r="C7567" t="s">
        <v>1923</v>
      </c>
      <c r="D7567" t="s">
        <v>1924</v>
      </c>
      <c r="E7567" t="s">
        <v>277</v>
      </c>
      <c r="F7567" t="s">
        <v>282</v>
      </c>
      <c r="G7567" t="s">
        <v>226</v>
      </c>
    </row>
    <row r="7568" spans="1:11" x14ac:dyDescent="0.35">
      <c r="A7568" t="s">
        <v>227</v>
      </c>
      <c r="B7568" s="2">
        <v>0.67049999999999998</v>
      </c>
      <c r="C7568" s="2">
        <v>0.2979</v>
      </c>
      <c r="D7568" s="2">
        <v>2.6499999999999999E-2</v>
      </c>
      <c r="E7568" s="2">
        <v>4.7000000000000002E-3</v>
      </c>
      <c r="F7568" s="2">
        <v>2.9999999999999997E-4</v>
      </c>
      <c r="G7568">
        <v>2803</v>
      </c>
    </row>
    <row r="7569" spans="1:8" x14ac:dyDescent="0.35">
      <c r="A7569" t="s">
        <v>228</v>
      </c>
      <c r="B7569" s="2">
        <v>0.67049999999999998</v>
      </c>
      <c r="C7569" s="2">
        <v>0.2979</v>
      </c>
      <c r="D7569" s="2">
        <v>2.6499999999999999E-2</v>
      </c>
      <c r="E7569" s="2">
        <v>4.7000000000000002E-3</v>
      </c>
      <c r="F7569" s="2">
        <v>2.9999999999999997E-4</v>
      </c>
      <c r="G7569">
        <v>2803</v>
      </c>
    </row>
    <row r="7571" spans="1:8" x14ac:dyDescent="0.35">
      <c r="A7571" s="1" t="s">
        <v>1925</v>
      </c>
    </row>
    <row r="7572" spans="1:8" x14ac:dyDescent="0.35">
      <c r="A7572" t="s">
        <v>219</v>
      </c>
      <c r="B7572" t="s">
        <v>301</v>
      </c>
      <c r="C7572" t="s">
        <v>1922</v>
      </c>
      <c r="D7572" t="s">
        <v>1923</v>
      </c>
      <c r="E7572" t="s">
        <v>1924</v>
      </c>
      <c r="F7572" t="s">
        <v>277</v>
      </c>
      <c r="G7572" t="s">
        <v>282</v>
      </c>
      <c r="H7572" t="s">
        <v>226</v>
      </c>
    </row>
    <row r="7573" spans="1:8" x14ac:dyDescent="0.35">
      <c r="A7573" t="s">
        <v>227</v>
      </c>
      <c r="B7573" t="s">
        <v>238</v>
      </c>
      <c r="C7573" s="2">
        <v>0.6341</v>
      </c>
      <c r="D7573" s="2">
        <v>0.3221</v>
      </c>
      <c r="E7573" s="2">
        <v>3.6400000000000002E-2</v>
      </c>
      <c r="F7573" s="2">
        <v>7.4000000000000003E-3</v>
      </c>
      <c r="H7573">
        <v>999</v>
      </c>
    </row>
    <row r="7574" spans="1:8" x14ac:dyDescent="0.35">
      <c r="A7574" t="s">
        <v>227</v>
      </c>
      <c r="B7574" t="s">
        <v>237</v>
      </c>
      <c r="C7574" s="2">
        <v>0.69179999999999997</v>
      </c>
      <c r="D7574" s="2">
        <v>0.28389999999999999</v>
      </c>
      <c r="E7574" s="2">
        <v>2.0799999999999999E-2</v>
      </c>
      <c r="F7574" s="2">
        <v>3.0999999999999999E-3</v>
      </c>
      <c r="G7574" s="2">
        <v>5.0000000000000001E-4</v>
      </c>
      <c r="H7574">
        <v>1804</v>
      </c>
    </row>
    <row r="7575" spans="1:8" x14ac:dyDescent="0.35">
      <c r="A7575" t="s">
        <v>228</v>
      </c>
      <c r="B7575" t="s">
        <v>228</v>
      </c>
      <c r="C7575" s="2">
        <v>0.67049999999999998</v>
      </c>
      <c r="D7575" s="2">
        <v>0.2979</v>
      </c>
      <c r="E7575" s="2">
        <v>2.6499999999999999E-2</v>
      </c>
      <c r="F7575" s="2">
        <v>4.7000000000000002E-3</v>
      </c>
      <c r="G7575" s="2">
        <v>2.9999999999999997E-4</v>
      </c>
      <c r="H7575">
        <v>2803</v>
      </c>
    </row>
    <row r="7577" spans="1:8" x14ac:dyDescent="0.35">
      <c r="A7577" s="1" t="s">
        <v>1926</v>
      </c>
    </row>
    <row r="7578" spans="1:8" x14ac:dyDescent="0.35">
      <c r="A7578" t="s">
        <v>219</v>
      </c>
      <c r="B7578" t="s">
        <v>301</v>
      </c>
      <c r="C7578" t="s">
        <v>1922</v>
      </c>
      <c r="D7578" t="s">
        <v>1923</v>
      </c>
      <c r="E7578" t="s">
        <v>1924</v>
      </c>
      <c r="F7578" t="s">
        <v>277</v>
      </c>
      <c r="G7578" t="s">
        <v>282</v>
      </c>
      <c r="H7578" t="s">
        <v>226</v>
      </c>
    </row>
    <row r="7579" spans="1:8" x14ac:dyDescent="0.35">
      <c r="A7579" t="s">
        <v>227</v>
      </c>
      <c r="B7579" t="s">
        <v>235</v>
      </c>
      <c r="C7579" s="2">
        <v>0.6079</v>
      </c>
      <c r="D7579" s="2">
        <v>0.35239999999999999</v>
      </c>
      <c r="E7579" s="2">
        <v>3.5499999999999997E-2</v>
      </c>
      <c r="F7579" s="2">
        <v>3.5999999999999999E-3</v>
      </c>
      <c r="G7579" s="2">
        <v>5.9999999999999995E-4</v>
      </c>
      <c r="H7579">
        <v>991</v>
      </c>
    </row>
    <row r="7580" spans="1:8" x14ac:dyDescent="0.35">
      <c r="A7580" t="s">
        <v>227</v>
      </c>
      <c r="B7580" t="s">
        <v>234</v>
      </c>
      <c r="C7580" s="2">
        <v>0.69679999999999997</v>
      </c>
      <c r="D7580" s="2">
        <v>0.27510000000000001</v>
      </c>
      <c r="E7580" s="2">
        <v>2.2800000000000001E-2</v>
      </c>
      <c r="F7580" s="2">
        <v>5.1999999999999998E-3</v>
      </c>
      <c r="G7580" s="2">
        <v>2.0000000000000001E-4</v>
      </c>
      <c r="H7580">
        <v>1812</v>
      </c>
    </row>
    <row r="7581" spans="1:8" x14ac:dyDescent="0.35">
      <c r="A7581" t="s">
        <v>228</v>
      </c>
      <c r="B7581" t="s">
        <v>228</v>
      </c>
      <c r="C7581" s="2">
        <v>0.67049999999999998</v>
      </c>
      <c r="D7581" s="2">
        <v>0.2979</v>
      </c>
      <c r="E7581" s="2">
        <v>2.6499999999999999E-2</v>
      </c>
      <c r="F7581" s="2">
        <v>4.7000000000000002E-3</v>
      </c>
      <c r="G7581" s="2">
        <v>2.9999999999999997E-4</v>
      </c>
      <c r="H7581">
        <v>2803</v>
      </c>
    </row>
    <row r="7583" spans="1:8" x14ac:dyDescent="0.35">
      <c r="A7583" s="1" t="s">
        <v>1927</v>
      </c>
    </row>
    <row r="7584" spans="1:8" x14ac:dyDescent="0.35">
      <c r="A7584" t="s">
        <v>219</v>
      </c>
      <c r="B7584" t="s">
        <v>301</v>
      </c>
      <c r="C7584" t="s">
        <v>1922</v>
      </c>
      <c r="D7584" t="s">
        <v>1923</v>
      </c>
      <c r="E7584" t="s">
        <v>1924</v>
      </c>
      <c r="F7584" t="s">
        <v>277</v>
      </c>
      <c r="G7584" t="s">
        <v>282</v>
      </c>
      <c r="H7584" t="s">
        <v>226</v>
      </c>
    </row>
    <row r="7585" spans="1:8" x14ac:dyDescent="0.35">
      <c r="A7585" t="s">
        <v>227</v>
      </c>
      <c r="B7585" t="s">
        <v>240</v>
      </c>
      <c r="C7585" s="2">
        <v>0.6593</v>
      </c>
      <c r="D7585" s="2">
        <v>0.309</v>
      </c>
      <c r="E7585" s="2">
        <v>2.5499999999999998E-2</v>
      </c>
      <c r="F7585" s="2">
        <v>5.7000000000000002E-3</v>
      </c>
      <c r="G7585" s="2">
        <v>5.0000000000000001E-4</v>
      </c>
      <c r="H7585">
        <v>1750</v>
      </c>
    </row>
    <row r="7586" spans="1:8" x14ac:dyDescent="0.35">
      <c r="A7586" t="s">
        <v>227</v>
      </c>
      <c r="B7586" t="s">
        <v>241</v>
      </c>
      <c r="C7586" s="2">
        <v>0.71940000000000004</v>
      </c>
      <c r="D7586" s="2">
        <v>0.255</v>
      </c>
      <c r="E7586" s="2">
        <v>2.53E-2</v>
      </c>
      <c r="F7586" s="2">
        <v>2.9999999999999997E-4</v>
      </c>
      <c r="H7586">
        <v>887</v>
      </c>
    </row>
    <row r="7587" spans="1:8" x14ac:dyDescent="0.35">
      <c r="A7587" t="s">
        <v>227</v>
      </c>
      <c r="B7587" t="s">
        <v>242</v>
      </c>
      <c r="C7587" s="2">
        <v>0.56259999999999999</v>
      </c>
      <c r="D7587" s="2">
        <v>0.38150000000000001</v>
      </c>
      <c r="E7587" s="2">
        <v>4.1700000000000001E-2</v>
      </c>
      <c r="F7587" s="2">
        <v>1.4200000000000001E-2</v>
      </c>
      <c r="H7587">
        <v>166</v>
      </c>
    </row>
    <row r="7588" spans="1:8" x14ac:dyDescent="0.35">
      <c r="A7588" t="s">
        <v>228</v>
      </c>
      <c r="B7588" t="s">
        <v>228</v>
      </c>
      <c r="C7588" s="2">
        <v>0.67049999999999998</v>
      </c>
      <c r="D7588" s="2">
        <v>0.2979</v>
      </c>
      <c r="E7588" s="2">
        <v>2.6499999999999999E-2</v>
      </c>
      <c r="F7588" s="2">
        <v>4.7000000000000002E-3</v>
      </c>
      <c r="G7588" s="2">
        <v>2.9999999999999997E-4</v>
      </c>
      <c r="H7588">
        <v>2803</v>
      </c>
    </row>
    <row r="7590" spans="1:8" x14ac:dyDescent="0.35">
      <c r="A7590" s="1" t="s">
        <v>1928</v>
      </c>
    </row>
    <row r="7591" spans="1:8" x14ac:dyDescent="0.35">
      <c r="A7591" t="s">
        <v>219</v>
      </c>
      <c r="B7591" t="s">
        <v>301</v>
      </c>
      <c r="C7591" t="s">
        <v>1922</v>
      </c>
      <c r="D7591" t="s">
        <v>1923</v>
      </c>
      <c r="E7591" t="s">
        <v>1924</v>
      </c>
      <c r="F7591" t="s">
        <v>277</v>
      </c>
      <c r="G7591" t="s">
        <v>282</v>
      </c>
      <c r="H7591" t="s">
        <v>226</v>
      </c>
    </row>
    <row r="7592" spans="1:8" x14ac:dyDescent="0.35">
      <c r="A7592" t="s">
        <v>227</v>
      </c>
      <c r="B7592" t="s">
        <v>334</v>
      </c>
      <c r="C7592" s="2">
        <v>0.58979999999999999</v>
      </c>
      <c r="D7592" s="2">
        <v>0.36180000000000001</v>
      </c>
      <c r="E7592" s="2">
        <v>4.2999999999999997E-2</v>
      </c>
      <c r="F7592" s="2">
        <v>4.4999999999999997E-3</v>
      </c>
      <c r="G7592" s="2">
        <v>8.9999999999999998E-4</v>
      </c>
      <c r="H7592">
        <v>621</v>
      </c>
    </row>
    <row r="7593" spans="1:8" x14ac:dyDescent="0.35">
      <c r="A7593" t="s">
        <v>227</v>
      </c>
      <c r="B7593" t="s">
        <v>335</v>
      </c>
      <c r="C7593" s="2">
        <v>0.67889999999999995</v>
      </c>
      <c r="D7593" s="2">
        <v>0.28939999999999999</v>
      </c>
      <c r="E7593" s="2">
        <v>0.02</v>
      </c>
      <c r="F7593" s="2">
        <v>1.17E-2</v>
      </c>
      <c r="H7593">
        <v>628</v>
      </c>
    </row>
    <row r="7594" spans="1:8" x14ac:dyDescent="0.35">
      <c r="A7594" t="s">
        <v>227</v>
      </c>
      <c r="B7594" t="s">
        <v>336</v>
      </c>
      <c r="C7594" s="2">
        <v>0.68820000000000003</v>
      </c>
      <c r="D7594" s="2">
        <v>0.27589999999999998</v>
      </c>
      <c r="E7594" s="2">
        <v>3.5299999999999998E-2</v>
      </c>
      <c r="F7594" s="2">
        <v>5.9999999999999995E-4</v>
      </c>
      <c r="H7594">
        <v>619</v>
      </c>
    </row>
    <row r="7595" spans="1:8" x14ac:dyDescent="0.35">
      <c r="A7595" t="s">
        <v>227</v>
      </c>
      <c r="B7595" t="s">
        <v>337</v>
      </c>
      <c r="C7595" s="2">
        <v>0.72250000000000003</v>
      </c>
      <c r="D7595" s="2">
        <v>0.26450000000000001</v>
      </c>
      <c r="E7595" s="2">
        <v>1.3100000000000001E-2</v>
      </c>
      <c r="H7595">
        <v>600</v>
      </c>
    </row>
    <row r="7596" spans="1:8" x14ac:dyDescent="0.35">
      <c r="A7596" t="s">
        <v>228</v>
      </c>
      <c r="B7596" t="s">
        <v>228</v>
      </c>
      <c r="C7596" s="2">
        <v>0.67049999999999998</v>
      </c>
      <c r="D7596" s="2">
        <v>0.2979</v>
      </c>
      <c r="E7596" s="2">
        <v>2.6499999999999999E-2</v>
      </c>
      <c r="F7596" s="2">
        <v>4.7000000000000002E-3</v>
      </c>
      <c r="G7596" s="2">
        <v>2.9999999999999997E-4</v>
      </c>
      <c r="H7596">
        <v>2468</v>
      </c>
    </row>
    <row r="7598" spans="1:8" x14ac:dyDescent="0.35">
      <c r="A7598" s="1" t="s">
        <v>1929</v>
      </c>
    </row>
    <row r="7599" spans="1:8" x14ac:dyDescent="0.35">
      <c r="A7599" t="s">
        <v>219</v>
      </c>
      <c r="B7599" t="s">
        <v>301</v>
      </c>
      <c r="C7599" t="s">
        <v>1922</v>
      </c>
      <c r="D7599" t="s">
        <v>1923</v>
      </c>
      <c r="E7599" t="s">
        <v>1924</v>
      </c>
      <c r="F7599" t="s">
        <v>277</v>
      </c>
      <c r="G7599" t="s">
        <v>282</v>
      </c>
      <c r="H7599" t="s">
        <v>226</v>
      </c>
    </row>
    <row r="7600" spans="1:8" x14ac:dyDescent="0.35">
      <c r="A7600" t="s">
        <v>227</v>
      </c>
      <c r="B7600" t="s">
        <v>263</v>
      </c>
      <c r="C7600" s="2">
        <v>0.6472</v>
      </c>
      <c r="D7600" s="2">
        <v>0.317</v>
      </c>
      <c r="E7600" s="2">
        <v>2.69E-2</v>
      </c>
      <c r="F7600" s="2">
        <v>8.8999999999999999E-3</v>
      </c>
      <c r="H7600">
        <v>586</v>
      </c>
    </row>
    <row r="7601" spans="1:8" x14ac:dyDescent="0.35">
      <c r="A7601" t="s">
        <v>227</v>
      </c>
      <c r="B7601" t="s">
        <v>262</v>
      </c>
      <c r="C7601" s="2">
        <v>0.7117</v>
      </c>
      <c r="D7601" s="2">
        <v>0.2666</v>
      </c>
      <c r="E7601" s="2">
        <v>2.1399999999999999E-2</v>
      </c>
      <c r="F7601" s="2">
        <v>2.9999999999999997E-4</v>
      </c>
      <c r="H7601">
        <v>1154</v>
      </c>
    </row>
    <row r="7602" spans="1:8" x14ac:dyDescent="0.35">
      <c r="A7602" t="s">
        <v>227</v>
      </c>
      <c r="B7602" t="s">
        <v>261</v>
      </c>
      <c r="C7602" s="2">
        <v>0.64710000000000001</v>
      </c>
      <c r="D7602" s="2">
        <v>0.3165</v>
      </c>
      <c r="E7602" s="2">
        <v>2.93E-2</v>
      </c>
      <c r="F7602" s="2">
        <v>6.4000000000000003E-3</v>
      </c>
      <c r="G7602" s="2">
        <v>6.9999999999999999E-4</v>
      </c>
      <c r="H7602">
        <v>1061</v>
      </c>
    </row>
    <row r="7603" spans="1:8" x14ac:dyDescent="0.35">
      <c r="A7603" s="3" t="s">
        <v>227</v>
      </c>
      <c r="B7603" s="3" t="s">
        <v>232</v>
      </c>
      <c r="C7603" s="4">
        <v>0.5</v>
      </c>
      <c r="D7603" s="5"/>
      <c r="E7603" s="4">
        <v>0.5</v>
      </c>
      <c r="F7603" s="5"/>
      <c r="G7603" s="5"/>
      <c r="H7603" s="5" t="s">
        <v>434</v>
      </c>
    </row>
    <row r="7604" spans="1:8" x14ac:dyDescent="0.35">
      <c r="A7604" t="s">
        <v>228</v>
      </c>
      <c r="B7604" t="s">
        <v>228</v>
      </c>
      <c r="C7604" s="2">
        <v>0.67049999999999998</v>
      </c>
      <c r="D7604" s="2">
        <v>0.2979</v>
      </c>
      <c r="E7604" s="2">
        <v>2.6499999999999999E-2</v>
      </c>
      <c r="F7604" s="2">
        <v>4.7000000000000002E-3</v>
      </c>
      <c r="G7604" s="2">
        <v>2.9999999999999997E-4</v>
      </c>
      <c r="H7604">
        <v>2803</v>
      </c>
    </row>
    <row r="7606" spans="1:8" x14ac:dyDescent="0.35">
      <c r="A7606" s="1" t="s">
        <v>1930</v>
      </c>
    </row>
    <row r="7607" spans="1:8" x14ac:dyDescent="0.35">
      <c r="A7607" t="s">
        <v>219</v>
      </c>
      <c r="B7607" t="s">
        <v>301</v>
      </c>
      <c r="C7607" t="s">
        <v>1922</v>
      </c>
      <c r="D7607" t="s">
        <v>1923</v>
      </c>
      <c r="E7607" t="s">
        <v>1924</v>
      </c>
      <c r="F7607" t="s">
        <v>277</v>
      </c>
      <c r="G7607" t="s">
        <v>282</v>
      </c>
      <c r="H7607" t="s">
        <v>226</v>
      </c>
    </row>
    <row r="7608" spans="1:8" x14ac:dyDescent="0.35">
      <c r="A7608" t="s">
        <v>227</v>
      </c>
      <c r="B7608" t="s">
        <v>248</v>
      </c>
      <c r="C7608" s="2">
        <v>0.73829999999999996</v>
      </c>
      <c r="D7608" s="2">
        <v>0.23080000000000001</v>
      </c>
      <c r="E7608" s="2">
        <v>3.0599999999999999E-2</v>
      </c>
      <c r="G7608" s="2">
        <v>2.9999999999999997E-4</v>
      </c>
      <c r="H7608">
        <v>791</v>
      </c>
    </row>
    <row r="7609" spans="1:8" x14ac:dyDescent="0.35">
      <c r="A7609" t="s">
        <v>227</v>
      </c>
      <c r="B7609" t="s">
        <v>249</v>
      </c>
      <c r="C7609" s="2">
        <v>0.57930000000000004</v>
      </c>
      <c r="D7609" s="2">
        <v>0.38129999999999997</v>
      </c>
      <c r="E7609" s="2">
        <v>3.8399999999999997E-2</v>
      </c>
      <c r="G7609" s="2">
        <v>1E-3</v>
      </c>
      <c r="H7609">
        <v>539</v>
      </c>
    </row>
    <row r="7610" spans="1:8" x14ac:dyDescent="0.35">
      <c r="A7610" t="s">
        <v>227</v>
      </c>
      <c r="B7610" t="s">
        <v>247</v>
      </c>
      <c r="C7610" s="2">
        <v>0.66890000000000005</v>
      </c>
      <c r="D7610" s="2">
        <v>0.30209999999999998</v>
      </c>
      <c r="E7610" s="2">
        <v>2.01E-2</v>
      </c>
      <c r="F7610" s="2">
        <v>8.8999999999999999E-3</v>
      </c>
      <c r="G7610" s="2">
        <v>0</v>
      </c>
      <c r="H7610">
        <v>1473</v>
      </c>
    </row>
    <row r="7611" spans="1:8" x14ac:dyDescent="0.35">
      <c r="A7611" t="s">
        <v>228</v>
      </c>
      <c r="B7611" t="s">
        <v>228</v>
      </c>
      <c r="C7611" s="2">
        <v>0.67049999999999998</v>
      </c>
      <c r="D7611" s="2">
        <v>0.2979</v>
      </c>
      <c r="E7611" s="2">
        <v>2.6499999999999999E-2</v>
      </c>
      <c r="F7611" s="2">
        <v>4.7000000000000002E-3</v>
      </c>
      <c r="G7611" s="2">
        <v>2.9999999999999997E-4</v>
      </c>
      <c r="H7611">
        <v>2803</v>
      </c>
    </row>
    <row r="7613" spans="1:8" x14ac:dyDescent="0.35">
      <c r="A7613" s="1" t="s">
        <v>1931</v>
      </c>
    </row>
    <row r="7614" spans="1:8" x14ac:dyDescent="0.35">
      <c r="A7614" t="s">
        <v>219</v>
      </c>
      <c r="B7614" t="s">
        <v>301</v>
      </c>
      <c r="C7614" t="s">
        <v>1922</v>
      </c>
      <c r="D7614" t="s">
        <v>1923</v>
      </c>
      <c r="E7614" t="s">
        <v>1924</v>
      </c>
      <c r="F7614" t="s">
        <v>277</v>
      </c>
      <c r="G7614" t="s">
        <v>282</v>
      </c>
      <c r="H7614" t="s">
        <v>226</v>
      </c>
    </row>
    <row r="7615" spans="1:8" x14ac:dyDescent="0.35">
      <c r="A7615" t="s">
        <v>227</v>
      </c>
      <c r="B7615" t="s">
        <v>245</v>
      </c>
      <c r="C7615" s="2">
        <v>0.61280000000000001</v>
      </c>
      <c r="D7615" s="2">
        <v>0.35260000000000002</v>
      </c>
      <c r="E7615" s="2">
        <v>3.0700000000000002E-2</v>
      </c>
      <c r="F7615" s="2">
        <v>3.8999999999999998E-3</v>
      </c>
      <c r="G7615" s="2">
        <v>1E-4</v>
      </c>
      <c r="H7615">
        <v>781</v>
      </c>
    </row>
    <row r="7616" spans="1:8" x14ac:dyDescent="0.35">
      <c r="A7616" t="s">
        <v>227</v>
      </c>
      <c r="B7616" t="s">
        <v>244</v>
      </c>
      <c r="C7616" s="2">
        <v>0.69350000000000001</v>
      </c>
      <c r="D7616" s="2">
        <v>0.2762</v>
      </c>
      <c r="E7616" s="2">
        <v>2.4899999999999999E-2</v>
      </c>
      <c r="F7616" s="2">
        <v>5.0000000000000001E-3</v>
      </c>
      <c r="G7616" s="2">
        <v>4.0000000000000002E-4</v>
      </c>
      <c r="H7616">
        <v>2022</v>
      </c>
    </row>
    <row r="7617" spans="1:8" x14ac:dyDescent="0.35">
      <c r="A7617" t="s">
        <v>228</v>
      </c>
      <c r="B7617" t="s">
        <v>228</v>
      </c>
      <c r="C7617" s="2">
        <v>0.67049999999999998</v>
      </c>
      <c r="D7617" s="2">
        <v>0.2979</v>
      </c>
      <c r="E7617" s="2">
        <v>2.6499999999999999E-2</v>
      </c>
      <c r="F7617" s="2">
        <v>4.7000000000000002E-3</v>
      </c>
      <c r="G7617" s="2">
        <v>2.9999999999999997E-4</v>
      </c>
      <c r="H7617">
        <v>2803</v>
      </c>
    </row>
    <row r="7619" spans="1:8" x14ac:dyDescent="0.35">
      <c r="A7619" s="1" t="s">
        <v>1932</v>
      </c>
    </row>
    <row r="7620" spans="1:8" x14ac:dyDescent="0.35">
      <c r="A7620" t="s">
        <v>219</v>
      </c>
      <c r="B7620" t="s">
        <v>301</v>
      </c>
      <c r="C7620" t="s">
        <v>1922</v>
      </c>
      <c r="D7620" t="s">
        <v>1923</v>
      </c>
      <c r="E7620" t="s">
        <v>1924</v>
      </c>
      <c r="F7620" t="s">
        <v>277</v>
      </c>
      <c r="G7620" t="s">
        <v>282</v>
      </c>
      <c r="H7620" t="s">
        <v>226</v>
      </c>
    </row>
    <row r="7621" spans="1:8" x14ac:dyDescent="0.35">
      <c r="A7621" t="s">
        <v>227</v>
      </c>
      <c r="B7621" t="s">
        <v>259</v>
      </c>
      <c r="C7621" s="2">
        <v>0.53269999999999995</v>
      </c>
      <c r="D7621" s="2">
        <v>0.42309999999999998</v>
      </c>
      <c r="E7621" s="2">
        <v>4.4200000000000003E-2</v>
      </c>
      <c r="H7621">
        <v>68</v>
      </c>
    </row>
    <row r="7622" spans="1:8" x14ac:dyDescent="0.35">
      <c r="A7622" t="s">
        <v>227</v>
      </c>
      <c r="B7622" t="s">
        <v>257</v>
      </c>
      <c r="C7622" s="2">
        <v>0.75670000000000004</v>
      </c>
      <c r="D7622" s="2">
        <v>0.21709999999999999</v>
      </c>
      <c r="E7622" s="2">
        <v>2.5100000000000001E-2</v>
      </c>
      <c r="F7622" s="2">
        <v>1E-3</v>
      </c>
      <c r="H7622">
        <v>403</v>
      </c>
    </row>
    <row r="7623" spans="1:8" x14ac:dyDescent="0.35">
      <c r="A7623" t="s">
        <v>227</v>
      </c>
      <c r="B7623" t="s">
        <v>256</v>
      </c>
      <c r="C7623" s="2">
        <v>0.66510000000000002</v>
      </c>
      <c r="D7623" s="2">
        <v>0.29980000000000001</v>
      </c>
      <c r="E7623" s="2">
        <v>2.8199999999999999E-2</v>
      </c>
      <c r="F7623" s="2">
        <v>6.6E-3</v>
      </c>
      <c r="G7623" s="2">
        <v>2.9999999999999997E-4</v>
      </c>
      <c r="H7623">
        <v>1799</v>
      </c>
    </row>
    <row r="7624" spans="1:8" x14ac:dyDescent="0.35">
      <c r="A7624" s="3" t="s">
        <v>227</v>
      </c>
      <c r="B7624" s="3" t="s">
        <v>232</v>
      </c>
      <c r="C7624" s="5"/>
      <c r="D7624" s="4">
        <v>0.90800000000000003</v>
      </c>
      <c r="E7624" s="4">
        <v>9.1999999999999998E-2</v>
      </c>
      <c r="F7624" s="5"/>
      <c r="G7624" s="5"/>
      <c r="H7624" s="5" t="s">
        <v>307</v>
      </c>
    </row>
    <row r="7625" spans="1:8" x14ac:dyDescent="0.35">
      <c r="A7625" t="s">
        <v>227</v>
      </c>
      <c r="B7625" t="s">
        <v>258</v>
      </c>
      <c r="C7625" s="2">
        <v>0.62090000000000001</v>
      </c>
      <c r="D7625" s="2">
        <v>0.3599</v>
      </c>
      <c r="E7625" s="2">
        <v>1.7899999999999999E-2</v>
      </c>
      <c r="F7625" s="2">
        <v>8.0000000000000004E-4</v>
      </c>
      <c r="G7625" s="2">
        <v>5.0000000000000001E-4</v>
      </c>
      <c r="H7625">
        <v>522</v>
      </c>
    </row>
    <row r="7626" spans="1:8" x14ac:dyDescent="0.35">
      <c r="A7626" t="s">
        <v>228</v>
      </c>
      <c r="B7626" t="s">
        <v>228</v>
      </c>
      <c r="C7626" s="2">
        <v>0.67049999999999998</v>
      </c>
      <c r="D7626" s="2">
        <v>0.2979</v>
      </c>
      <c r="E7626" s="2">
        <v>2.6499999999999999E-2</v>
      </c>
      <c r="F7626" s="2">
        <v>4.7000000000000002E-3</v>
      </c>
      <c r="G7626" s="2">
        <v>2.9999999999999997E-4</v>
      </c>
      <c r="H7626">
        <v>2803</v>
      </c>
    </row>
    <row r="7628" spans="1:8" x14ac:dyDescent="0.35">
      <c r="A7628" s="1" t="s">
        <v>1933</v>
      </c>
    </row>
    <row r="7629" spans="1:8" x14ac:dyDescent="0.35">
      <c r="A7629" t="s">
        <v>219</v>
      </c>
      <c r="B7629" t="s">
        <v>301</v>
      </c>
      <c r="C7629" t="s">
        <v>1922</v>
      </c>
      <c r="D7629" t="s">
        <v>1923</v>
      </c>
      <c r="E7629" t="s">
        <v>1924</v>
      </c>
      <c r="F7629" t="s">
        <v>277</v>
      </c>
      <c r="G7629" t="s">
        <v>282</v>
      </c>
      <c r="H7629" t="s">
        <v>226</v>
      </c>
    </row>
    <row r="7630" spans="1:8" x14ac:dyDescent="0.35">
      <c r="A7630" t="s">
        <v>227</v>
      </c>
      <c r="B7630" t="s">
        <v>343</v>
      </c>
      <c r="C7630" s="2">
        <v>0.75670000000000004</v>
      </c>
      <c r="D7630" s="2">
        <v>0.21709999999999999</v>
      </c>
      <c r="E7630" s="2">
        <v>2.5100000000000001E-2</v>
      </c>
      <c r="F7630" s="2">
        <v>1E-3</v>
      </c>
      <c r="H7630">
        <v>403</v>
      </c>
    </row>
    <row r="7631" spans="1:8" x14ac:dyDescent="0.35">
      <c r="A7631" t="s">
        <v>227</v>
      </c>
      <c r="B7631" t="s">
        <v>344</v>
      </c>
      <c r="C7631" s="2">
        <v>0.65300000000000002</v>
      </c>
      <c r="D7631" s="2">
        <v>0.31430000000000002</v>
      </c>
      <c r="E7631" s="2">
        <v>2.6800000000000001E-2</v>
      </c>
      <c r="F7631" s="2">
        <v>5.4000000000000003E-3</v>
      </c>
      <c r="G7631" s="2">
        <v>4.0000000000000002E-4</v>
      </c>
      <c r="H7631">
        <v>2400</v>
      </c>
    </row>
    <row r="7632" spans="1:8" x14ac:dyDescent="0.35">
      <c r="A7632" t="s">
        <v>228</v>
      </c>
      <c r="B7632" t="s">
        <v>228</v>
      </c>
      <c r="C7632" s="2">
        <v>0.67049999999999998</v>
      </c>
      <c r="D7632" s="2">
        <v>0.2979</v>
      </c>
      <c r="E7632" s="2">
        <v>2.6499999999999999E-2</v>
      </c>
      <c r="F7632" s="2">
        <v>4.7000000000000002E-3</v>
      </c>
      <c r="G7632" s="2">
        <v>2.9999999999999997E-4</v>
      </c>
      <c r="H7632">
        <v>2803</v>
      </c>
    </row>
    <row r="7634" spans="1:8" x14ac:dyDescent="0.35">
      <c r="A7634" s="1" t="s">
        <v>1934</v>
      </c>
    </row>
    <row r="7635" spans="1:8" x14ac:dyDescent="0.35">
      <c r="A7635" t="s">
        <v>219</v>
      </c>
      <c r="B7635" t="s">
        <v>301</v>
      </c>
      <c r="C7635" t="s">
        <v>1922</v>
      </c>
      <c r="D7635" t="s">
        <v>1923</v>
      </c>
      <c r="E7635" t="s">
        <v>1924</v>
      </c>
      <c r="F7635" t="s">
        <v>277</v>
      </c>
      <c r="G7635" t="s">
        <v>282</v>
      </c>
      <c r="H7635" t="s">
        <v>226</v>
      </c>
    </row>
    <row r="7636" spans="1:8" x14ac:dyDescent="0.35">
      <c r="A7636" t="s">
        <v>227</v>
      </c>
      <c r="B7636" t="s">
        <v>346</v>
      </c>
      <c r="C7636" s="2">
        <v>0.68979999999999997</v>
      </c>
      <c r="D7636" s="2">
        <v>0.2797</v>
      </c>
      <c r="E7636" s="2">
        <v>2.5100000000000001E-2</v>
      </c>
      <c r="F7636" s="2">
        <v>5.1999999999999998E-3</v>
      </c>
      <c r="G7636" s="2">
        <v>2.0000000000000001E-4</v>
      </c>
      <c r="H7636">
        <v>1455</v>
      </c>
    </row>
    <row r="7637" spans="1:8" x14ac:dyDescent="0.35">
      <c r="A7637" t="s">
        <v>227</v>
      </c>
      <c r="B7637" t="s">
        <v>347</v>
      </c>
      <c r="C7637" s="2">
        <v>0.37069999999999997</v>
      </c>
      <c r="D7637" s="2">
        <v>0.55989999999999995</v>
      </c>
      <c r="E7637" s="2">
        <v>6.2300000000000001E-2</v>
      </c>
      <c r="F7637" s="2">
        <v>4.1000000000000003E-3</v>
      </c>
      <c r="G7637" s="2">
        <v>2.8999999999999998E-3</v>
      </c>
      <c r="H7637">
        <v>583</v>
      </c>
    </row>
    <row r="7638" spans="1:8" x14ac:dyDescent="0.35">
      <c r="A7638" t="s">
        <v>227</v>
      </c>
      <c r="B7638" t="s">
        <v>348</v>
      </c>
      <c r="C7638" s="2">
        <v>0.60929999999999995</v>
      </c>
      <c r="D7638" s="2">
        <v>0.36409999999999998</v>
      </c>
      <c r="E7638" s="2">
        <v>2.5700000000000001E-2</v>
      </c>
      <c r="F7638" s="2">
        <v>8.9999999999999998E-4</v>
      </c>
      <c r="H7638">
        <v>765</v>
      </c>
    </row>
    <row r="7639" spans="1:8" x14ac:dyDescent="0.35">
      <c r="A7639" t="s">
        <v>228</v>
      </c>
      <c r="B7639" t="s">
        <v>228</v>
      </c>
      <c r="C7639" s="2">
        <v>0.67049999999999998</v>
      </c>
      <c r="D7639" s="2">
        <v>0.2979</v>
      </c>
      <c r="E7639" s="2">
        <v>2.6499999999999999E-2</v>
      </c>
      <c r="F7639" s="2">
        <v>4.7000000000000002E-3</v>
      </c>
      <c r="G7639" s="2">
        <v>2.9999999999999997E-4</v>
      </c>
      <c r="H7639">
        <v>2803</v>
      </c>
    </row>
    <row r="7641" spans="1:8" x14ac:dyDescent="0.35">
      <c r="A7641" s="1" t="s">
        <v>1935</v>
      </c>
    </row>
    <row r="7642" spans="1:8" x14ac:dyDescent="0.35">
      <c r="A7642" t="s">
        <v>219</v>
      </c>
      <c r="B7642" t="s">
        <v>301</v>
      </c>
      <c r="C7642" t="s">
        <v>1922</v>
      </c>
      <c r="D7642" t="s">
        <v>1923</v>
      </c>
      <c r="E7642" t="s">
        <v>1924</v>
      </c>
      <c r="F7642" t="s">
        <v>277</v>
      </c>
      <c r="G7642" t="s">
        <v>282</v>
      </c>
      <c r="H7642" t="s">
        <v>226</v>
      </c>
    </row>
    <row r="7643" spans="1:8" x14ac:dyDescent="0.35">
      <c r="A7643" t="s">
        <v>227</v>
      </c>
      <c r="B7643" t="s">
        <v>251</v>
      </c>
      <c r="C7643" s="2">
        <v>0.69350000000000001</v>
      </c>
      <c r="D7643" s="2">
        <v>0.2762</v>
      </c>
      <c r="E7643" s="2">
        <v>2.4899999999999999E-2</v>
      </c>
      <c r="F7643" s="2">
        <v>5.0000000000000001E-3</v>
      </c>
      <c r="G7643" s="2">
        <v>4.0000000000000002E-4</v>
      </c>
      <c r="H7643">
        <v>2022</v>
      </c>
    </row>
    <row r="7644" spans="1:8" x14ac:dyDescent="0.35">
      <c r="A7644" t="s">
        <v>227</v>
      </c>
      <c r="B7644" t="s">
        <v>252</v>
      </c>
      <c r="C7644" s="2">
        <v>0.58479999999999999</v>
      </c>
      <c r="D7644" s="2">
        <v>0.37630000000000002</v>
      </c>
      <c r="E7644" s="2">
        <v>3.4000000000000002E-2</v>
      </c>
      <c r="F7644" s="2">
        <v>4.8999999999999998E-3</v>
      </c>
      <c r="G7644" s="2">
        <v>1E-4</v>
      </c>
      <c r="H7644">
        <v>619</v>
      </c>
    </row>
    <row r="7645" spans="1:8" x14ac:dyDescent="0.35">
      <c r="A7645" t="s">
        <v>227</v>
      </c>
      <c r="B7645" t="s">
        <v>253</v>
      </c>
      <c r="C7645" s="2">
        <v>0.73009999999999997</v>
      </c>
      <c r="D7645" s="2">
        <v>0.25269999999999998</v>
      </c>
      <c r="E7645" s="2">
        <v>1.72E-2</v>
      </c>
      <c r="H7645">
        <v>153</v>
      </c>
    </row>
    <row r="7646" spans="1:8" x14ac:dyDescent="0.35">
      <c r="A7646" s="3" t="s">
        <v>227</v>
      </c>
      <c r="B7646" s="3" t="s">
        <v>254</v>
      </c>
      <c r="C7646" s="4">
        <v>0.75280000000000002</v>
      </c>
      <c r="D7646" s="4">
        <v>0.2472</v>
      </c>
      <c r="E7646" s="5"/>
      <c r="F7646" s="5"/>
      <c r="G7646" s="5"/>
      <c r="H7646" s="5" t="s">
        <v>515</v>
      </c>
    </row>
    <row r="7647" spans="1:8" x14ac:dyDescent="0.35">
      <c r="A7647" t="s">
        <v>228</v>
      </c>
      <c r="B7647" t="s">
        <v>228</v>
      </c>
      <c r="C7647" s="2">
        <v>0.67049999999999998</v>
      </c>
      <c r="D7647" s="2">
        <v>0.2979</v>
      </c>
      <c r="E7647" s="2">
        <v>2.6499999999999999E-2</v>
      </c>
      <c r="F7647" s="2">
        <v>4.7000000000000002E-3</v>
      </c>
      <c r="G7647" s="2">
        <v>2.9999999999999997E-4</v>
      </c>
      <c r="H7647">
        <v>2803</v>
      </c>
    </row>
    <row r="7649" spans="1:11" x14ac:dyDescent="0.35">
      <c r="A7649" s="1" t="s">
        <v>1936</v>
      </c>
    </row>
    <row r="7650" spans="1:11" x14ac:dyDescent="0.35">
      <c r="A7650" t="s">
        <v>219</v>
      </c>
      <c r="B7650" t="s">
        <v>1937</v>
      </c>
      <c r="C7650" t="s">
        <v>1938</v>
      </c>
      <c r="D7650" t="s">
        <v>1939</v>
      </c>
      <c r="E7650" t="s">
        <v>1940</v>
      </c>
      <c r="F7650" t="s">
        <v>1941</v>
      </c>
      <c r="G7650" t="s">
        <v>1942</v>
      </c>
      <c r="H7650" t="s">
        <v>277</v>
      </c>
      <c r="I7650" t="s">
        <v>282</v>
      </c>
      <c r="J7650" t="s">
        <v>226</v>
      </c>
    </row>
    <row r="7651" spans="1:11" x14ac:dyDescent="0.35">
      <c r="A7651" t="s">
        <v>227</v>
      </c>
      <c r="B7651" s="2">
        <v>0.78259999999999996</v>
      </c>
      <c r="C7651" s="2">
        <v>0.1094</v>
      </c>
      <c r="D7651" s="2">
        <v>7.2499999999999995E-2</v>
      </c>
      <c r="E7651" s="2">
        <v>5.3100000000000001E-2</v>
      </c>
      <c r="F7651" s="2">
        <v>2.6800000000000001E-2</v>
      </c>
      <c r="G7651" s="2">
        <v>1.5100000000000001E-2</v>
      </c>
      <c r="H7651" s="2">
        <v>2.0999999999999999E-3</v>
      </c>
      <c r="I7651" s="2">
        <v>2.9999999999999997E-4</v>
      </c>
      <c r="J7651">
        <v>2803</v>
      </c>
    </row>
    <row r="7652" spans="1:11" x14ac:dyDescent="0.35">
      <c r="A7652" t="s">
        <v>228</v>
      </c>
      <c r="B7652" s="2">
        <v>0.78259999999999996</v>
      </c>
      <c r="C7652" s="2">
        <v>0.1094</v>
      </c>
      <c r="D7652" s="2">
        <v>7.2499999999999995E-2</v>
      </c>
      <c r="E7652" s="2">
        <v>5.3100000000000001E-2</v>
      </c>
      <c r="F7652" s="2">
        <v>2.6800000000000001E-2</v>
      </c>
      <c r="G7652" s="2">
        <v>1.5100000000000001E-2</v>
      </c>
      <c r="H7652" s="2">
        <v>2.0999999999999999E-3</v>
      </c>
      <c r="I7652" s="2">
        <v>2.9999999999999997E-4</v>
      </c>
      <c r="J7652">
        <v>2803</v>
      </c>
    </row>
    <row r="7654" spans="1:11" x14ac:dyDescent="0.35">
      <c r="A7654" s="1" t="s">
        <v>1943</v>
      </c>
    </row>
    <row r="7655" spans="1:11" x14ac:dyDescent="0.35">
      <c r="A7655" t="s">
        <v>219</v>
      </c>
      <c r="B7655" t="s">
        <v>301</v>
      </c>
      <c r="C7655" t="s">
        <v>1937</v>
      </c>
      <c r="D7655" t="s">
        <v>1938</v>
      </c>
      <c r="E7655" t="s">
        <v>1939</v>
      </c>
      <c r="F7655" t="s">
        <v>1940</v>
      </c>
      <c r="G7655" t="s">
        <v>1941</v>
      </c>
      <c r="H7655" t="s">
        <v>1942</v>
      </c>
      <c r="I7655" t="s">
        <v>277</v>
      </c>
      <c r="J7655" t="s">
        <v>282</v>
      </c>
      <c r="K7655" t="s">
        <v>226</v>
      </c>
    </row>
    <row r="7656" spans="1:11" x14ac:dyDescent="0.35">
      <c r="A7656" t="s">
        <v>227</v>
      </c>
      <c r="B7656" t="s">
        <v>238</v>
      </c>
      <c r="C7656" s="2">
        <v>0.77380000000000004</v>
      </c>
      <c r="D7656" s="2">
        <v>0.1169</v>
      </c>
      <c r="E7656" s="2">
        <v>6.25E-2</v>
      </c>
      <c r="F7656" s="2">
        <v>6.4699999999999994E-2</v>
      </c>
      <c r="G7656" s="2">
        <v>4.2500000000000003E-2</v>
      </c>
      <c r="H7656" s="2">
        <v>1.6899999999999998E-2</v>
      </c>
      <c r="I7656" s="2">
        <v>5.9999999999999995E-4</v>
      </c>
      <c r="K7656">
        <v>998</v>
      </c>
    </row>
    <row r="7657" spans="1:11" x14ac:dyDescent="0.35">
      <c r="A7657" t="s">
        <v>227</v>
      </c>
      <c r="B7657" t="s">
        <v>237</v>
      </c>
      <c r="C7657" s="2">
        <v>0.78759999999999997</v>
      </c>
      <c r="D7657" s="2">
        <v>0.1051</v>
      </c>
      <c r="E7657" s="2">
        <v>7.8200000000000006E-2</v>
      </c>
      <c r="F7657" s="2">
        <v>4.65E-2</v>
      </c>
      <c r="G7657" s="2">
        <v>1.78E-2</v>
      </c>
      <c r="H7657" s="2">
        <v>1.41E-2</v>
      </c>
      <c r="I7657" s="2">
        <v>2.8999999999999998E-3</v>
      </c>
      <c r="J7657" s="2">
        <v>4.0000000000000002E-4</v>
      </c>
      <c r="K7657">
        <v>1805</v>
      </c>
    </row>
    <row r="7658" spans="1:11" x14ac:dyDescent="0.35">
      <c r="A7658" t="s">
        <v>228</v>
      </c>
      <c r="B7658" t="s">
        <v>228</v>
      </c>
      <c r="C7658" s="2">
        <v>0.78259999999999996</v>
      </c>
      <c r="D7658" s="2">
        <v>0.1094</v>
      </c>
      <c r="E7658" s="2">
        <v>7.2499999999999995E-2</v>
      </c>
      <c r="F7658" s="2">
        <v>5.3100000000000001E-2</v>
      </c>
      <c r="G7658" s="2">
        <v>2.6800000000000001E-2</v>
      </c>
      <c r="H7658" s="2">
        <v>1.5100000000000001E-2</v>
      </c>
      <c r="I7658" s="2">
        <v>2.0999999999999999E-3</v>
      </c>
      <c r="J7658" s="2">
        <v>2.9999999999999997E-4</v>
      </c>
      <c r="K7658">
        <v>2803</v>
      </c>
    </row>
    <row r="7660" spans="1:11" x14ac:dyDescent="0.35">
      <c r="A7660" s="1" t="s">
        <v>1944</v>
      </c>
    </row>
    <row r="7661" spans="1:11" x14ac:dyDescent="0.35">
      <c r="A7661" t="s">
        <v>219</v>
      </c>
      <c r="B7661" t="s">
        <v>301</v>
      </c>
      <c r="C7661" t="s">
        <v>1937</v>
      </c>
      <c r="D7661" t="s">
        <v>1938</v>
      </c>
      <c r="E7661" t="s">
        <v>1939</v>
      </c>
      <c r="F7661" t="s">
        <v>1940</v>
      </c>
      <c r="G7661" t="s">
        <v>1941</v>
      </c>
      <c r="H7661" t="s">
        <v>1942</v>
      </c>
      <c r="I7661" t="s">
        <v>277</v>
      </c>
      <c r="J7661" t="s">
        <v>282</v>
      </c>
      <c r="K7661" t="s">
        <v>226</v>
      </c>
    </row>
    <row r="7662" spans="1:11" x14ac:dyDescent="0.35">
      <c r="A7662" t="s">
        <v>227</v>
      </c>
      <c r="B7662" t="s">
        <v>235</v>
      </c>
      <c r="C7662" s="2">
        <v>0.84230000000000005</v>
      </c>
      <c r="D7662" s="2">
        <v>8.6099999999999996E-2</v>
      </c>
      <c r="E7662" s="2">
        <v>7.9000000000000008E-3</v>
      </c>
      <c r="F7662" s="2">
        <v>6.2199999999999998E-2</v>
      </c>
      <c r="G7662" s="2">
        <v>2.0799999999999999E-2</v>
      </c>
      <c r="H7662" s="2">
        <v>1.78E-2</v>
      </c>
      <c r="I7662" s="2">
        <v>4.0000000000000002E-4</v>
      </c>
      <c r="J7662" s="2">
        <v>5.9999999999999995E-4</v>
      </c>
      <c r="K7662">
        <v>990</v>
      </c>
    </row>
    <row r="7663" spans="1:11" x14ac:dyDescent="0.35">
      <c r="A7663" t="s">
        <v>227</v>
      </c>
      <c r="B7663" t="s">
        <v>234</v>
      </c>
      <c r="C7663" s="2">
        <v>0.75739999999999996</v>
      </c>
      <c r="D7663" s="2">
        <v>0.1192</v>
      </c>
      <c r="E7663" s="2">
        <v>9.9699999999999997E-2</v>
      </c>
      <c r="F7663" s="2">
        <v>4.9299999999999997E-2</v>
      </c>
      <c r="G7663" s="2">
        <v>2.9399999999999999E-2</v>
      </c>
      <c r="H7663" s="2">
        <v>1.4E-2</v>
      </c>
      <c r="I7663" s="2">
        <v>2.8E-3</v>
      </c>
      <c r="J7663" s="2">
        <v>1E-4</v>
      </c>
      <c r="K7663">
        <v>1813</v>
      </c>
    </row>
    <row r="7664" spans="1:11" x14ac:dyDescent="0.35">
      <c r="A7664" t="s">
        <v>228</v>
      </c>
      <c r="B7664" t="s">
        <v>228</v>
      </c>
      <c r="C7664" s="2">
        <v>0.78259999999999996</v>
      </c>
      <c r="D7664" s="2">
        <v>0.1094</v>
      </c>
      <c r="E7664" s="2">
        <v>7.2499999999999995E-2</v>
      </c>
      <c r="F7664" s="2">
        <v>5.3100000000000001E-2</v>
      </c>
      <c r="G7664" s="2">
        <v>2.6800000000000001E-2</v>
      </c>
      <c r="H7664" s="2">
        <v>1.5100000000000001E-2</v>
      </c>
      <c r="I7664" s="2">
        <v>2.0999999999999999E-3</v>
      </c>
      <c r="J7664" s="2">
        <v>2.9999999999999997E-4</v>
      </c>
      <c r="K7664">
        <v>2803</v>
      </c>
    </row>
    <row r="7666" spans="1:11" x14ac:dyDescent="0.35">
      <c r="A7666" s="1" t="s">
        <v>1945</v>
      </c>
    </row>
    <row r="7667" spans="1:11" x14ac:dyDescent="0.35">
      <c r="A7667" t="s">
        <v>219</v>
      </c>
      <c r="B7667" t="s">
        <v>301</v>
      </c>
      <c r="C7667" t="s">
        <v>1937</v>
      </c>
      <c r="D7667" t="s">
        <v>1938</v>
      </c>
      <c r="E7667" t="s">
        <v>1939</v>
      </c>
      <c r="F7667" t="s">
        <v>1940</v>
      </c>
      <c r="G7667" t="s">
        <v>1941</v>
      </c>
      <c r="H7667" t="s">
        <v>1942</v>
      </c>
      <c r="I7667" t="s">
        <v>277</v>
      </c>
      <c r="J7667" t="s">
        <v>282</v>
      </c>
      <c r="K7667" t="s">
        <v>226</v>
      </c>
    </row>
    <row r="7668" spans="1:11" x14ac:dyDescent="0.35">
      <c r="A7668" t="s">
        <v>227</v>
      </c>
      <c r="B7668" t="s">
        <v>240</v>
      </c>
      <c r="C7668" s="2">
        <v>0.77639999999999998</v>
      </c>
      <c r="D7668" s="2">
        <v>0.1079</v>
      </c>
      <c r="E7668" s="2">
        <v>8.2500000000000004E-2</v>
      </c>
      <c r="F7668" s="2">
        <v>4.7800000000000002E-2</v>
      </c>
      <c r="G7668" s="2">
        <v>2.52E-2</v>
      </c>
      <c r="H7668" s="2">
        <v>1.52E-2</v>
      </c>
      <c r="I7668" s="2">
        <v>3.2000000000000002E-3</v>
      </c>
      <c r="J7668" s="2">
        <v>4.0000000000000002E-4</v>
      </c>
      <c r="K7668">
        <v>1749</v>
      </c>
    </row>
    <row r="7669" spans="1:11" x14ac:dyDescent="0.35">
      <c r="A7669" t="s">
        <v>227</v>
      </c>
      <c r="B7669" t="s">
        <v>241</v>
      </c>
      <c r="C7669" s="2">
        <v>0.79710000000000003</v>
      </c>
      <c r="D7669" s="2">
        <v>0.1065</v>
      </c>
      <c r="E7669" s="2">
        <v>5.6099999999999997E-2</v>
      </c>
      <c r="F7669" s="2">
        <v>5.79E-2</v>
      </c>
      <c r="G7669" s="2">
        <v>2.81E-2</v>
      </c>
      <c r="H7669" s="2">
        <v>1.5100000000000001E-2</v>
      </c>
      <c r="K7669">
        <v>888</v>
      </c>
    </row>
    <row r="7670" spans="1:11" x14ac:dyDescent="0.35">
      <c r="A7670" t="s">
        <v>227</v>
      </c>
      <c r="B7670" t="s">
        <v>242</v>
      </c>
      <c r="C7670" s="2">
        <v>0.7772</v>
      </c>
      <c r="D7670" s="2">
        <v>0.13639999999999999</v>
      </c>
      <c r="E7670" s="2">
        <v>4.9299999999999997E-2</v>
      </c>
      <c r="F7670" s="2">
        <v>8.3000000000000004E-2</v>
      </c>
      <c r="G7670" s="2">
        <v>3.6600000000000001E-2</v>
      </c>
      <c r="H7670" s="2">
        <v>1.4800000000000001E-2</v>
      </c>
      <c r="I7670" s="2">
        <v>4.0000000000000002E-4</v>
      </c>
      <c r="K7670">
        <v>166</v>
      </c>
    </row>
    <row r="7671" spans="1:11" x14ac:dyDescent="0.35">
      <c r="A7671" t="s">
        <v>228</v>
      </c>
      <c r="B7671" t="s">
        <v>228</v>
      </c>
      <c r="C7671" s="2">
        <v>0.78259999999999996</v>
      </c>
      <c r="D7671" s="2">
        <v>0.1094</v>
      </c>
      <c r="E7671" s="2">
        <v>7.2499999999999995E-2</v>
      </c>
      <c r="F7671" s="2">
        <v>5.3100000000000001E-2</v>
      </c>
      <c r="G7671" s="2">
        <v>2.6800000000000001E-2</v>
      </c>
      <c r="H7671" s="2">
        <v>1.5100000000000001E-2</v>
      </c>
      <c r="I7671" s="2">
        <v>2.0999999999999999E-3</v>
      </c>
      <c r="J7671" s="2">
        <v>2.9999999999999997E-4</v>
      </c>
      <c r="K7671">
        <v>2803</v>
      </c>
    </row>
    <row r="7673" spans="1:11" x14ac:dyDescent="0.35">
      <c r="A7673" s="1" t="s">
        <v>1946</v>
      </c>
    </row>
    <row r="7674" spans="1:11" x14ac:dyDescent="0.35">
      <c r="A7674" t="s">
        <v>219</v>
      </c>
      <c r="B7674" t="s">
        <v>301</v>
      </c>
      <c r="C7674" t="s">
        <v>1937</v>
      </c>
      <c r="D7674" t="s">
        <v>1938</v>
      </c>
      <c r="E7674" t="s">
        <v>1939</v>
      </c>
      <c r="F7674" t="s">
        <v>1940</v>
      </c>
      <c r="G7674" t="s">
        <v>1941</v>
      </c>
      <c r="H7674" t="s">
        <v>1942</v>
      </c>
      <c r="I7674" t="s">
        <v>277</v>
      </c>
      <c r="J7674" t="s">
        <v>282</v>
      </c>
      <c r="K7674" t="s">
        <v>226</v>
      </c>
    </row>
    <row r="7675" spans="1:11" x14ac:dyDescent="0.35">
      <c r="A7675" t="s">
        <v>227</v>
      </c>
      <c r="B7675" t="s">
        <v>334</v>
      </c>
      <c r="C7675" s="2">
        <v>0.80500000000000005</v>
      </c>
      <c r="D7675" s="2">
        <v>0.11409999999999999</v>
      </c>
      <c r="E7675" s="2">
        <v>4.1500000000000002E-2</v>
      </c>
      <c r="F7675" s="2">
        <v>5.2200000000000003E-2</v>
      </c>
      <c r="G7675" s="2">
        <v>2.1299999999999999E-2</v>
      </c>
      <c r="H7675" s="2">
        <v>1.6500000000000001E-2</v>
      </c>
      <c r="I7675" s="2">
        <v>8.0999999999999996E-3</v>
      </c>
      <c r="J7675" s="2">
        <v>8.9999999999999998E-4</v>
      </c>
      <c r="K7675">
        <v>622</v>
      </c>
    </row>
    <row r="7676" spans="1:11" x14ac:dyDescent="0.35">
      <c r="A7676" t="s">
        <v>227</v>
      </c>
      <c r="B7676" t="s">
        <v>335</v>
      </c>
      <c r="C7676" s="2">
        <v>0.74439999999999995</v>
      </c>
      <c r="D7676" s="2">
        <v>0.11650000000000001</v>
      </c>
      <c r="E7676" s="2">
        <v>0.1152</v>
      </c>
      <c r="F7676" s="2">
        <v>5.1400000000000001E-2</v>
      </c>
      <c r="G7676" s="2">
        <v>3.5299999999999998E-2</v>
      </c>
      <c r="H7676" s="2">
        <v>1.21E-2</v>
      </c>
      <c r="K7676">
        <v>627</v>
      </c>
    </row>
    <row r="7677" spans="1:11" x14ac:dyDescent="0.35">
      <c r="A7677" t="s">
        <v>227</v>
      </c>
      <c r="B7677" t="s">
        <v>336</v>
      </c>
      <c r="C7677" s="2">
        <v>0.8498</v>
      </c>
      <c r="D7677" s="2">
        <v>8.7999999999999995E-2</v>
      </c>
      <c r="E7677" s="2">
        <v>2.2700000000000001E-2</v>
      </c>
      <c r="F7677" s="2">
        <v>4.1399999999999999E-2</v>
      </c>
      <c r="G7677" s="2">
        <v>2.4400000000000002E-2</v>
      </c>
      <c r="H7677" s="2">
        <v>1.2699999999999999E-2</v>
      </c>
      <c r="I7677" s="2">
        <v>1E-4</v>
      </c>
      <c r="K7677">
        <v>619</v>
      </c>
    </row>
    <row r="7678" spans="1:11" x14ac:dyDescent="0.35">
      <c r="A7678" t="s">
        <v>227</v>
      </c>
      <c r="B7678" t="s">
        <v>337</v>
      </c>
      <c r="C7678" s="2">
        <v>0.76359999999999995</v>
      </c>
      <c r="D7678" s="2">
        <v>0.1226</v>
      </c>
      <c r="E7678" s="2">
        <v>7.3599999999999999E-2</v>
      </c>
      <c r="F7678" s="2">
        <v>6.7400000000000002E-2</v>
      </c>
      <c r="G7678" s="2">
        <v>1.9199999999999998E-2</v>
      </c>
      <c r="H7678" s="2">
        <v>1.01E-2</v>
      </c>
      <c r="I7678" s="2">
        <v>4.0000000000000002E-4</v>
      </c>
      <c r="K7678">
        <v>599</v>
      </c>
    </row>
    <row r="7679" spans="1:11" x14ac:dyDescent="0.35">
      <c r="A7679" t="s">
        <v>228</v>
      </c>
      <c r="B7679" t="s">
        <v>228</v>
      </c>
      <c r="C7679" s="2">
        <v>0.78259999999999996</v>
      </c>
      <c r="D7679" s="2">
        <v>0.1094</v>
      </c>
      <c r="E7679" s="2">
        <v>7.2499999999999995E-2</v>
      </c>
      <c r="F7679" s="2">
        <v>5.3100000000000001E-2</v>
      </c>
      <c r="G7679" s="2">
        <v>2.6800000000000001E-2</v>
      </c>
      <c r="H7679" s="2">
        <v>1.5100000000000001E-2</v>
      </c>
      <c r="I7679" s="2">
        <v>2.0999999999999999E-3</v>
      </c>
      <c r="J7679" s="2">
        <v>2.9999999999999997E-4</v>
      </c>
      <c r="K7679">
        <v>2467</v>
      </c>
    </row>
    <row r="7681" spans="1:11" x14ac:dyDescent="0.35">
      <c r="A7681" s="1" t="s">
        <v>1947</v>
      </c>
    </row>
    <row r="7682" spans="1:11" x14ac:dyDescent="0.35">
      <c r="A7682" t="s">
        <v>219</v>
      </c>
      <c r="B7682" t="s">
        <v>301</v>
      </c>
      <c r="C7682" t="s">
        <v>1937</v>
      </c>
      <c r="D7682" t="s">
        <v>1938</v>
      </c>
      <c r="E7682" t="s">
        <v>1939</v>
      </c>
      <c r="F7682" t="s">
        <v>1940</v>
      </c>
      <c r="G7682" t="s">
        <v>1941</v>
      </c>
      <c r="H7682" t="s">
        <v>1942</v>
      </c>
      <c r="I7682" t="s">
        <v>277</v>
      </c>
      <c r="J7682" t="s">
        <v>282</v>
      </c>
      <c r="K7682" t="s">
        <v>226</v>
      </c>
    </row>
    <row r="7683" spans="1:11" x14ac:dyDescent="0.35">
      <c r="A7683" t="s">
        <v>227</v>
      </c>
      <c r="B7683" t="s">
        <v>263</v>
      </c>
      <c r="C7683" s="2">
        <v>0.76129999999999998</v>
      </c>
      <c r="D7683" s="2">
        <v>0.1003</v>
      </c>
      <c r="E7683" s="2">
        <v>0.1076</v>
      </c>
      <c r="F7683" s="2">
        <v>7.4300000000000005E-2</v>
      </c>
      <c r="G7683" s="2">
        <v>2.0899999999999998E-2</v>
      </c>
      <c r="H7683" s="2">
        <v>8.6999999999999994E-3</v>
      </c>
      <c r="I7683" s="2">
        <v>1E-4</v>
      </c>
      <c r="K7683">
        <v>589</v>
      </c>
    </row>
    <row r="7684" spans="1:11" x14ac:dyDescent="0.35">
      <c r="A7684" t="s">
        <v>227</v>
      </c>
      <c r="B7684" t="s">
        <v>262</v>
      </c>
      <c r="C7684" s="2">
        <v>0.79820000000000002</v>
      </c>
      <c r="D7684" s="2">
        <v>0.11890000000000001</v>
      </c>
      <c r="E7684" s="2">
        <v>4.7300000000000002E-2</v>
      </c>
      <c r="F7684" s="2">
        <v>4.5900000000000003E-2</v>
      </c>
      <c r="G7684" s="2">
        <v>2.7300000000000001E-2</v>
      </c>
      <c r="H7684" s="2">
        <v>1.7600000000000001E-2</v>
      </c>
      <c r="I7684" s="2">
        <v>1E-4</v>
      </c>
      <c r="K7684">
        <v>1154</v>
      </c>
    </row>
    <row r="7685" spans="1:11" x14ac:dyDescent="0.35">
      <c r="A7685" t="s">
        <v>227</v>
      </c>
      <c r="B7685" t="s">
        <v>261</v>
      </c>
      <c r="C7685" s="2">
        <v>0.78039999999999998</v>
      </c>
      <c r="D7685" s="2">
        <v>0.1061</v>
      </c>
      <c r="E7685" s="2">
        <v>7.7200000000000005E-2</v>
      </c>
      <c r="F7685" s="2">
        <v>4.7600000000000003E-2</v>
      </c>
      <c r="G7685" s="2">
        <v>2.9399999999999999E-2</v>
      </c>
      <c r="H7685" s="2">
        <v>1.6199999999999999E-2</v>
      </c>
      <c r="I7685" s="2">
        <v>4.7999999999999996E-3</v>
      </c>
      <c r="J7685" s="2">
        <v>5.9999999999999995E-4</v>
      </c>
      <c r="K7685">
        <v>1058</v>
      </c>
    </row>
    <row r="7686" spans="1:11" x14ac:dyDescent="0.35">
      <c r="A7686" s="3" t="s">
        <v>227</v>
      </c>
      <c r="B7686" s="3" t="s">
        <v>232</v>
      </c>
      <c r="C7686" s="4">
        <v>0.5</v>
      </c>
      <c r="D7686" s="5"/>
      <c r="E7686" s="5"/>
      <c r="F7686" s="4">
        <v>0.5</v>
      </c>
      <c r="G7686" s="5"/>
      <c r="H7686" s="5"/>
      <c r="I7686" s="5"/>
      <c r="J7686" s="5"/>
      <c r="K7686" s="5" t="s">
        <v>434</v>
      </c>
    </row>
    <row r="7687" spans="1:11" x14ac:dyDescent="0.35">
      <c r="A7687" t="s">
        <v>228</v>
      </c>
      <c r="B7687" t="s">
        <v>228</v>
      </c>
      <c r="C7687" s="2">
        <v>0.78259999999999996</v>
      </c>
      <c r="D7687" s="2">
        <v>0.1094</v>
      </c>
      <c r="E7687" s="2">
        <v>7.2499999999999995E-2</v>
      </c>
      <c r="F7687" s="2">
        <v>5.3100000000000001E-2</v>
      </c>
      <c r="G7687" s="2">
        <v>2.6800000000000001E-2</v>
      </c>
      <c r="H7687" s="2">
        <v>1.5100000000000001E-2</v>
      </c>
      <c r="I7687" s="2">
        <v>2.0999999999999999E-3</v>
      </c>
      <c r="J7687" s="2">
        <v>2.9999999999999997E-4</v>
      </c>
      <c r="K7687">
        <v>2803</v>
      </c>
    </row>
    <row r="7689" spans="1:11" x14ac:dyDescent="0.35">
      <c r="A7689" s="1" t="s">
        <v>1948</v>
      </c>
    </row>
    <row r="7690" spans="1:11" x14ac:dyDescent="0.35">
      <c r="A7690" t="s">
        <v>219</v>
      </c>
      <c r="B7690" t="s">
        <v>301</v>
      </c>
      <c r="C7690" t="s">
        <v>1937</v>
      </c>
      <c r="D7690" t="s">
        <v>1938</v>
      </c>
      <c r="E7690" t="s">
        <v>1939</v>
      </c>
      <c r="F7690" t="s">
        <v>1940</v>
      </c>
      <c r="G7690" t="s">
        <v>1941</v>
      </c>
      <c r="H7690" t="s">
        <v>1942</v>
      </c>
      <c r="I7690" t="s">
        <v>277</v>
      </c>
      <c r="J7690" t="s">
        <v>282</v>
      </c>
      <c r="K7690" t="s">
        <v>226</v>
      </c>
    </row>
    <row r="7691" spans="1:11" x14ac:dyDescent="0.35">
      <c r="A7691" t="s">
        <v>227</v>
      </c>
      <c r="B7691" t="s">
        <v>248</v>
      </c>
      <c r="C7691" s="2">
        <v>0.83199999999999996</v>
      </c>
      <c r="D7691" s="2">
        <v>8.4199999999999997E-2</v>
      </c>
      <c r="E7691" s="2">
        <v>5.1900000000000002E-2</v>
      </c>
      <c r="F7691" s="2">
        <v>3.0099999999999998E-2</v>
      </c>
      <c r="G7691" s="2">
        <v>2.1999999999999999E-2</v>
      </c>
      <c r="H7691" s="2">
        <v>1.44E-2</v>
      </c>
      <c r="I7691" s="2">
        <v>1E-4</v>
      </c>
      <c r="J7691" s="2">
        <v>2.9999999999999997E-4</v>
      </c>
      <c r="K7691">
        <v>791</v>
      </c>
    </row>
    <row r="7692" spans="1:11" x14ac:dyDescent="0.35">
      <c r="A7692" t="s">
        <v>227</v>
      </c>
      <c r="B7692" t="s">
        <v>249</v>
      </c>
      <c r="C7692" s="2">
        <v>0.76019999999999999</v>
      </c>
      <c r="D7692" s="2">
        <v>0.1207</v>
      </c>
      <c r="E7692" s="2">
        <v>8.5699999999999998E-2</v>
      </c>
      <c r="F7692" s="2">
        <v>4.9500000000000002E-2</v>
      </c>
      <c r="G7692" s="2">
        <v>3.2199999999999999E-2</v>
      </c>
      <c r="H7692" s="2">
        <v>1.38E-2</v>
      </c>
      <c r="I7692" s="2">
        <v>1.2999999999999999E-3</v>
      </c>
      <c r="J7692" s="2">
        <v>1E-3</v>
      </c>
      <c r="K7692">
        <v>539</v>
      </c>
    </row>
    <row r="7693" spans="1:11" x14ac:dyDescent="0.35">
      <c r="A7693" t="s">
        <v>227</v>
      </c>
      <c r="B7693" t="s">
        <v>247</v>
      </c>
      <c r="C7693" s="2">
        <v>0.76529999999999998</v>
      </c>
      <c r="D7693" s="2">
        <v>0.1183</v>
      </c>
      <c r="E7693" s="2">
        <v>7.8299999999999995E-2</v>
      </c>
      <c r="F7693" s="2">
        <v>6.6299999999999998E-2</v>
      </c>
      <c r="G7693" s="2">
        <v>2.7400000000000001E-2</v>
      </c>
      <c r="H7693" s="2">
        <v>1.6E-2</v>
      </c>
      <c r="I7693" s="2">
        <v>3.3999999999999998E-3</v>
      </c>
      <c r="K7693">
        <v>1473</v>
      </c>
    </row>
    <row r="7694" spans="1:11" x14ac:dyDescent="0.35">
      <c r="A7694" t="s">
        <v>228</v>
      </c>
      <c r="B7694" t="s">
        <v>228</v>
      </c>
      <c r="C7694" s="2">
        <v>0.78259999999999996</v>
      </c>
      <c r="D7694" s="2">
        <v>0.1094</v>
      </c>
      <c r="E7694" s="2">
        <v>7.2499999999999995E-2</v>
      </c>
      <c r="F7694" s="2">
        <v>5.3100000000000001E-2</v>
      </c>
      <c r="G7694" s="2">
        <v>2.6800000000000001E-2</v>
      </c>
      <c r="H7694" s="2">
        <v>1.5100000000000001E-2</v>
      </c>
      <c r="I7694" s="2">
        <v>2.0999999999999999E-3</v>
      </c>
      <c r="J7694" s="2">
        <v>2.9999999999999997E-4</v>
      </c>
      <c r="K7694">
        <v>2803</v>
      </c>
    </row>
    <row r="7696" spans="1:11" x14ac:dyDescent="0.35">
      <c r="A7696" s="1" t="s">
        <v>1949</v>
      </c>
    </row>
    <row r="7697" spans="1:11" x14ac:dyDescent="0.35">
      <c r="A7697" t="s">
        <v>219</v>
      </c>
      <c r="B7697" t="s">
        <v>301</v>
      </c>
      <c r="C7697" t="s">
        <v>1937</v>
      </c>
      <c r="D7697" t="s">
        <v>1938</v>
      </c>
      <c r="E7697" t="s">
        <v>1939</v>
      </c>
      <c r="F7697" t="s">
        <v>1940</v>
      </c>
      <c r="G7697" t="s">
        <v>1941</v>
      </c>
      <c r="H7697" t="s">
        <v>1942</v>
      </c>
      <c r="I7697" t="s">
        <v>277</v>
      </c>
      <c r="J7697" t="s">
        <v>282</v>
      </c>
      <c r="K7697" t="s">
        <v>226</v>
      </c>
    </row>
    <row r="7698" spans="1:11" x14ac:dyDescent="0.35">
      <c r="A7698" t="s">
        <v>227</v>
      </c>
      <c r="B7698" t="s">
        <v>245</v>
      </c>
      <c r="C7698" s="2">
        <v>0.73629999999999995</v>
      </c>
      <c r="D7698" s="2">
        <v>0.1527</v>
      </c>
      <c r="E7698" s="2">
        <v>8.3099999999999993E-2</v>
      </c>
      <c r="F7698" s="2">
        <v>7.0199999999999999E-2</v>
      </c>
      <c r="G7698" s="2">
        <v>2.5700000000000001E-2</v>
      </c>
      <c r="H7698" s="2">
        <v>1.8499999999999999E-2</v>
      </c>
      <c r="I7698" s="2">
        <v>6.0000000000000001E-3</v>
      </c>
      <c r="K7698">
        <v>782</v>
      </c>
    </row>
    <row r="7699" spans="1:11" x14ac:dyDescent="0.35">
      <c r="A7699" t="s">
        <v>227</v>
      </c>
      <c r="B7699" t="s">
        <v>244</v>
      </c>
      <c r="C7699" s="2">
        <v>0.80100000000000005</v>
      </c>
      <c r="D7699" s="2">
        <v>9.2100000000000001E-2</v>
      </c>
      <c r="E7699" s="2">
        <v>6.83E-2</v>
      </c>
      <c r="F7699" s="2">
        <v>4.6300000000000001E-2</v>
      </c>
      <c r="G7699" s="2">
        <v>2.7300000000000001E-2</v>
      </c>
      <c r="H7699" s="2">
        <v>1.38E-2</v>
      </c>
      <c r="I7699" s="2">
        <v>5.0000000000000001E-4</v>
      </c>
      <c r="J7699" s="2">
        <v>4.0000000000000002E-4</v>
      </c>
      <c r="K7699">
        <v>2021</v>
      </c>
    </row>
    <row r="7700" spans="1:11" x14ac:dyDescent="0.35">
      <c r="A7700" t="s">
        <v>228</v>
      </c>
      <c r="B7700" t="s">
        <v>228</v>
      </c>
      <c r="C7700" s="2">
        <v>0.78259999999999996</v>
      </c>
      <c r="D7700" s="2">
        <v>0.1094</v>
      </c>
      <c r="E7700" s="2">
        <v>7.2499999999999995E-2</v>
      </c>
      <c r="F7700" s="2">
        <v>5.3100000000000001E-2</v>
      </c>
      <c r="G7700" s="2">
        <v>2.6800000000000001E-2</v>
      </c>
      <c r="H7700" s="2">
        <v>1.5100000000000001E-2</v>
      </c>
      <c r="I7700" s="2">
        <v>2.0999999999999999E-3</v>
      </c>
      <c r="J7700" s="2">
        <v>2.9999999999999997E-4</v>
      </c>
      <c r="K7700">
        <v>2803</v>
      </c>
    </row>
    <row r="7702" spans="1:11" x14ac:dyDescent="0.35">
      <c r="A7702" s="1" t="s">
        <v>1950</v>
      </c>
    </row>
    <row r="7703" spans="1:11" x14ac:dyDescent="0.35">
      <c r="A7703" t="s">
        <v>219</v>
      </c>
      <c r="B7703" t="s">
        <v>301</v>
      </c>
      <c r="C7703" t="s">
        <v>1937</v>
      </c>
      <c r="D7703" t="s">
        <v>1938</v>
      </c>
      <c r="E7703" t="s">
        <v>1939</v>
      </c>
      <c r="F7703" t="s">
        <v>1940</v>
      </c>
      <c r="G7703" t="s">
        <v>1941</v>
      </c>
      <c r="H7703" t="s">
        <v>1942</v>
      </c>
      <c r="I7703" t="s">
        <v>277</v>
      </c>
      <c r="J7703" t="s">
        <v>282</v>
      </c>
      <c r="K7703" t="s">
        <v>226</v>
      </c>
    </row>
    <row r="7704" spans="1:11" x14ac:dyDescent="0.35">
      <c r="A7704" t="s">
        <v>227</v>
      </c>
      <c r="B7704" t="s">
        <v>259</v>
      </c>
      <c r="C7704" s="2">
        <v>0.8226</v>
      </c>
      <c r="D7704" s="2">
        <v>9.74E-2</v>
      </c>
      <c r="E7704" s="2">
        <v>5.79E-2</v>
      </c>
      <c r="F7704" s="2">
        <v>4.7500000000000001E-2</v>
      </c>
      <c r="G7704" s="2">
        <v>2.7E-2</v>
      </c>
      <c r="H7704" s="2">
        <v>1.5800000000000002E-2</v>
      </c>
      <c r="K7704">
        <v>69</v>
      </c>
    </row>
    <row r="7705" spans="1:11" x14ac:dyDescent="0.35">
      <c r="A7705" t="s">
        <v>227</v>
      </c>
      <c r="B7705" t="s">
        <v>257</v>
      </c>
      <c r="C7705" s="2">
        <v>0.7984</v>
      </c>
      <c r="D7705" s="2">
        <v>0.1134</v>
      </c>
      <c r="E7705" s="2">
        <v>5.6399999999999999E-2</v>
      </c>
      <c r="F7705" s="2">
        <v>0.04</v>
      </c>
      <c r="G7705" s="2">
        <v>4.8899999999999999E-2</v>
      </c>
      <c r="H7705" s="2">
        <v>1.67E-2</v>
      </c>
      <c r="K7705">
        <v>401</v>
      </c>
    </row>
    <row r="7706" spans="1:11" x14ac:dyDescent="0.35">
      <c r="A7706" t="s">
        <v>227</v>
      </c>
      <c r="B7706" t="s">
        <v>256</v>
      </c>
      <c r="C7706" s="2">
        <v>0.79830000000000001</v>
      </c>
      <c r="D7706" s="2">
        <v>9.8799999999999999E-2</v>
      </c>
      <c r="E7706" s="2">
        <v>6.0499999999999998E-2</v>
      </c>
      <c r="F7706" s="2">
        <v>4.9399999999999999E-2</v>
      </c>
      <c r="G7706" s="2">
        <v>2.0199999999999999E-2</v>
      </c>
      <c r="H7706" s="2">
        <v>1.14E-2</v>
      </c>
      <c r="I7706" s="2">
        <v>3.0999999999999999E-3</v>
      </c>
      <c r="J7706" s="2">
        <v>2.9999999999999997E-4</v>
      </c>
      <c r="K7706">
        <v>1801</v>
      </c>
    </row>
    <row r="7707" spans="1:11" x14ac:dyDescent="0.35">
      <c r="A7707" s="3" t="s">
        <v>227</v>
      </c>
      <c r="B7707" s="3" t="s">
        <v>232</v>
      </c>
      <c r="C7707" s="4">
        <v>0.80269999999999997</v>
      </c>
      <c r="D7707" s="4">
        <v>0.10580000000000001</v>
      </c>
      <c r="E7707" s="5"/>
      <c r="F7707" s="4">
        <v>6.7599999999999993E-2</v>
      </c>
      <c r="G7707" s="4">
        <v>0.10580000000000001</v>
      </c>
      <c r="H7707" s="5"/>
      <c r="I7707" s="5"/>
      <c r="J7707" s="5"/>
      <c r="K7707" s="5" t="s">
        <v>307</v>
      </c>
    </row>
    <row r="7708" spans="1:11" x14ac:dyDescent="0.35">
      <c r="A7708" t="s">
        <v>227</v>
      </c>
      <c r="B7708" t="s">
        <v>258</v>
      </c>
      <c r="C7708" s="2">
        <v>0.68810000000000004</v>
      </c>
      <c r="D7708" s="2">
        <v>0.1545</v>
      </c>
      <c r="E7708" s="2">
        <v>0.1482</v>
      </c>
      <c r="F7708" s="2">
        <v>8.5699999999999998E-2</v>
      </c>
      <c r="G7708" s="2">
        <v>3.0300000000000001E-2</v>
      </c>
      <c r="H7708" s="2">
        <v>3.0499999999999999E-2</v>
      </c>
      <c r="I7708" s="2">
        <v>2.0000000000000001E-4</v>
      </c>
      <c r="J7708" s="2">
        <v>5.0000000000000001E-4</v>
      </c>
      <c r="K7708">
        <v>521</v>
      </c>
    </row>
    <row r="7709" spans="1:11" x14ac:dyDescent="0.35">
      <c r="A7709" t="s">
        <v>228</v>
      </c>
      <c r="B7709" t="s">
        <v>228</v>
      </c>
      <c r="C7709" s="2">
        <v>0.78259999999999996</v>
      </c>
      <c r="D7709" s="2">
        <v>0.1094</v>
      </c>
      <c r="E7709" s="2">
        <v>7.2499999999999995E-2</v>
      </c>
      <c r="F7709" s="2">
        <v>5.3100000000000001E-2</v>
      </c>
      <c r="G7709" s="2">
        <v>2.6800000000000001E-2</v>
      </c>
      <c r="H7709" s="2">
        <v>1.5100000000000001E-2</v>
      </c>
      <c r="I7709" s="2">
        <v>2.0999999999999999E-3</v>
      </c>
      <c r="J7709" s="2">
        <v>2.9999999999999997E-4</v>
      </c>
      <c r="K7709">
        <v>2803</v>
      </c>
    </row>
    <row r="7711" spans="1:11" x14ac:dyDescent="0.35">
      <c r="A7711" s="1" t="s">
        <v>1951</v>
      </c>
    </row>
    <row r="7712" spans="1:11" x14ac:dyDescent="0.35">
      <c r="A7712" t="s">
        <v>219</v>
      </c>
      <c r="B7712" t="s">
        <v>301</v>
      </c>
      <c r="C7712" t="s">
        <v>1937</v>
      </c>
      <c r="D7712" t="s">
        <v>1938</v>
      </c>
      <c r="E7712" t="s">
        <v>1939</v>
      </c>
      <c r="F7712" t="s">
        <v>1940</v>
      </c>
      <c r="G7712" t="s">
        <v>1941</v>
      </c>
      <c r="H7712" t="s">
        <v>1942</v>
      </c>
      <c r="I7712" t="s">
        <v>277</v>
      </c>
      <c r="J7712" t="s">
        <v>282</v>
      </c>
      <c r="K7712" t="s">
        <v>226</v>
      </c>
    </row>
    <row r="7713" spans="1:11" x14ac:dyDescent="0.35">
      <c r="A7713" t="s">
        <v>227</v>
      </c>
      <c r="B7713" t="s">
        <v>343</v>
      </c>
      <c r="C7713" s="2">
        <v>0.7984</v>
      </c>
      <c r="D7713" s="2">
        <v>0.1134</v>
      </c>
      <c r="E7713" s="2">
        <v>5.6399999999999999E-2</v>
      </c>
      <c r="F7713" s="2">
        <v>0.04</v>
      </c>
      <c r="G7713" s="2">
        <v>4.8899999999999999E-2</v>
      </c>
      <c r="H7713" s="2">
        <v>1.67E-2</v>
      </c>
      <c r="K7713">
        <v>401</v>
      </c>
    </row>
    <row r="7714" spans="1:11" x14ac:dyDescent="0.35">
      <c r="A7714" t="s">
        <v>227</v>
      </c>
      <c r="B7714" t="s">
        <v>344</v>
      </c>
      <c r="C7714" s="2">
        <v>0.77929999999999999</v>
      </c>
      <c r="D7714" s="2">
        <v>0.1086</v>
      </c>
      <c r="E7714" s="2">
        <v>7.5800000000000006E-2</v>
      </c>
      <c r="F7714" s="2">
        <v>5.5800000000000002E-2</v>
      </c>
      <c r="G7714" s="2">
        <v>2.23E-2</v>
      </c>
      <c r="H7714" s="2">
        <v>1.4800000000000001E-2</v>
      </c>
      <c r="I7714" s="2">
        <v>2.5000000000000001E-3</v>
      </c>
      <c r="J7714" s="2">
        <v>2.9999999999999997E-4</v>
      </c>
      <c r="K7714">
        <v>2402</v>
      </c>
    </row>
    <row r="7715" spans="1:11" x14ac:dyDescent="0.35">
      <c r="A7715" t="s">
        <v>228</v>
      </c>
      <c r="B7715" t="s">
        <v>228</v>
      </c>
      <c r="C7715" s="2">
        <v>0.78259999999999996</v>
      </c>
      <c r="D7715" s="2">
        <v>0.1094</v>
      </c>
      <c r="E7715" s="2">
        <v>7.2499999999999995E-2</v>
      </c>
      <c r="F7715" s="2">
        <v>5.3100000000000001E-2</v>
      </c>
      <c r="G7715" s="2">
        <v>2.6800000000000001E-2</v>
      </c>
      <c r="H7715" s="2">
        <v>1.5100000000000001E-2</v>
      </c>
      <c r="I7715" s="2">
        <v>2.0999999999999999E-3</v>
      </c>
      <c r="J7715" s="2">
        <v>2.9999999999999997E-4</v>
      </c>
      <c r="K7715">
        <v>2803</v>
      </c>
    </row>
    <row r="7717" spans="1:11" x14ac:dyDescent="0.35">
      <c r="A7717" s="1" t="s">
        <v>1952</v>
      </c>
    </row>
    <row r="7718" spans="1:11" x14ac:dyDescent="0.35">
      <c r="A7718" t="s">
        <v>219</v>
      </c>
      <c r="B7718" t="s">
        <v>301</v>
      </c>
      <c r="C7718" t="s">
        <v>1937</v>
      </c>
      <c r="D7718" t="s">
        <v>1938</v>
      </c>
      <c r="E7718" t="s">
        <v>1939</v>
      </c>
      <c r="F7718" t="s">
        <v>1940</v>
      </c>
      <c r="G7718" t="s">
        <v>1941</v>
      </c>
      <c r="H7718" t="s">
        <v>1942</v>
      </c>
      <c r="I7718" t="s">
        <v>277</v>
      </c>
      <c r="J7718" t="s">
        <v>282</v>
      </c>
      <c r="K7718" t="s">
        <v>226</v>
      </c>
    </row>
    <row r="7719" spans="1:11" x14ac:dyDescent="0.35">
      <c r="A7719" t="s">
        <v>227</v>
      </c>
      <c r="B7719" t="s">
        <v>346</v>
      </c>
      <c r="C7719" s="2">
        <v>0.7964</v>
      </c>
      <c r="D7719" s="2">
        <v>9.9599999999999994E-2</v>
      </c>
      <c r="E7719" s="2">
        <v>7.0599999999999996E-2</v>
      </c>
      <c r="F7719" s="2">
        <v>4.53E-2</v>
      </c>
      <c r="G7719" s="2">
        <v>2.2700000000000001E-2</v>
      </c>
      <c r="H7719" s="2">
        <v>1.3100000000000001E-2</v>
      </c>
      <c r="I7719" s="2">
        <v>1.9E-3</v>
      </c>
      <c r="J7719" s="2">
        <v>2.0000000000000001E-4</v>
      </c>
      <c r="K7719">
        <v>1457</v>
      </c>
    </row>
    <row r="7720" spans="1:11" x14ac:dyDescent="0.35">
      <c r="A7720" t="s">
        <v>227</v>
      </c>
      <c r="B7720" t="s">
        <v>347</v>
      </c>
      <c r="C7720" s="2">
        <v>0.58169999999999999</v>
      </c>
      <c r="D7720" s="2">
        <v>0.23930000000000001</v>
      </c>
      <c r="E7720" s="2">
        <v>9.2899999999999996E-2</v>
      </c>
      <c r="F7720" s="2">
        <v>0.1578</v>
      </c>
      <c r="G7720" s="2">
        <v>8.1900000000000001E-2</v>
      </c>
      <c r="H7720" s="2">
        <v>5.1799999999999999E-2</v>
      </c>
      <c r="I7720" s="2">
        <v>3.7000000000000002E-3</v>
      </c>
      <c r="J7720" s="2">
        <v>2.2000000000000001E-3</v>
      </c>
      <c r="K7720">
        <v>583</v>
      </c>
    </row>
    <row r="7721" spans="1:11" x14ac:dyDescent="0.35">
      <c r="A7721" t="s">
        <v>227</v>
      </c>
      <c r="B7721" t="s">
        <v>348</v>
      </c>
      <c r="C7721" s="2">
        <v>0.73319999999999996</v>
      </c>
      <c r="D7721" s="2">
        <v>0.14849999999999999</v>
      </c>
      <c r="E7721" s="2">
        <v>8.2400000000000001E-2</v>
      </c>
      <c r="F7721" s="2">
        <v>8.4199999999999997E-2</v>
      </c>
      <c r="G7721" s="2">
        <v>4.3499999999999997E-2</v>
      </c>
      <c r="H7721" s="2">
        <v>1.95E-2</v>
      </c>
      <c r="I7721" s="2">
        <v>2.5999999999999999E-3</v>
      </c>
      <c r="K7721">
        <v>763</v>
      </c>
    </row>
    <row r="7722" spans="1:11" x14ac:dyDescent="0.35">
      <c r="A7722" t="s">
        <v>228</v>
      </c>
      <c r="B7722" t="s">
        <v>228</v>
      </c>
      <c r="C7722" s="2">
        <v>0.78259999999999996</v>
      </c>
      <c r="D7722" s="2">
        <v>0.1094</v>
      </c>
      <c r="E7722" s="2">
        <v>7.2499999999999995E-2</v>
      </c>
      <c r="F7722" s="2">
        <v>5.3100000000000001E-2</v>
      </c>
      <c r="G7722" s="2">
        <v>2.6800000000000001E-2</v>
      </c>
      <c r="H7722" s="2">
        <v>1.5100000000000001E-2</v>
      </c>
      <c r="I7722" s="2">
        <v>2.0999999999999999E-3</v>
      </c>
      <c r="J7722" s="2">
        <v>2.9999999999999997E-4</v>
      </c>
      <c r="K7722">
        <v>2803</v>
      </c>
    </row>
    <row r="7724" spans="1:11" x14ac:dyDescent="0.35">
      <c r="A7724" s="1" t="s">
        <v>1953</v>
      </c>
    </row>
    <row r="7725" spans="1:11" x14ac:dyDescent="0.35">
      <c r="A7725" t="s">
        <v>219</v>
      </c>
      <c r="B7725" t="s">
        <v>301</v>
      </c>
      <c r="C7725" t="s">
        <v>1937</v>
      </c>
      <c r="D7725" t="s">
        <v>1938</v>
      </c>
      <c r="E7725" t="s">
        <v>1939</v>
      </c>
      <c r="F7725" t="s">
        <v>1940</v>
      </c>
      <c r="G7725" t="s">
        <v>1941</v>
      </c>
      <c r="H7725" t="s">
        <v>1942</v>
      </c>
      <c r="I7725" t="s">
        <v>277</v>
      </c>
      <c r="J7725" t="s">
        <v>282</v>
      </c>
      <c r="K7725" t="s">
        <v>226</v>
      </c>
    </row>
    <row r="7726" spans="1:11" x14ac:dyDescent="0.35">
      <c r="A7726" t="s">
        <v>227</v>
      </c>
      <c r="B7726" t="s">
        <v>251</v>
      </c>
      <c r="C7726" s="2">
        <v>0.80100000000000005</v>
      </c>
      <c r="D7726" s="2">
        <v>9.2100000000000001E-2</v>
      </c>
      <c r="E7726" s="2">
        <v>6.83E-2</v>
      </c>
      <c r="F7726" s="2">
        <v>4.6300000000000001E-2</v>
      </c>
      <c r="G7726" s="2">
        <v>2.7300000000000001E-2</v>
      </c>
      <c r="H7726" s="2">
        <v>1.38E-2</v>
      </c>
      <c r="I7726" s="2">
        <v>5.0000000000000001E-4</v>
      </c>
      <c r="J7726" s="2">
        <v>4.0000000000000002E-4</v>
      </c>
      <c r="K7726">
        <v>2021</v>
      </c>
    </row>
    <row r="7727" spans="1:11" x14ac:dyDescent="0.35">
      <c r="A7727" t="s">
        <v>227</v>
      </c>
      <c r="B7727" t="s">
        <v>252</v>
      </c>
      <c r="C7727" s="2">
        <v>0.73480000000000001</v>
      </c>
      <c r="D7727" s="2">
        <v>0.1515</v>
      </c>
      <c r="E7727" s="2">
        <v>8.5300000000000001E-2</v>
      </c>
      <c r="F7727" s="2">
        <v>7.1300000000000002E-2</v>
      </c>
      <c r="G7727" s="2">
        <v>3.0300000000000001E-2</v>
      </c>
      <c r="H7727" s="2">
        <v>1.66E-2</v>
      </c>
      <c r="I7727" s="2">
        <v>7.4000000000000003E-3</v>
      </c>
      <c r="K7727">
        <v>620</v>
      </c>
    </row>
    <row r="7728" spans="1:11" x14ac:dyDescent="0.35">
      <c r="A7728" t="s">
        <v>227</v>
      </c>
      <c r="B7728" t="s">
        <v>253</v>
      </c>
      <c r="C7728" s="2">
        <v>0.73780000000000001</v>
      </c>
      <c r="D7728" s="2">
        <v>0.16350000000000001</v>
      </c>
      <c r="E7728" s="2">
        <v>7.6300000000000007E-2</v>
      </c>
      <c r="F7728" s="2">
        <v>6.3899999999999998E-2</v>
      </c>
      <c r="G7728" s="2">
        <v>6.6E-3</v>
      </c>
      <c r="H7728" s="2">
        <v>2.7400000000000001E-2</v>
      </c>
      <c r="K7728">
        <v>153</v>
      </c>
    </row>
    <row r="7729" spans="1:11" x14ac:dyDescent="0.35">
      <c r="A7729" s="3" t="s">
        <v>227</v>
      </c>
      <c r="B7729" s="3" t="s">
        <v>254</v>
      </c>
      <c r="C7729" s="4">
        <v>0.87629999999999997</v>
      </c>
      <c r="D7729" s="5"/>
      <c r="E7729" s="5"/>
      <c r="F7729" s="4">
        <v>0.1237</v>
      </c>
      <c r="G7729" s="5"/>
      <c r="H7729" s="5"/>
      <c r="I7729" s="5"/>
      <c r="J7729" s="5"/>
      <c r="K7729" s="5" t="s">
        <v>515</v>
      </c>
    </row>
    <row r="7730" spans="1:11" x14ac:dyDescent="0.35">
      <c r="A7730" t="s">
        <v>228</v>
      </c>
      <c r="B7730" t="s">
        <v>228</v>
      </c>
      <c r="C7730" s="2">
        <v>0.78259999999999996</v>
      </c>
      <c r="D7730" s="2">
        <v>0.1094</v>
      </c>
      <c r="E7730" s="2">
        <v>7.2499999999999995E-2</v>
      </c>
      <c r="F7730" s="2">
        <v>5.3100000000000001E-2</v>
      </c>
      <c r="G7730" s="2">
        <v>2.6800000000000001E-2</v>
      </c>
      <c r="H7730" s="2">
        <v>1.5100000000000001E-2</v>
      </c>
      <c r="I7730" s="2">
        <v>2.0999999999999999E-3</v>
      </c>
      <c r="J7730" s="2">
        <v>2.9999999999999997E-4</v>
      </c>
      <c r="K7730">
        <v>2803</v>
      </c>
    </row>
    <row r="7732" spans="1:11" x14ac:dyDescent="0.35">
      <c r="A7732" s="1" t="s">
        <v>1954</v>
      </c>
    </row>
    <row r="7733" spans="1:11" x14ac:dyDescent="0.35">
      <c r="A7733" t="s">
        <v>219</v>
      </c>
      <c r="B7733" t="s">
        <v>298</v>
      </c>
      <c r="C7733" t="s">
        <v>299</v>
      </c>
      <c r="D7733" t="s">
        <v>277</v>
      </c>
      <c r="E7733" t="s">
        <v>282</v>
      </c>
      <c r="F7733" t="s">
        <v>226</v>
      </c>
    </row>
    <row r="7734" spans="1:11" x14ac:dyDescent="0.35">
      <c r="A7734" t="s">
        <v>227</v>
      </c>
      <c r="B7734" s="2">
        <v>0.7097</v>
      </c>
      <c r="C7734" s="2">
        <v>0.28349999999999997</v>
      </c>
      <c r="D7734" s="2">
        <v>6.4999999999999997E-3</v>
      </c>
      <c r="E7734" s="2">
        <v>2.9999999999999997E-4</v>
      </c>
      <c r="F7734">
        <v>2810</v>
      </c>
    </row>
    <row r="7735" spans="1:11" x14ac:dyDescent="0.35">
      <c r="A7735" t="s">
        <v>228</v>
      </c>
      <c r="B7735" s="2">
        <v>0.7097</v>
      </c>
      <c r="C7735" s="2">
        <v>0.28349999999999997</v>
      </c>
      <c r="D7735" s="2">
        <v>6.4999999999999997E-3</v>
      </c>
      <c r="E7735" s="2">
        <v>2.9999999999999997E-4</v>
      </c>
      <c r="F7735">
        <v>2810</v>
      </c>
    </row>
    <row r="7737" spans="1:11" x14ac:dyDescent="0.35">
      <c r="A7737" s="1" t="s">
        <v>1955</v>
      </c>
    </row>
    <row r="7738" spans="1:11" x14ac:dyDescent="0.35">
      <c r="A7738" t="s">
        <v>219</v>
      </c>
      <c r="B7738" t="s">
        <v>301</v>
      </c>
      <c r="C7738" t="s">
        <v>298</v>
      </c>
      <c r="D7738" t="s">
        <v>299</v>
      </c>
      <c r="E7738" t="s">
        <v>277</v>
      </c>
      <c r="F7738" t="s">
        <v>282</v>
      </c>
      <c r="G7738" t="s">
        <v>226</v>
      </c>
    </row>
    <row r="7739" spans="1:11" x14ac:dyDescent="0.35">
      <c r="A7739" t="s">
        <v>227</v>
      </c>
      <c r="B7739" t="s">
        <v>238</v>
      </c>
      <c r="C7739" s="2">
        <v>0.75900000000000001</v>
      </c>
      <c r="D7739" s="2">
        <v>0.2379</v>
      </c>
      <c r="E7739" s="2">
        <v>2.8E-3</v>
      </c>
      <c r="F7739" s="2">
        <v>2.9999999999999997E-4</v>
      </c>
      <c r="G7739">
        <v>1003</v>
      </c>
    </row>
    <row r="7740" spans="1:11" x14ac:dyDescent="0.35">
      <c r="A7740" t="s">
        <v>227</v>
      </c>
      <c r="B7740" t="s">
        <v>237</v>
      </c>
      <c r="C7740" s="2">
        <v>0.68089999999999995</v>
      </c>
      <c r="D7740" s="2">
        <v>0.31009999999999999</v>
      </c>
      <c r="E7740" s="2">
        <v>8.6999999999999994E-3</v>
      </c>
      <c r="F7740" s="2">
        <v>2.9999999999999997E-4</v>
      </c>
      <c r="G7740">
        <v>1807</v>
      </c>
    </row>
    <row r="7741" spans="1:11" x14ac:dyDescent="0.35">
      <c r="A7741" t="s">
        <v>228</v>
      </c>
      <c r="B7741" t="s">
        <v>228</v>
      </c>
      <c r="C7741" s="2">
        <v>0.7097</v>
      </c>
      <c r="D7741" s="2">
        <v>0.28349999999999997</v>
      </c>
      <c r="E7741" s="2">
        <v>6.4999999999999997E-3</v>
      </c>
      <c r="F7741" s="2">
        <v>2.9999999999999997E-4</v>
      </c>
      <c r="G7741">
        <v>2810</v>
      </c>
    </row>
    <row r="7743" spans="1:11" x14ac:dyDescent="0.35">
      <c r="A7743" s="1" t="s">
        <v>1956</v>
      </c>
    </row>
    <row r="7744" spans="1:11" x14ac:dyDescent="0.35">
      <c r="A7744" t="s">
        <v>219</v>
      </c>
      <c r="B7744" t="s">
        <v>301</v>
      </c>
      <c r="C7744" t="s">
        <v>298</v>
      </c>
      <c r="D7744" t="s">
        <v>299</v>
      </c>
      <c r="E7744" t="s">
        <v>277</v>
      </c>
      <c r="F7744" t="s">
        <v>282</v>
      </c>
      <c r="G7744" t="s">
        <v>226</v>
      </c>
    </row>
    <row r="7745" spans="1:7" x14ac:dyDescent="0.35">
      <c r="A7745" t="s">
        <v>227</v>
      </c>
      <c r="B7745" t="s">
        <v>235</v>
      </c>
      <c r="C7745" s="2">
        <v>0.70850000000000002</v>
      </c>
      <c r="D7745" s="2">
        <v>0.29060000000000002</v>
      </c>
      <c r="E7745" s="2">
        <v>2.0000000000000001E-4</v>
      </c>
      <c r="F7745" s="2">
        <v>5.9999999999999995E-4</v>
      </c>
      <c r="G7745">
        <v>992</v>
      </c>
    </row>
    <row r="7746" spans="1:7" x14ac:dyDescent="0.35">
      <c r="A7746" t="s">
        <v>227</v>
      </c>
      <c r="B7746" t="s">
        <v>234</v>
      </c>
      <c r="C7746" s="2">
        <v>0.71009999999999995</v>
      </c>
      <c r="D7746" s="2">
        <v>0.28060000000000002</v>
      </c>
      <c r="E7746" s="2">
        <v>9.1999999999999998E-3</v>
      </c>
      <c r="F7746" s="2">
        <v>1E-4</v>
      </c>
      <c r="G7746">
        <v>1818</v>
      </c>
    </row>
    <row r="7747" spans="1:7" x14ac:dyDescent="0.35">
      <c r="A7747" t="s">
        <v>228</v>
      </c>
      <c r="B7747" t="s">
        <v>228</v>
      </c>
      <c r="C7747" s="2">
        <v>0.7097</v>
      </c>
      <c r="D7747" s="2">
        <v>0.28349999999999997</v>
      </c>
      <c r="E7747" s="2">
        <v>6.4999999999999997E-3</v>
      </c>
      <c r="F7747" s="2">
        <v>2.9999999999999997E-4</v>
      </c>
      <c r="G7747">
        <v>2810</v>
      </c>
    </row>
    <row r="7749" spans="1:7" x14ac:dyDescent="0.35">
      <c r="A7749" s="1" t="s">
        <v>1957</v>
      </c>
    </row>
    <row r="7750" spans="1:7" x14ac:dyDescent="0.35">
      <c r="A7750" t="s">
        <v>219</v>
      </c>
      <c r="B7750" t="s">
        <v>301</v>
      </c>
      <c r="C7750" t="s">
        <v>298</v>
      </c>
      <c r="D7750" t="s">
        <v>299</v>
      </c>
      <c r="E7750" t="s">
        <v>277</v>
      </c>
      <c r="F7750" t="s">
        <v>282</v>
      </c>
      <c r="G7750" t="s">
        <v>226</v>
      </c>
    </row>
    <row r="7751" spans="1:7" x14ac:dyDescent="0.35">
      <c r="A7751" t="s">
        <v>227</v>
      </c>
      <c r="B7751" t="s">
        <v>240</v>
      </c>
      <c r="C7751" s="2">
        <v>0.68240000000000001</v>
      </c>
      <c r="D7751" s="2">
        <v>0.30940000000000001</v>
      </c>
      <c r="E7751" s="2">
        <v>7.9000000000000008E-3</v>
      </c>
      <c r="F7751" s="2">
        <v>2.9999999999999997E-4</v>
      </c>
      <c r="G7751">
        <v>1754</v>
      </c>
    </row>
    <row r="7752" spans="1:7" x14ac:dyDescent="0.35">
      <c r="A7752" t="s">
        <v>227</v>
      </c>
      <c r="B7752" t="s">
        <v>241</v>
      </c>
      <c r="C7752" s="2">
        <v>0.78239999999999998</v>
      </c>
      <c r="D7752" s="2">
        <v>0.2122</v>
      </c>
      <c r="E7752" s="2">
        <v>5.0000000000000001E-3</v>
      </c>
      <c r="F7752" s="2">
        <v>2.9999999999999997E-4</v>
      </c>
      <c r="G7752">
        <v>890</v>
      </c>
    </row>
    <row r="7753" spans="1:7" x14ac:dyDescent="0.35">
      <c r="A7753" t="s">
        <v>227</v>
      </c>
      <c r="B7753" t="s">
        <v>242</v>
      </c>
      <c r="C7753" s="2">
        <v>0.64890000000000003</v>
      </c>
      <c r="D7753" s="2">
        <v>0.35110000000000002</v>
      </c>
      <c r="G7753">
        <v>166</v>
      </c>
    </row>
    <row r="7754" spans="1:7" x14ac:dyDescent="0.35">
      <c r="A7754" t="s">
        <v>228</v>
      </c>
      <c r="B7754" t="s">
        <v>228</v>
      </c>
      <c r="C7754" s="2">
        <v>0.7097</v>
      </c>
      <c r="D7754" s="2">
        <v>0.28349999999999997</v>
      </c>
      <c r="E7754" s="2">
        <v>6.4999999999999997E-3</v>
      </c>
      <c r="F7754" s="2">
        <v>2.9999999999999997E-4</v>
      </c>
      <c r="G7754">
        <v>2810</v>
      </c>
    </row>
    <row r="7756" spans="1:7" x14ac:dyDescent="0.35">
      <c r="A7756" s="1" t="s">
        <v>1958</v>
      </c>
    </row>
    <row r="7757" spans="1:7" x14ac:dyDescent="0.35">
      <c r="A7757" t="s">
        <v>219</v>
      </c>
      <c r="B7757" t="s">
        <v>301</v>
      </c>
      <c r="C7757" t="s">
        <v>298</v>
      </c>
      <c r="D7757" t="s">
        <v>299</v>
      </c>
      <c r="E7757" t="s">
        <v>277</v>
      </c>
      <c r="F7757" t="s">
        <v>282</v>
      </c>
      <c r="G7757" t="s">
        <v>226</v>
      </c>
    </row>
    <row r="7758" spans="1:7" x14ac:dyDescent="0.35">
      <c r="A7758" t="s">
        <v>227</v>
      </c>
      <c r="B7758" t="s">
        <v>334</v>
      </c>
      <c r="C7758" s="2">
        <v>0.74280000000000002</v>
      </c>
      <c r="D7758" s="2">
        <v>0.2389</v>
      </c>
      <c r="E7758" s="2">
        <v>1.7399999999999999E-2</v>
      </c>
      <c r="F7758" s="2">
        <v>8.9999999999999998E-4</v>
      </c>
      <c r="G7758">
        <v>624</v>
      </c>
    </row>
    <row r="7759" spans="1:7" x14ac:dyDescent="0.35">
      <c r="A7759" t="s">
        <v>227</v>
      </c>
      <c r="B7759" t="s">
        <v>335</v>
      </c>
      <c r="C7759" s="2">
        <v>0.6462</v>
      </c>
      <c r="D7759" s="2">
        <v>0.34870000000000001</v>
      </c>
      <c r="E7759" s="2">
        <v>5.1000000000000004E-3</v>
      </c>
      <c r="G7759">
        <v>628</v>
      </c>
    </row>
    <row r="7760" spans="1:7" x14ac:dyDescent="0.35">
      <c r="A7760" t="s">
        <v>227</v>
      </c>
      <c r="B7760" t="s">
        <v>336</v>
      </c>
      <c r="C7760" s="2">
        <v>0.79920000000000002</v>
      </c>
      <c r="D7760" s="2">
        <v>0.19370000000000001</v>
      </c>
      <c r="E7760" s="2">
        <v>6.6E-3</v>
      </c>
      <c r="F7760" s="2">
        <v>5.0000000000000001E-4</v>
      </c>
      <c r="G7760">
        <v>621</v>
      </c>
    </row>
    <row r="7761" spans="1:7" x14ac:dyDescent="0.35">
      <c r="A7761" t="s">
        <v>227</v>
      </c>
      <c r="B7761" t="s">
        <v>337</v>
      </c>
      <c r="C7761" s="2">
        <v>0.71599999999999997</v>
      </c>
      <c r="D7761" s="2">
        <v>0.2838</v>
      </c>
      <c r="E7761" s="2">
        <v>2.0000000000000001E-4</v>
      </c>
      <c r="G7761">
        <v>601</v>
      </c>
    </row>
    <row r="7762" spans="1:7" x14ac:dyDescent="0.35">
      <c r="A7762" t="s">
        <v>228</v>
      </c>
      <c r="B7762" t="s">
        <v>228</v>
      </c>
      <c r="C7762" s="2">
        <v>0.7097</v>
      </c>
      <c r="D7762" s="2">
        <v>0.28349999999999997</v>
      </c>
      <c r="E7762" s="2">
        <v>6.4999999999999997E-3</v>
      </c>
      <c r="F7762" s="2">
        <v>2.9999999999999997E-4</v>
      </c>
      <c r="G7762">
        <v>2474</v>
      </c>
    </row>
    <row r="7764" spans="1:7" x14ac:dyDescent="0.35">
      <c r="A7764" s="1" t="s">
        <v>1959</v>
      </c>
    </row>
    <row r="7765" spans="1:7" x14ac:dyDescent="0.35">
      <c r="A7765" t="s">
        <v>219</v>
      </c>
      <c r="B7765" t="s">
        <v>301</v>
      </c>
      <c r="C7765" t="s">
        <v>298</v>
      </c>
      <c r="D7765" t="s">
        <v>299</v>
      </c>
      <c r="E7765" t="s">
        <v>277</v>
      </c>
      <c r="F7765" t="s">
        <v>282</v>
      </c>
      <c r="G7765" t="s">
        <v>226</v>
      </c>
    </row>
    <row r="7766" spans="1:7" x14ac:dyDescent="0.35">
      <c r="A7766" t="s">
        <v>227</v>
      </c>
      <c r="B7766" t="s">
        <v>263</v>
      </c>
      <c r="C7766" s="2">
        <v>0.69210000000000005</v>
      </c>
      <c r="D7766" s="2">
        <v>0.3054</v>
      </c>
      <c r="E7766" s="2">
        <v>2.5000000000000001E-3</v>
      </c>
      <c r="G7766">
        <v>589</v>
      </c>
    </row>
    <row r="7767" spans="1:7" x14ac:dyDescent="0.35">
      <c r="A7767" t="s">
        <v>227</v>
      </c>
      <c r="B7767" t="s">
        <v>262</v>
      </c>
      <c r="C7767" s="2">
        <v>0.78569999999999995</v>
      </c>
      <c r="D7767" s="2">
        <v>0.2051</v>
      </c>
      <c r="E7767" s="2">
        <v>8.8999999999999999E-3</v>
      </c>
      <c r="F7767" s="2">
        <v>2.9999999999999997E-4</v>
      </c>
      <c r="G7767">
        <v>1158</v>
      </c>
    </row>
    <row r="7768" spans="1:7" x14ac:dyDescent="0.35">
      <c r="A7768" t="s">
        <v>227</v>
      </c>
      <c r="B7768" t="s">
        <v>261</v>
      </c>
      <c r="C7768" s="2">
        <v>0.65169999999999995</v>
      </c>
      <c r="D7768" s="2">
        <v>0.34139999999999998</v>
      </c>
      <c r="E7768" s="2">
        <v>6.4999999999999997E-3</v>
      </c>
      <c r="F7768" s="2">
        <v>4.0000000000000002E-4</v>
      </c>
      <c r="G7768">
        <v>1061</v>
      </c>
    </row>
    <row r="7769" spans="1:7" x14ac:dyDescent="0.35">
      <c r="A7769" s="3" t="s">
        <v>227</v>
      </c>
      <c r="B7769" s="3" t="s">
        <v>232</v>
      </c>
      <c r="C7769" s="4">
        <v>1</v>
      </c>
      <c r="D7769" s="5"/>
      <c r="E7769" s="5"/>
      <c r="F7769" s="5"/>
      <c r="G7769" s="5" t="s">
        <v>434</v>
      </c>
    </row>
    <row r="7770" spans="1:7" x14ac:dyDescent="0.35">
      <c r="A7770" t="s">
        <v>228</v>
      </c>
      <c r="B7770" t="s">
        <v>228</v>
      </c>
      <c r="C7770" s="2">
        <v>0.7097</v>
      </c>
      <c r="D7770" s="2">
        <v>0.28349999999999997</v>
      </c>
      <c r="E7770" s="2">
        <v>6.4999999999999997E-3</v>
      </c>
      <c r="F7770" s="2">
        <v>2.9999999999999997E-4</v>
      </c>
      <c r="G7770">
        <v>2810</v>
      </c>
    </row>
    <row r="7772" spans="1:7" x14ac:dyDescent="0.35">
      <c r="A7772" s="1" t="s">
        <v>1960</v>
      </c>
    </row>
    <row r="7773" spans="1:7" x14ac:dyDescent="0.35">
      <c r="A7773" t="s">
        <v>219</v>
      </c>
      <c r="B7773" t="s">
        <v>301</v>
      </c>
      <c r="C7773" t="s">
        <v>298</v>
      </c>
      <c r="D7773" t="s">
        <v>299</v>
      </c>
      <c r="E7773" t="s">
        <v>277</v>
      </c>
      <c r="F7773" t="s">
        <v>282</v>
      </c>
      <c r="G7773" t="s">
        <v>226</v>
      </c>
    </row>
    <row r="7774" spans="1:7" x14ac:dyDescent="0.35">
      <c r="A7774" t="s">
        <v>227</v>
      </c>
      <c r="B7774" t="s">
        <v>248</v>
      </c>
      <c r="C7774" s="2">
        <v>0.77129999999999999</v>
      </c>
      <c r="D7774" s="2">
        <v>0.2102</v>
      </c>
      <c r="E7774" s="2">
        <v>1.8100000000000002E-2</v>
      </c>
      <c r="F7774" s="2">
        <v>2.9999999999999997E-4</v>
      </c>
      <c r="G7774">
        <v>795</v>
      </c>
    </row>
    <row r="7775" spans="1:7" x14ac:dyDescent="0.35">
      <c r="A7775" t="s">
        <v>227</v>
      </c>
      <c r="B7775" t="s">
        <v>249</v>
      </c>
      <c r="C7775" s="2">
        <v>0.69950000000000001</v>
      </c>
      <c r="D7775" s="2">
        <v>0.29949999999999999</v>
      </c>
      <c r="F7775" s="2">
        <v>1E-3</v>
      </c>
      <c r="G7775">
        <v>541</v>
      </c>
    </row>
    <row r="7776" spans="1:7" x14ac:dyDescent="0.35">
      <c r="A7776" t="s">
        <v>227</v>
      </c>
      <c r="B7776" t="s">
        <v>247</v>
      </c>
      <c r="C7776" s="2">
        <v>0.68140000000000001</v>
      </c>
      <c r="D7776" s="2">
        <v>0.31559999999999999</v>
      </c>
      <c r="E7776" s="2">
        <v>2.8999999999999998E-3</v>
      </c>
      <c r="G7776">
        <v>1474</v>
      </c>
    </row>
    <row r="7777" spans="1:7" x14ac:dyDescent="0.35">
      <c r="A7777" t="s">
        <v>228</v>
      </c>
      <c r="B7777" t="s">
        <v>228</v>
      </c>
      <c r="C7777" s="2">
        <v>0.7097</v>
      </c>
      <c r="D7777" s="2">
        <v>0.28349999999999997</v>
      </c>
      <c r="E7777" s="2">
        <v>6.4999999999999997E-3</v>
      </c>
      <c r="F7777" s="2">
        <v>2.9999999999999997E-4</v>
      </c>
      <c r="G7777">
        <v>2810</v>
      </c>
    </row>
    <row r="7779" spans="1:7" x14ac:dyDescent="0.35">
      <c r="A7779" s="1" t="s">
        <v>1961</v>
      </c>
    </row>
    <row r="7780" spans="1:7" x14ac:dyDescent="0.35">
      <c r="A7780" t="s">
        <v>219</v>
      </c>
      <c r="B7780" t="s">
        <v>301</v>
      </c>
      <c r="C7780" t="s">
        <v>298</v>
      </c>
      <c r="D7780" t="s">
        <v>299</v>
      </c>
      <c r="E7780" t="s">
        <v>277</v>
      </c>
      <c r="F7780" t="s">
        <v>282</v>
      </c>
      <c r="G7780" t="s">
        <v>226</v>
      </c>
    </row>
    <row r="7781" spans="1:7" x14ac:dyDescent="0.35">
      <c r="A7781" t="s">
        <v>227</v>
      </c>
      <c r="B7781" t="s">
        <v>245</v>
      </c>
      <c r="C7781" s="2">
        <v>0.64780000000000004</v>
      </c>
      <c r="D7781" s="2">
        <v>0.3463</v>
      </c>
      <c r="E7781" s="2">
        <v>5.8999999999999999E-3</v>
      </c>
      <c r="G7781">
        <v>783</v>
      </c>
    </row>
    <row r="7782" spans="1:7" x14ac:dyDescent="0.35">
      <c r="A7782" t="s">
        <v>227</v>
      </c>
      <c r="B7782" t="s">
        <v>244</v>
      </c>
      <c r="C7782" s="2">
        <v>0.73419999999999996</v>
      </c>
      <c r="D7782" s="2">
        <v>0.2586</v>
      </c>
      <c r="E7782" s="2">
        <v>6.7999999999999996E-3</v>
      </c>
      <c r="F7782" s="2">
        <v>4.0000000000000002E-4</v>
      </c>
      <c r="G7782">
        <v>2027</v>
      </c>
    </row>
    <row r="7783" spans="1:7" x14ac:dyDescent="0.35">
      <c r="A7783" t="s">
        <v>228</v>
      </c>
      <c r="B7783" t="s">
        <v>228</v>
      </c>
      <c r="C7783" s="2">
        <v>0.7097</v>
      </c>
      <c r="D7783" s="2">
        <v>0.28349999999999997</v>
      </c>
      <c r="E7783" s="2">
        <v>6.4999999999999997E-3</v>
      </c>
      <c r="F7783" s="2">
        <v>2.9999999999999997E-4</v>
      </c>
      <c r="G7783">
        <v>2810</v>
      </c>
    </row>
    <row r="7785" spans="1:7" x14ac:dyDescent="0.35">
      <c r="A7785" s="1" t="s">
        <v>1962</v>
      </c>
    </row>
    <row r="7786" spans="1:7" x14ac:dyDescent="0.35">
      <c r="A7786" t="s">
        <v>219</v>
      </c>
      <c r="B7786" t="s">
        <v>301</v>
      </c>
      <c r="C7786" t="s">
        <v>298</v>
      </c>
      <c r="D7786" t="s">
        <v>299</v>
      </c>
      <c r="E7786" t="s">
        <v>277</v>
      </c>
      <c r="F7786" t="s">
        <v>282</v>
      </c>
      <c r="G7786" t="s">
        <v>226</v>
      </c>
    </row>
    <row r="7787" spans="1:7" x14ac:dyDescent="0.35">
      <c r="A7787" t="s">
        <v>227</v>
      </c>
      <c r="B7787" t="s">
        <v>259</v>
      </c>
      <c r="C7787" s="2">
        <v>0.71850000000000003</v>
      </c>
      <c r="D7787" s="2">
        <v>0.28149999999999997</v>
      </c>
      <c r="G7787">
        <v>69</v>
      </c>
    </row>
    <row r="7788" spans="1:7" x14ac:dyDescent="0.35">
      <c r="A7788" t="s">
        <v>227</v>
      </c>
      <c r="B7788" t="s">
        <v>257</v>
      </c>
      <c r="C7788" s="2">
        <v>0.73839999999999995</v>
      </c>
      <c r="D7788" s="2">
        <v>0.23330000000000001</v>
      </c>
      <c r="E7788" s="2">
        <v>2.8299999999999999E-2</v>
      </c>
      <c r="G7788">
        <v>405</v>
      </c>
    </row>
    <row r="7789" spans="1:7" x14ac:dyDescent="0.35">
      <c r="A7789" t="s">
        <v>227</v>
      </c>
      <c r="B7789" t="s">
        <v>256</v>
      </c>
      <c r="C7789" s="2">
        <v>0.71479999999999999</v>
      </c>
      <c r="D7789" s="2">
        <v>0.28220000000000001</v>
      </c>
      <c r="E7789" s="2">
        <v>2.5999999999999999E-3</v>
      </c>
      <c r="F7789" s="2">
        <v>4.0000000000000002E-4</v>
      </c>
      <c r="G7789">
        <v>1803</v>
      </c>
    </row>
    <row r="7790" spans="1:7" x14ac:dyDescent="0.35">
      <c r="A7790" s="3" t="s">
        <v>227</v>
      </c>
      <c r="B7790" s="3" t="s">
        <v>232</v>
      </c>
      <c r="C7790" s="4">
        <v>0.8407</v>
      </c>
      <c r="D7790" s="4">
        <v>0.1593</v>
      </c>
      <c r="E7790" s="5"/>
      <c r="F7790" s="5"/>
      <c r="G7790" s="5" t="s">
        <v>307</v>
      </c>
    </row>
    <row r="7791" spans="1:7" x14ac:dyDescent="0.35">
      <c r="A7791" t="s">
        <v>227</v>
      </c>
      <c r="B7791" t="s">
        <v>258</v>
      </c>
      <c r="C7791" s="2">
        <v>0.65029999999999999</v>
      </c>
      <c r="D7791" s="2">
        <v>0.34970000000000001</v>
      </c>
      <c r="G7791">
        <v>522</v>
      </c>
    </row>
    <row r="7792" spans="1:7" x14ac:dyDescent="0.35">
      <c r="A7792" t="s">
        <v>228</v>
      </c>
      <c r="B7792" t="s">
        <v>228</v>
      </c>
      <c r="C7792" s="2">
        <v>0.7097</v>
      </c>
      <c r="D7792" s="2">
        <v>0.28349999999999997</v>
      </c>
      <c r="E7792" s="2">
        <v>6.4999999999999997E-3</v>
      </c>
      <c r="F7792" s="2">
        <v>2.9999999999999997E-4</v>
      </c>
      <c r="G7792">
        <v>2810</v>
      </c>
    </row>
    <row r="7794" spans="1:7" x14ac:dyDescent="0.35">
      <c r="A7794" s="1" t="s">
        <v>1963</v>
      </c>
    </row>
    <row r="7795" spans="1:7" x14ac:dyDescent="0.35">
      <c r="A7795" t="s">
        <v>219</v>
      </c>
      <c r="B7795" t="s">
        <v>301</v>
      </c>
      <c r="C7795" t="s">
        <v>298</v>
      </c>
      <c r="D7795" t="s">
        <v>299</v>
      </c>
      <c r="E7795" t="s">
        <v>277</v>
      </c>
      <c r="F7795" t="s">
        <v>282</v>
      </c>
      <c r="G7795" t="s">
        <v>226</v>
      </c>
    </row>
    <row r="7796" spans="1:7" x14ac:dyDescent="0.35">
      <c r="A7796" t="s">
        <v>227</v>
      </c>
      <c r="B7796" t="s">
        <v>343</v>
      </c>
      <c r="C7796" s="2">
        <v>0.73839999999999995</v>
      </c>
      <c r="D7796" s="2">
        <v>0.23330000000000001</v>
      </c>
      <c r="E7796" s="2">
        <v>2.8299999999999999E-2</v>
      </c>
      <c r="G7796">
        <v>405</v>
      </c>
    </row>
    <row r="7797" spans="1:7" x14ac:dyDescent="0.35">
      <c r="A7797" t="s">
        <v>227</v>
      </c>
      <c r="B7797" t="s">
        <v>344</v>
      </c>
      <c r="C7797" s="2">
        <v>0.70379999999999998</v>
      </c>
      <c r="D7797" s="2">
        <v>0.29380000000000001</v>
      </c>
      <c r="E7797" s="2">
        <v>2.0999999999999999E-3</v>
      </c>
      <c r="F7797" s="2">
        <v>2.9999999999999997E-4</v>
      </c>
      <c r="G7797">
        <v>2405</v>
      </c>
    </row>
    <row r="7798" spans="1:7" x14ac:dyDescent="0.35">
      <c r="A7798" t="s">
        <v>228</v>
      </c>
      <c r="B7798" t="s">
        <v>228</v>
      </c>
      <c r="C7798" s="2">
        <v>0.7097</v>
      </c>
      <c r="D7798" s="2">
        <v>0.28349999999999997</v>
      </c>
      <c r="E7798" s="2">
        <v>6.4999999999999997E-3</v>
      </c>
      <c r="F7798" s="2">
        <v>2.9999999999999997E-4</v>
      </c>
      <c r="G7798">
        <v>2810</v>
      </c>
    </row>
    <row r="7800" spans="1:7" x14ac:dyDescent="0.35">
      <c r="A7800" s="1" t="s">
        <v>1964</v>
      </c>
    </row>
    <row r="7801" spans="1:7" x14ac:dyDescent="0.35">
      <c r="A7801" t="s">
        <v>219</v>
      </c>
      <c r="B7801" t="s">
        <v>301</v>
      </c>
      <c r="C7801" t="s">
        <v>298</v>
      </c>
      <c r="D7801" t="s">
        <v>299</v>
      </c>
      <c r="E7801" t="s">
        <v>277</v>
      </c>
      <c r="F7801" t="s">
        <v>282</v>
      </c>
      <c r="G7801" t="s">
        <v>226</v>
      </c>
    </row>
    <row r="7802" spans="1:7" x14ac:dyDescent="0.35">
      <c r="A7802" t="s">
        <v>227</v>
      </c>
      <c r="B7802" t="s">
        <v>346</v>
      </c>
      <c r="C7802" s="2">
        <v>0.70499999999999996</v>
      </c>
      <c r="D7802" s="2">
        <v>0.28770000000000001</v>
      </c>
      <c r="E7802" s="2">
        <v>7.1000000000000004E-3</v>
      </c>
      <c r="F7802" s="2">
        <v>2.0000000000000001E-4</v>
      </c>
      <c r="G7802">
        <v>1461</v>
      </c>
    </row>
    <row r="7803" spans="1:7" x14ac:dyDescent="0.35">
      <c r="A7803" t="s">
        <v>227</v>
      </c>
      <c r="B7803" t="s">
        <v>347</v>
      </c>
      <c r="C7803" s="2">
        <v>0.75939999999999996</v>
      </c>
      <c r="D7803" s="2">
        <v>0.23580000000000001</v>
      </c>
      <c r="E7803" s="2">
        <v>2.2000000000000001E-3</v>
      </c>
      <c r="F7803" s="2">
        <v>2.5999999999999999E-3</v>
      </c>
      <c r="G7803">
        <v>584</v>
      </c>
    </row>
    <row r="7804" spans="1:7" x14ac:dyDescent="0.35">
      <c r="A7804" t="s">
        <v>227</v>
      </c>
      <c r="B7804" t="s">
        <v>348</v>
      </c>
      <c r="C7804" s="2">
        <v>0.7329</v>
      </c>
      <c r="D7804" s="2">
        <v>0.26419999999999999</v>
      </c>
      <c r="E7804" s="2">
        <v>2.8999999999999998E-3</v>
      </c>
      <c r="G7804">
        <v>765</v>
      </c>
    </row>
    <row r="7805" spans="1:7" x14ac:dyDescent="0.35">
      <c r="A7805" t="s">
        <v>228</v>
      </c>
      <c r="B7805" t="s">
        <v>228</v>
      </c>
      <c r="C7805" s="2">
        <v>0.7097</v>
      </c>
      <c r="D7805" s="2">
        <v>0.28349999999999997</v>
      </c>
      <c r="E7805" s="2">
        <v>6.4999999999999997E-3</v>
      </c>
      <c r="F7805" s="2">
        <v>2.9999999999999997E-4</v>
      </c>
      <c r="G7805">
        <v>2810</v>
      </c>
    </row>
    <row r="7807" spans="1:7" x14ac:dyDescent="0.35">
      <c r="A7807" s="1" t="s">
        <v>1965</v>
      </c>
    </row>
    <row r="7808" spans="1:7" x14ac:dyDescent="0.35">
      <c r="A7808" t="s">
        <v>219</v>
      </c>
      <c r="B7808" t="s">
        <v>301</v>
      </c>
      <c r="C7808" t="s">
        <v>298</v>
      </c>
      <c r="D7808" t="s">
        <v>299</v>
      </c>
      <c r="E7808" t="s">
        <v>277</v>
      </c>
      <c r="F7808" t="s">
        <v>282</v>
      </c>
      <c r="G7808" t="s">
        <v>226</v>
      </c>
    </row>
    <row r="7809" spans="1:9" x14ac:dyDescent="0.35">
      <c r="A7809" t="s">
        <v>227</v>
      </c>
      <c r="B7809" t="s">
        <v>251</v>
      </c>
      <c r="C7809" s="2">
        <v>0.73419999999999996</v>
      </c>
      <c r="D7809" s="2">
        <v>0.2586</v>
      </c>
      <c r="E7809" s="2">
        <v>6.7999999999999996E-3</v>
      </c>
      <c r="F7809" s="2">
        <v>4.0000000000000002E-4</v>
      </c>
      <c r="G7809">
        <v>2027</v>
      </c>
    </row>
    <row r="7810" spans="1:9" x14ac:dyDescent="0.35">
      <c r="A7810" t="s">
        <v>227</v>
      </c>
      <c r="B7810" t="s">
        <v>252</v>
      </c>
      <c r="C7810" s="2">
        <v>0.62970000000000004</v>
      </c>
      <c r="D7810" s="2">
        <v>0.37030000000000002</v>
      </c>
      <c r="G7810">
        <v>621</v>
      </c>
    </row>
    <row r="7811" spans="1:9" x14ac:dyDescent="0.35">
      <c r="A7811" t="s">
        <v>227</v>
      </c>
      <c r="B7811" t="s">
        <v>253</v>
      </c>
      <c r="C7811" s="2">
        <v>0.71630000000000005</v>
      </c>
      <c r="D7811" s="2">
        <v>0.25180000000000002</v>
      </c>
      <c r="E7811" s="2">
        <v>3.1899999999999998E-2</v>
      </c>
      <c r="G7811">
        <v>153</v>
      </c>
    </row>
    <row r="7812" spans="1:9" x14ac:dyDescent="0.35">
      <c r="A7812" s="3" t="s">
        <v>227</v>
      </c>
      <c r="B7812" s="3" t="s">
        <v>254</v>
      </c>
      <c r="C7812" s="4">
        <v>0.94199999999999995</v>
      </c>
      <c r="D7812" s="4">
        <v>5.8000000000000003E-2</v>
      </c>
      <c r="E7812" s="5"/>
      <c r="F7812" s="5"/>
      <c r="G7812" s="5" t="s">
        <v>515</v>
      </c>
    </row>
    <row r="7813" spans="1:9" x14ac:dyDescent="0.35">
      <c r="A7813" t="s">
        <v>228</v>
      </c>
      <c r="B7813" t="s">
        <v>228</v>
      </c>
      <c r="C7813" s="2">
        <v>0.7097</v>
      </c>
      <c r="D7813" s="2">
        <v>0.28349999999999997</v>
      </c>
      <c r="E7813" s="2">
        <v>6.4999999999999997E-3</v>
      </c>
      <c r="F7813" s="2">
        <v>2.9999999999999997E-4</v>
      </c>
      <c r="G7813">
        <v>2810</v>
      </c>
    </row>
    <row r="7815" spans="1:9" x14ac:dyDescent="0.35">
      <c r="A7815" s="1" t="s">
        <v>1966</v>
      </c>
    </row>
    <row r="7816" spans="1:9" x14ac:dyDescent="0.35">
      <c r="A7816" t="s">
        <v>219</v>
      </c>
      <c r="B7816" t="s">
        <v>1967</v>
      </c>
      <c r="C7816" t="s">
        <v>1968</v>
      </c>
      <c r="D7816" t="s">
        <v>1969</v>
      </c>
      <c r="E7816" t="s">
        <v>1970</v>
      </c>
      <c r="F7816" t="s">
        <v>277</v>
      </c>
      <c r="G7816" t="s">
        <v>282</v>
      </c>
      <c r="H7816" t="s">
        <v>226</v>
      </c>
    </row>
    <row r="7817" spans="1:9" x14ac:dyDescent="0.35">
      <c r="A7817" t="s">
        <v>227</v>
      </c>
      <c r="B7817" s="2">
        <v>0.80640000000000001</v>
      </c>
      <c r="C7817" s="2">
        <v>7.3800000000000004E-2</v>
      </c>
      <c r="D7817" s="2">
        <v>6.0299999999999999E-2</v>
      </c>
      <c r="E7817" s="2">
        <v>3.9899999999999998E-2</v>
      </c>
      <c r="F7817" s="2">
        <v>1.8599999999999998E-2</v>
      </c>
      <c r="G7817" s="2">
        <v>1E-3</v>
      </c>
      <c r="H7817">
        <v>2813</v>
      </c>
    </row>
    <row r="7818" spans="1:9" x14ac:dyDescent="0.35">
      <c r="A7818" t="s">
        <v>228</v>
      </c>
      <c r="B7818" s="2">
        <v>0.80640000000000001</v>
      </c>
      <c r="C7818" s="2">
        <v>7.3800000000000004E-2</v>
      </c>
      <c r="D7818" s="2">
        <v>6.0299999999999999E-2</v>
      </c>
      <c r="E7818" s="2">
        <v>3.9899999999999998E-2</v>
      </c>
      <c r="F7818" s="2">
        <v>1.8599999999999998E-2</v>
      </c>
      <c r="G7818" s="2">
        <v>1E-3</v>
      </c>
      <c r="H7818">
        <v>2813</v>
      </c>
    </row>
    <row r="7820" spans="1:9" x14ac:dyDescent="0.35">
      <c r="A7820" s="1" t="s">
        <v>1971</v>
      </c>
    </row>
    <row r="7821" spans="1:9" x14ac:dyDescent="0.35">
      <c r="A7821" t="s">
        <v>219</v>
      </c>
      <c r="B7821" t="s">
        <v>301</v>
      </c>
      <c r="C7821" t="s">
        <v>1967</v>
      </c>
      <c r="D7821" t="s">
        <v>1968</v>
      </c>
      <c r="E7821" t="s">
        <v>1969</v>
      </c>
      <c r="F7821" t="s">
        <v>1970</v>
      </c>
      <c r="G7821" t="s">
        <v>277</v>
      </c>
      <c r="H7821" t="s">
        <v>282</v>
      </c>
      <c r="I7821" t="s">
        <v>226</v>
      </c>
    </row>
    <row r="7822" spans="1:9" x14ac:dyDescent="0.35">
      <c r="A7822" t="s">
        <v>227</v>
      </c>
      <c r="B7822" t="s">
        <v>238</v>
      </c>
      <c r="C7822" s="2">
        <v>0.73929999999999996</v>
      </c>
      <c r="D7822" s="2">
        <v>8.9399999999999993E-2</v>
      </c>
      <c r="E7822" s="2">
        <v>9.0899999999999995E-2</v>
      </c>
      <c r="F7822" s="2">
        <v>5.8400000000000001E-2</v>
      </c>
      <c r="G7822" s="2">
        <v>2.0500000000000001E-2</v>
      </c>
      <c r="H7822" s="2">
        <v>1.6000000000000001E-3</v>
      </c>
      <c r="I7822">
        <v>1005</v>
      </c>
    </row>
    <row r="7823" spans="1:9" x14ac:dyDescent="0.35">
      <c r="A7823" t="s">
        <v>227</v>
      </c>
      <c r="B7823" t="s">
        <v>237</v>
      </c>
      <c r="C7823" s="2">
        <v>0.84550000000000003</v>
      </c>
      <c r="D7823" s="2">
        <v>6.4699999999999994E-2</v>
      </c>
      <c r="E7823" s="2">
        <v>4.2500000000000003E-2</v>
      </c>
      <c r="F7823" s="2">
        <v>2.9100000000000001E-2</v>
      </c>
      <c r="G7823" s="2">
        <v>1.7500000000000002E-2</v>
      </c>
      <c r="H7823" s="2">
        <v>6.9999999999999999E-4</v>
      </c>
      <c r="I7823">
        <v>1808</v>
      </c>
    </row>
    <row r="7824" spans="1:9" x14ac:dyDescent="0.35">
      <c r="A7824" t="s">
        <v>228</v>
      </c>
      <c r="B7824" t="s">
        <v>228</v>
      </c>
      <c r="C7824" s="2">
        <v>0.80640000000000001</v>
      </c>
      <c r="D7824" s="2">
        <v>7.3800000000000004E-2</v>
      </c>
      <c r="E7824" s="2">
        <v>6.0299999999999999E-2</v>
      </c>
      <c r="F7824" s="2">
        <v>3.9899999999999998E-2</v>
      </c>
      <c r="G7824" s="2">
        <v>1.8599999999999998E-2</v>
      </c>
      <c r="H7824" s="2">
        <v>1E-3</v>
      </c>
      <c r="I7824">
        <v>2813</v>
      </c>
    </row>
    <row r="7826" spans="1:9" x14ac:dyDescent="0.35">
      <c r="A7826" s="1" t="s">
        <v>1972</v>
      </c>
    </row>
    <row r="7827" spans="1:9" x14ac:dyDescent="0.35">
      <c r="A7827" t="s">
        <v>219</v>
      </c>
      <c r="B7827" t="s">
        <v>301</v>
      </c>
      <c r="C7827" t="s">
        <v>1967</v>
      </c>
      <c r="D7827" t="s">
        <v>1968</v>
      </c>
      <c r="E7827" t="s">
        <v>1969</v>
      </c>
      <c r="F7827" t="s">
        <v>1970</v>
      </c>
      <c r="G7827" t="s">
        <v>277</v>
      </c>
      <c r="H7827" t="s">
        <v>282</v>
      </c>
      <c r="I7827" t="s">
        <v>226</v>
      </c>
    </row>
    <row r="7828" spans="1:9" x14ac:dyDescent="0.35">
      <c r="A7828" t="s">
        <v>227</v>
      </c>
      <c r="B7828" t="s">
        <v>235</v>
      </c>
      <c r="C7828" s="2">
        <v>0.71719999999999995</v>
      </c>
      <c r="D7828" s="2">
        <v>7.9399999999999998E-2</v>
      </c>
      <c r="E7828" s="2">
        <v>0.1082</v>
      </c>
      <c r="F7828" s="2">
        <v>6.0600000000000001E-2</v>
      </c>
      <c r="G7828" s="2">
        <v>3.39E-2</v>
      </c>
      <c r="H7828" s="2">
        <v>5.9999999999999995E-4</v>
      </c>
      <c r="I7828">
        <v>992</v>
      </c>
    </row>
    <row r="7829" spans="1:9" x14ac:dyDescent="0.35">
      <c r="A7829" t="s">
        <v>227</v>
      </c>
      <c r="B7829" t="s">
        <v>234</v>
      </c>
      <c r="C7829" s="2">
        <v>0.84370000000000001</v>
      </c>
      <c r="D7829" s="2">
        <v>7.1499999999999994E-2</v>
      </c>
      <c r="E7829" s="2">
        <v>4.0300000000000002E-2</v>
      </c>
      <c r="F7829" s="2">
        <v>3.1199999999999999E-2</v>
      </c>
      <c r="G7829" s="2">
        <v>1.21E-2</v>
      </c>
      <c r="H7829" s="2">
        <v>1.1000000000000001E-3</v>
      </c>
      <c r="I7829">
        <v>1821</v>
      </c>
    </row>
    <row r="7830" spans="1:9" x14ac:dyDescent="0.35">
      <c r="A7830" t="s">
        <v>228</v>
      </c>
      <c r="B7830" t="s">
        <v>228</v>
      </c>
      <c r="C7830" s="2">
        <v>0.80640000000000001</v>
      </c>
      <c r="D7830" s="2">
        <v>7.3800000000000004E-2</v>
      </c>
      <c r="E7830" s="2">
        <v>6.0299999999999999E-2</v>
      </c>
      <c r="F7830" s="2">
        <v>3.9899999999999998E-2</v>
      </c>
      <c r="G7830" s="2">
        <v>1.8599999999999998E-2</v>
      </c>
      <c r="H7830" s="2">
        <v>1E-3</v>
      </c>
      <c r="I7830">
        <v>2813</v>
      </c>
    </row>
    <row r="7832" spans="1:9" x14ac:dyDescent="0.35">
      <c r="A7832" s="1" t="s">
        <v>1973</v>
      </c>
    </row>
    <row r="7833" spans="1:9" x14ac:dyDescent="0.35">
      <c r="A7833" t="s">
        <v>219</v>
      </c>
      <c r="B7833" t="s">
        <v>301</v>
      </c>
      <c r="C7833" t="s">
        <v>1967</v>
      </c>
      <c r="D7833" t="s">
        <v>1968</v>
      </c>
      <c r="E7833" t="s">
        <v>1969</v>
      </c>
      <c r="F7833" t="s">
        <v>1970</v>
      </c>
      <c r="G7833" t="s">
        <v>277</v>
      </c>
      <c r="H7833" t="s">
        <v>282</v>
      </c>
      <c r="I7833" t="s">
        <v>226</v>
      </c>
    </row>
    <row r="7834" spans="1:9" x14ac:dyDescent="0.35">
      <c r="A7834" t="s">
        <v>227</v>
      </c>
      <c r="B7834" t="s">
        <v>240</v>
      </c>
      <c r="C7834" s="2">
        <v>0.83379999999999999</v>
      </c>
      <c r="D7834" s="2">
        <v>7.3800000000000004E-2</v>
      </c>
      <c r="E7834" s="2">
        <v>3.9899999999999998E-2</v>
      </c>
      <c r="F7834" s="2">
        <v>3.5700000000000003E-2</v>
      </c>
      <c r="G7834" s="2">
        <v>1.5699999999999999E-2</v>
      </c>
      <c r="H7834" s="2">
        <v>1.1000000000000001E-3</v>
      </c>
      <c r="I7834">
        <v>1756</v>
      </c>
    </row>
    <row r="7835" spans="1:9" x14ac:dyDescent="0.35">
      <c r="A7835" t="s">
        <v>227</v>
      </c>
      <c r="B7835" t="s">
        <v>241</v>
      </c>
      <c r="C7835" s="2">
        <v>0.73670000000000002</v>
      </c>
      <c r="D7835" s="2">
        <v>6.5000000000000002E-2</v>
      </c>
      <c r="E7835" s="2">
        <v>0.11799999999999999</v>
      </c>
      <c r="F7835" s="2">
        <v>5.0500000000000003E-2</v>
      </c>
      <c r="G7835" s="2">
        <v>2.8799999999999999E-2</v>
      </c>
      <c r="H7835" s="2">
        <v>1E-3</v>
      </c>
      <c r="I7835">
        <v>891</v>
      </c>
    </row>
    <row r="7836" spans="1:9" x14ac:dyDescent="0.35">
      <c r="A7836" t="s">
        <v>227</v>
      </c>
      <c r="B7836" t="s">
        <v>242</v>
      </c>
      <c r="C7836" s="2">
        <v>0.85209999999999997</v>
      </c>
      <c r="D7836" s="2">
        <v>0.1132</v>
      </c>
      <c r="E7836" s="2">
        <v>1.1999999999999999E-3</v>
      </c>
      <c r="F7836" s="2">
        <v>3.27E-2</v>
      </c>
      <c r="G7836" s="2">
        <v>6.9999999999999999E-4</v>
      </c>
      <c r="I7836">
        <v>166</v>
      </c>
    </row>
    <row r="7837" spans="1:9" x14ac:dyDescent="0.35">
      <c r="A7837" t="s">
        <v>228</v>
      </c>
      <c r="B7837" t="s">
        <v>228</v>
      </c>
      <c r="C7837" s="2">
        <v>0.80640000000000001</v>
      </c>
      <c r="D7837" s="2">
        <v>7.3800000000000004E-2</v>
      </c>
      <c r="E7837" s="2">
        <v>6.0299999999999999E-2</v>
      </c>
      <c r="F7837" s="2">
        <v>3.9899999999999998E-2</v>
      </c>
      <c r="G7837" s="2">
        <v>1.8599999999999998E-2</v>
      </c>
      <c r="H7837" s="2">
        <v>1E-3</v>
      </c>
      <c r="I7837">
        <v>2813</v>
      </c>
    </row>
    <row r="7839" spans="1:9" x14ac:dyDescent="0.35">
      <c r="A7839" s="1" t="s">
        <v>1974</v>
      </c>
    </row>
    <row r="7840" spans="1:9" x14ac:dyDescent="0.35">
      <c r="A7840" t="s">
        <v>219</v>
      </c>
      <c r="B7840" t="s">
        <v>301</v>
      </c>
      <c r="C7840" t="s">
        <v>1967</v>
      </c>
      <c r="D7840" t="s">
        <v>1968</v>
      </c>
      <c r="E7840" t="s">
        <v>1969</v>
      </c>
      <c r="F7840" t="s">
        <v>1970</v>
      </c>
      <c r="G7840" t="s">
        <v>277</v>
      </c>
      <c r="H7840" t="s">
        <v>282</v>
      </c>
      <c r="I7840" t="s">
        <v>226</v>
      </c>
    </row>
    <row r="7841" spans="1:9" x14ac:dyDescent="0.35">
      <c r="A7841" t="s">
        <v>227</v>
      </c>
      <c r="B7841" t="s">
        <v>334</v>
      </c>
      <c r="C7841" s="2">
        <v>0.68340000000000001</v>
      </c>
      <c r="D7841" s="2">
        <v>8.2400000000000001E-2</v>
      </c>
      <c r="E7841" s="2">
        <v>0.13750000000000001</v>
      </c>
      <c r="F7841" s="2">
        <v>6.1699999999999998E-2</v>
      </c>
      <c r="G7841" s="2">
        <v>3.32E-2</v>
      </c>
      <c r="H7841" s="2">
        <v>1.6999999999999999E-3</v>
      </c>
      <c r="I7841">
        <v>625</v>
      </c>
    </row>
    <row r="7842" spans="1:9" x14ac:dyDescent="0.35">
      <c r="A7842" t="s">
        <v>227</v>
      </c>
      <c r="B7842" t="s">
        <v>335</v>
      </c>
      <c r="C7842" s="2">
        <v>0.89219999999999999</v>
      </c>
      <c r="D7842" s="2">
        <v>6.6500000000000004E-2</v>
      </c>
      <c r="E7842" s="2">
        <v>1.21E-2</v>
      </c>
      <c r="F7842" s="2">
        <v>2.5700000000000001E-2</v>
      </c>
      <c r="G7842" s="2">
        <v>3.5000000000000001E-3</v>
      </c>
      <c r="I7842">
        <v>628</v>
      </c>
    </row>
    <row r="7843" spans="1:9" x14ac:dyDescent="0.35">
      <c r="A7843" t="s">
        <v>227</v>
      </c>
      <c r="B7843" t="s">
        <v>336</v>
      </c>
      <c r="C7843" s="2">
        <v>0.77590000000000003</v>
      </c>
      <c r="D7843" s="2">
        <v>7.3400000000000007E-2</v>
      </c>
      <c r="E7843" s="2">
        <v>9.11E-2</v>
      </c>
      <c r="F7843" s="2">
        <v>3.85E-2</v>
      </c>
      <c r="G7843" s="2">
        <v>1.9099999999999999E-2</v>
      </c>
      <c r="H7843" s="2">
        <v>2.0999999999999999E-3</v>
      </c>
      <c r="I7843">
        <v>621</v>
      </c>
    </row>
    <row r="7844" spans="1:9" x14ac:dyDescent="0.35">
      <c r="A7844" t="s">
        <v>227</v>
      </c>
      <c r="B7844" t="s">
        <v>337</v>
      </c>
      <c r="C7844" s="2">
        <v>0.84799999999999998</v>
      </c>
      <c r="D7844" s="2">
        <v>6.7199999999999996E-2</v>
      </c>
      <c r="E7844" s="2">
        <v>2.9000000000000001E-2</v>
      </c>
      <c r="F7844" s="2">
        <v>3.6799999999999999E-2</v>
      </c>
      <c r="G7844" s="2">
        <v>1.9E-2</v>
      </c>
      <c r="I7844">
        <v>602</v>
      </c>
    </row>
    <row r="7845" spans="1:9" x14ac:dyDescent="0.35">
      <c r="A7845" t="s">
        <v>228</v>
      </c>
      <c r="B7845" t="s">
        <v>228</v>
      </c>
      <c r="C7845" s="2">
        <v>0.80640000000000001</v>
      </c>
      <c r="D7845" s="2">
        <v>7.3800000000000004E-2</v>
      </c>
      <c r="E7845" s="2">
        <v>6.0299999999999999E-2</v>
      </c>
      <c r="F7845" s="2">
        <v>3.9899999999999998E-2</v>
      </c>
      <c r="G7845" s="2">
        <v>1.8599999999999998E-2</v>
      </c>
      <c r="H7845" s="2">
        <v>1E-3</v>
      </c>
      <c r="I7845">
        <v>2476</v>
      </c>
    </row>
    <row r="7847" spans="1:9" x14ac:dyDescent="0.35">
      <c r="A7847" s="1" t="s">
        <v>1975</v>
      </c>
    </row>
    <row r="7848" spans="1:9" x14ac:dyDescent="0.35">
      <c r="A7848" t="s">
        <v>219</v>
      </c>
      <c r="B7848" t="s">
        <v>301</v>
      </c>
      <c r="C7848" t="s">
        <v>1967</v>
      </c>
      <c r="D7848" t="s">
        <v>1968</v>
      </c>
      <c r="E7848" t="s">
        <v>1969</v>
      </c>
      <c r="F7848" t="s">
        <v>1970</v>
      </c>
      <c r="G7848" t="s">
        <v>277</v>
      </c>
      <c r="H7848" t="s">
        <v>282</v>
      </c>
      <c r="I7848" t="s">
        <v>226</v>
      </c>
    </row>
    <row r="7849" spans="1:9" x14ac:dyDescent="0.35">
      <c r="A7849" t="s">
        <v>227</v>
      </c>
      <c r="B7849" t="s">
        <v>263</v>
      </c>
      <c r="C7849" s="2">
        <v>0.80049999999999999</v>
      </c>
      <c r="D7849" s="2">
        <v>7.2499999999999995E-2</v>
      </c>
      <c r="E7849" s="2">
        <v>6.9599999999999995E-2</v>
      </c>
      <c r="F7849" s="2">
        <v>4.1099999999999998E-2</v>
      </c>
      <c r="G7849" s="2">
        <v>1.61E-2</v>
      </c>
      <c r="H7849" s="2">
        <v>2.0000000000000001E-4</v>
      </c>
      <c r="I7849">
        <v>589</v>
      </c>
    </row>
    <row r="7850" spans="1:9" x14ac:dyDescent="0.35">
      <c r="A7850" t="s">
        <v>227</v>
      </c>
      <c r="B7850" t="s">
        <v>262</v>
      </c>
      <c r="C7850" s="2">
        <v>0.77490000000000003</v>
      </c>
      <c r="D7850" s="2">
        <v>7.2599999999999998E-2</v>
      </c>
      <c r="E7850" s="2">
        <v>8.2299999999999998E-2</v>
      </c>
      <c r="F7850" s="2">
        <v>4.5699999999999998E-2</v>
      </c>
      <c r="G7850" s="2">
        <v>2.35E-2</v>
      </c>
      <c r="H7850" s="2">
        <v>1E-3</v>
      </c>
      <c r="I7850">
        <v>1160</v>
      </c>
    </row>
    <row r="7851" spans="1:9" x14ac:dyDescent="0.35">
      <c r="A7851" t="s">
        <v>227</v>
      </c>
      <c r="B7851" t="s">
        <v>261</v>
      </c>
      <c r="C7851" s="2">
        <v>0.83750000000000002</v>
      </c>
      <c r="D7851" s="2">
        <v>7.5700000000000003E-2</v>
      </c>
      <c r="E7851" s="2">
        <v>3.6999999999999998E-2</v>
      </c>
      <c r="F7851" s="2">
        <v>3.2899999999999999E-2</v>
      </c>
      <c r="G7851" s="2">
        <v>1.55E-2</v>
      </c>
      <c r="H7851" s="2">
        <v>1.4E-3</v>
      </c>
      <c r="I7851">
        <v>1062</v>
      </c>
    </row>
    <row r="7852" spans="1:9" x14ac:dyDescent="0.35">
      <c r="A7852" s="3" t="s">
        <v>227</v>
      </c>
      <c r="B7852" s="3" t="s">
        <v>232</v>
      </c>
      <c r="C7852" s="4">
        <v>0.5</v>
      </c>
      <c r="D7852" s="5"/>
      <c r="E7852" s="5"/>
      <c r="F7852" s="4">
        <v>0.5</v>
      </c>
      <c r="G7852" s="5"/>
      <c r="H7852" s="5"/>
      <c r="I7852" s="5" t="s">
        <v>434</v>
      </c>
    </row>
    <row r="7853" spans="1:9" x14ac:dyDescent="0.35">
      <c r="A7853" t="s">
        <v>228</v>
      </c>
      <c r="B7853" t="s">
        <v>228</v>
      </c>
      <c r="C7853" s="2">
        <v>0.80640000000000001</v>
      </c>
      <c r="D7853" s="2">
        <v>7.3800000000000004E-2</v>
      </c>
      <c r="E7853" s="2">
        <v>6.0299999999999999E-2</v>
      </c>
      <c r="F7853" s="2">
        <v>3.9899999999999998E-2</v>
      </c>
      <c r="G7853" s="2">
        <v>1.8599999999999998E-2</v>
      </c>
      <c r="H7853" s="2">
        <v>1E-3</v>
      </c>
      <c r="I7853">
        <v>2813</v>
      </c>
    </row>
    <row r="7855" spans="1:9" x14ac:dyDescent="0.35">
      <c r="A7855" s="1" t="s">
        <v>1976</v>
      </c>
    </row>
    <row r="7856" spans="1:9" x14ac:dyDescent="0.35">
      <c r="A7856" t="s">
        <v>219</v>
      </c>
      <c r="B7856" t="s">
        <v>301</v>
      </c>
      <c r="C7856" t="s">
        <v>1967</v>
      </c>
      <c r="D7856" t="s">
        <v>1968</v>
      </c>
      <c r="E7856" t="s">
        <v>1969</v>
      </c>
      <c r="F7856" t="s">
        <v>1970</v>
      </c>
      <c r="G7856" t="s">
        <v>277</v>
      </c>
      <c r="H7856" t="s">
        <v>282</v>
      </c>
      <c r="I7856" t="s">
        <v>226</v>
      </c>
    </row>
    <row r="7857" spans="1:9" x14ac:dyDescent="0.35">
      <c r="A7857" t="s">
        <v>227</v>
      </c>
      <c r="B7857" t="s">
        <v>248</v>
      </c>
      <c r="C7857" s="2">
        <v>0.7026</v>
      </c>
      <c r="D7857" s="2">
        <v>4.1200000000000001E-2</v>
      </c>
      <c r="E7857" s="2">
        <v>0.17499999999999999</v>
      </c>
      <c r="F7857" s="2">
        <v>3.8100000000000002E-2</v>
      </c>
      <c r="G7857" s="2">
        <v>4.0899999999999999E-2</v>
      </c>
      <c r="H7857" s="2">
        <v>2.2000000000000001E-3</v>
      </c>
      <c r="I7857">
        <v>796</v>
      </c>
    </row>
    <row r="7858" spans="1:9" x14ac:dyDescent="0.35">
      <c r="A7858" t="s">
        <v>227</v>
      </c>
      <c r="B7858" t="s">
        <v>249</v>
      </c>
      <c r="C7858" s="2">
        <v>0.83169999999999999</v>
      </c>
      <c r="D7858" s="2">
        <v>8.8200000000000001E-2</v>
      </c>
      <c r="E7858" s="2">
        <v>2.53E-2</v>
      </c>
      <c r="F7858" s="2">
        <v>3.6600000000000001E-2</v>
      </c>
      <c r="G7858" s="2">
        <v>1.66E-2</v>
      </c>
      <c r="H7858" s="2">
        <v>1.5E-3</v>
      </c>
      <c r="I7858">
        <v>541</v>
      </c>
    </row>
    <row r="7859" spans="1:9" x14ac:dyDescent="0.35">
      <c r="A7859" t="s">
        <v>227</v>
      </c>
      <c r="B7859" t="s">
        <v>247</v>
      </c>
      <c r="C7859" s="2">
        <v>0.8508</v>
      </c>
      <c r="D7859" s="2">
        <v>8.5400000000000004E-2</v>
      </c>
      <c r="E7859" s="2">
        <v>1.3899999999999999E-2</v>
      </c>
      <c r="F7859" s="2">
        <v>4.2000000000000003E-2</v>
      </c>
      <c r="G7859" s="2">
        <v>7.7999999999999996E-3</v>
      </c>
      <c r="H7859" s="2">
        <v>2.0000000000000001E-4</v>
      </c>
      <c r="I7859">
        <v>1476</v>
      </c>
    </row>
    <row r="7860" spans="1:9" x14ac:dyDescent="0.35">
      <c r="A7860" t="s">
        <v>228</v>
      </c>
      <c r="B7860" t="s">
        <v>228</v>
      </c>
      <c r="C7860" s="2">
        <v>0.80640000000000001</v>
      </c>
      <c r="D7860" s="2">
        <v>7.3800000000000004E-2</v>
      </c>
      <c r="E7860" s="2">
        <v>6.0299999999999999E-2</v>
      </c>
      <c r="F7860" s="2">
        <v>3.9899999999999998E-2</v>
      </c>
      <c r="G7860" s="2">
        <v>1.8599999999999998E-2</v>
      </c>
      <c r="H7860" s="2">
        <v>1E-3</v>
      </c>
      <c r="I7860">
        <v>2813</v>
      </c>
    </row>
    <row r="7862" spans="1:9" x14ac:dyDescent="0.35">
      <c r="A7862" s="1" t="s">
        <v>1977</v>
      </c>
    </row>
    <row r="7863" spans="1:9" x14ac:dyDescent="0.35">
      <c r="A7863" t="s">
        <v>219</v>
      </c>
      <c r="B7863" t="s">
        <v>301</v>
      </c>
      <c r="C7863" t="s">
        <v>1967</v>
      </c>
      <c r="D7863" t="s">
        <v>1968</v>
      </c>
      <c r="E7863" t="s">
        <v>1969</v>
      </c>
      <c r="F7863" t="s">
        <v>1970</v>
      </c>
      <c r="G7863" t="s">
        <v>277</v>
      </c>
      <c r="H7863" t="s">
        <v>282</v>
      </c>
      <c r="I7863" t="s">
        <v>226</v>
      </c>
    </row>
    <row r="7864" spans="1:9" x14ac:dyDescent="0.35">
      <c r="A7864" t="s">
        <v>227</v>
      </c>
      <c r="B7864" t="s">
        <v>245</v>
      </c>
      <c r="C7864" s="2">
        <v>0.88060000000000005</v>
      </c>
      <c r="D7864" s="2">
        <v>9.35E-2</v>
      </c>
      <c r="E7864" s="2">
        <v>6.9999999999999999E-4</v>
      </c>
      <c r="F7864" s="2">
        <v>2.01E-2</v>
      </c>
      <c r="G7864" s="2">
        <v>4.8999999999999998E-3</v>
      </c>
      <c r="H7864" s="2">
        <v>2.0000000000000001E-4</v>
      </c>
      <c r="I7864">
        <v>783</v>
      </c>
    </row>
    <row r="7865" spans="1:9" x14ac:dyDescent="0.35">
      <c r="A7865" t="s">
        <v>227</v>
      </c>
      <c r="B7865" t="s">
        <v>244</v>
      </c>
      <c r="C7865" s="2">
        <v>0.77700000000000002</v>
      </c>
      <c r="D7865" s="2">
        <v>6.6000000000000003E-2</v>
      </c>
      <c r="E7865" s="2">
        <v>8.4000000000000005E-2</v>
      </c>
      <c r="F7865" s="2">
        <v>4.7699999999999999E-2</v>
      </c>
      <c r="G7865" s="2">
        <v>2.4E-2</v>
      </c>
      <c r="H7865" s="2">
        <v>1.2999999999999999E-3</v>
      </c>
      <c r="I7865">
        <v>2030</v>
      </c>
    </row>
    <row r="7866" spans="1:9" x14ac:dyDescent="0.35">
      <c r="A7866" t="s">
        <v>228</v>
      </c>
      <c r="B7866" t="s">
        <v>228</v>
      </c>
      <c r="C7866" s="2">
        <v>0.80640000000000001</v>
      </c>
      <c r="D7866" s="2">
        <v>7.3800000000000004E-2</v>
      </c>
      <c r="E7866" s="2">
        <v>6.0299999999999999E-2</v>
      </c>
      <c r="F7866" s="2">
        <v>3.9899999999999998E-2</v>
      </c>
      <c r="G7866" s="2">
        <v>1.8599999999999998E-2</v>
      </c>
      <c r="H7866" s="2">
        <v>1E-3</v>
      </c>
      <c r="I7866">
        <v>2813</v>
      </c>
    </row>
    <row r="7868" spans="1:9" x14ac:dyDescent="0.35">
      <c r="A7868" s="1" t="s">
        <v>1978</v>
      </c>
    </row>
    <row r="7869" spans="1:9" x14ac:dyDescent="0.35">
      <c r="A7869" t="s">
        <v>219</v>
      </c>
      <c r="B7869" t="s">
        <v>301</v>
      </c>
      <c r="C7869" t="s">
        <v>1967</v>
      </c>
      <c r="D7869" t="s">
        <v>1968</v>
      </c>
      <c r="E7869" t="s">
        <v>1969</v>
      </c>
      <c r="F7869" t="s">
        <v>1970</v>
      </c>
      <c r="G7869" t="s">
        <v>277</v>
      </c>
      <c r="H7869" t="s">
        <v>282</v>
      </c>
      <c r="I7869" t="s">
        <v>226</v>
      </c>
    </row>
    <row r="7870" spans="1:9" x14ac:dyDescent="0.35">
      <c r="A7870" t="s">
        <v>227</v>
      </c>
      <c r="B7870" t="s">
        <v>259</v>
      </c>
      <c r="C7870" s="2">
        <v>0.91790000000000005</v>
      </c>
      <c r="D7870" s="2">
        <v>4.7899999999999998E-2</v>
      </c>
      <c r="E7870" s="2">
        <v>1.5100000000000001E-2</v>
      </c>
      <c r="F7870" s="2">
        <v>5.5999999999999999E-3</v>
      </c>
      <c r="G7870" s="2">
        <v>1.3599999999999999E-2</v>
      </c>
      <c r="I7870">
        <v>69</v>
      </c>
    </row>
    <row r="7871" spans="1:9" x14ac:dyDescent="0.35">
      <c r="A7871" t="s">
        <v>227</v>
      </c>
      <c r="B7871" t="s">
        <v>257</v>
      </c>
      <c r="C7871" s="2">
        <v>0.81489999999999996</v>
      </c>
      <c r="D7871" s="2">
        <v>6.7699999999999996E-2</v>
      </c>
      <c r="E7871" s="2">
        <v>2.9399999999999999E-2</v>
      </c>
      <c r="F7871" s="2">
        <v>6.4000000000000001E-2</v>
      </c>
      <c r="G7871" s="2">
        <v>2.2700000000000001E-2</v>
      </c>
      <c r="H7871" s="2">
        <v>1.2999999999999999E-3</v>
      </c>
      <c r="I7871">
        <v>405</v>
      </c>
    </row>
    <row r="7872" spans="1:9" x14ac:dyDescent="0.35">
      <c r="A7872" t="s">
        <v>227</v>
      </c>
      <c r="B7872" t="s">
        <v>256</v>
      </c>
      <c r="C7872" s="2">
        <v>0.79210000000000003</v>
      </c>
      <c r="D7872" s="2">
        <v>7.4499999999999997E-2</v>
      </c>
      <c r="E7872" s="2">
        <v>8.0600000000000005E-2</v>
      </c>
      <c r="F7872" s="2">
        <v>3.2300000000000002E-2</v>
      </c>
      <c r="G7872" s="2">
        <v>1.9599999999999999E-2</v>
      </c>
      <c r="H7872" s="2">
        <v>8.9999999999999998E-4</v>
      </c>
      <c r="I7872">
        <v>1803</v>
      </c>
    </row>
    <row r="7873" spans="1:9" x14ac:dyDescent="0.35">
      <c r="A7873" s="3" t="s">
        <v>227</v>
      </c>
      <c r="B7873" s="3" t="s">
        <v>232</v>
      </c>
      <c r="C7873" s="4">
        <v>0.60560000000000003</v>
      </c>
      <c r="D7873" s="4">
        <v>9.1499999999999998E-2</v>
      </c>
      <c r="E7873" s="5"/>
      <c r="F7873" s="4">
        <v>0.3029</v>
      </c>
      <c r="G7873" s="5"/>
      <c r="H7873" s="5"/>
      <c r="I7873" s="5" t="s">
        <v>307</v>
      </c>
    </row>
    <row r="7874" spans="1:9" x14ac:dyDescent="0.35">
      <c r="A7874" t="s">
        <v>227</v>
      </c>
      <c r="B7874" t="s">
        <v>258</v>
      </c>
      <c r="C7874" s="2">
        <v>0.85109999999999997</v>
      </c>
      <c r="D7874" s="2">
        <v>8.0399999999999999E-2</v>
      </c>
      <c r="E7874" s="2">
        <v>1.04E-2</v>
      </c>
      <c r="F7874" s="2">
        <v>4.6699999999999998E-2</v>
      </c>
      <c r="G7874" s="2">
        <v>1.0200000000000001E-2</v>
      </c>
      <c r="H7874" s="2">
        <v>1.1999999999999999E-3</v>
      </c>
      <c r="I7874">
        <v>525</v>
      </c>
    </row>
    <row r="7875" spans="1:9" x14ac:dyDescent="0.35">
      <c r="A7875" t="s">
        <v>228</v>
      </c>
      <c r="B7875" t="s">
        <v>228</v>
      </c>
      <c r="C7875" s="2">
        <v>0.80640000000000001</v>
      </c>
      <c r="D7875" s="2">
        <v>7.3800000000000004E-2</v>
      </c>
      <c r="E7875" s="2">
        <v>6.0299999999999999E-2</v>
      </c>
      <c r="F7875" s="2">
        <v>3.9899999999999998E-2</v>
      </c>
      <c r="G7875" s="2">
        <v>1.8599999999999998E-2</v>
      </c>
      <c r="H7875" s="2">
        <v>1E-3</v>
      </c>
      <c r="I7875">
        <v>2813</v>
      </c>
    </row>
    <row r="7877" spans="1:9" x14ac:dyDescent="0.35">
      <c r="A7877" s="1" t="s">
        <v>1979</v>
      </c>
    </row>
    <row r="7878" spans="1:9" x14ac:dyDescent="0.35">
      <c r="A7878" t="s">
        <v>219</v>
      </c>
      <c r="B7878" t="s">
        <v>301</v>
      </c>
      <c r="C7878" t="s">
        <v>1967</v>
      </c>
      <c r="D7878" t="s">
        <v>1968</v>
      </c>
      <c r="E7878" t="s">
        <v>1969</v>
      </c>
      <c r="F7878" t="s">
        <v>1970</v>
      </c>
      <c r="G7878" t="s">
        <v>277</v>
      </c>
      <c r="H7878" t="s">
        <v>282</v>
      </c>
      <c r="I7878" t="s">
        <v>226</v>
      </c>
    </row>
    <row r="7879" spans="1:9" x14ac:dyDescent="0.35">
      <c r="A7879" t="s">
        <v>227</v>
      </c>
      <c r="B7879" t="s">
        <v>343</v>
      </c>
      <c r="C7879" s="2">
        <v>0.81489999999999996</v>
      </c>
      <c r="D7879" s="2">
        <v>6.7699999999999996E-2</v>
      </c>
      <c r="E7879" s="2">
        <v>2.9399999999999999E-2</v>
      </c>
      <c r="F7879" s="2">
        <v>6.4000000000000001E-2</v>
      </c>
      <c r="G7879" s="2">
        <v>2.2700000000000001E-2</v>
      </c>
      <c r="H7879" s="2">
        <v>1.2999999999999999E-3</v>
      </c>
      <c r="I7879">
        <v>405</v>
      </c>
    </row>
    <row r="7880" spans="1:9" x14ac:dyDescent="0.35">
      <c r="A7880" t="s">
        <v>227</v>
      </c>
      <c r="B7880" t="s">
        <v>344</v>
      </c>
      <c r="C7880" s="2">
        <v>0.80469999999999997</v>
      </c>
      <c r="D7880" s="2">
        <v>7.51E-2</v>
      </c>
      <c r="E7880" s="2">
        <v>6.6600000000000006E-2</v>
      </c>
      <c r="F7880" s="2">
        <v>3.5000000000000003E-2</v>
      </c>
      <c r="G7880" s="2">
        <v>1.77E-2</v>
      </c>
      <c r="H7880" s="2">
        <v>8.9999999999999998E-4</v>
      </c>
      <c r="I7880">
        <v>2408</v>
      </c>
    </row>
    <row r="7881" spans="1:9" x14ac:dyDescent="0.35">
      <c r="A7881" t="s">
        <v>228</v>
      </c>
      <c r="B7881" t="s">
        <v>228</v>
      </c>
      <c r="C7881" s="2">
        <v>0.80640000000000001</v>
      </c>
      <c r="D7881" s="2">
        <v>7.3800000000000004E-2</v>
      </c>
      <c r="E7881" s="2">
        <v>6.0299999999999999E-2</v>
      </c>
      <c r="F7881" s="2">
        <v>3.9899999999999998E-2</v>
      </c>
      <c r="G7881" s="2">
        <v>1.8599999999999998E-2</v>
      </c>
      <c r="H7881" s="2">
        <v>1E-3</v>
      </c>
      <c r="I7881">
        <v>2813</v>
      </c>
    </row>
    <row r="7883" spans="1:9" x14ac:dyDescent="0.35">
      <c r="A7883" s="1" t="s">
        <v>1980</v>
      </c>
    </row>
    <row r="7884" spans="1:9" x14ac:dyDescent="0.35">
      <c r="A7884" t="s">
        <v>219</v>
      </c>
      <c r="B7884" t="s">
        <v>301</v>
      </c>
      <c r="C7884" t="s">
        <v>1967</v>
      </c>
      <c r="D7884" t="s">
        <v>1968</v>
      </c>
      <c r="E7884" t="s">
        <v>1969</v>
      </c>
      <c r="F7884" t="s">
        <v>1970</v>
      </c>
      <c r="G7884" t="s">
        <v>277</v>
      </c>
      <c r="H7884" t="s">
        <v>282</v>
      </c>
      <c r="I7884" t="s">
        <v>226</v>
      </c>
    </row>
    <row r="7885" spans="1:9" x14ac:dyDescent="0.35">
      <c r="A7885" t="s">
        <v>227</v>
      </c>
      <c r="B7885" t="s">
        <v>346</v>
      </c>
      <c r="C7885" s="2">
        <v>0.82030000000000003</v>
      </c>
      <c r="D7885" s="2">
        <v>6.1499999999999999E-2</v>
      </c>
      <c r="E7885" s="2">
        <v>6.1899999999999997E-2</v>
      </c>
      <c r="F7885" s="2">
        <v>3.73E-2</v>
      </c>
      <c r="G7885" s="2">
        <v>1.8700000000000001E-2</v>
      </c>
      <c r="H7885" s="2">
        <v>4.0000000000000002E-4</v>
      </c>
      <c r="I7885">
        <v>1463</v>
      </c>
    </row>
    <row r="7886" spans="1:9" x14ac:dyDescent="0.35">
      <c r="A7886" t="s">
        <v>227</v>
      </c>
      <c r="B7886" t="s">
        <v>347</v>
      </c>
      <c r="C7886" s="2">
        <v>0.54339999999999999</v>
      </c>
      <c r="D7886" s="2">
        <v>0.19309999999999999</v>
      </c>
      <c r="E7886" s="2">
        <v>6.9400000000000003E-2</v>
      </c>
      <c r="F7886" s="2">
        <v>0.1366</v>
      </c>
      <c r="G7886" s="2">
        <v>4.4999999999999998E-2</v>
      </c>
      <c r="H7886" s="2">
        <v>1.2500000000000001E-2</v>
      </c>
      <c r="I7886">
        <v>585</v>
      </c>
    </row>
    <row r="7887" spans="1:9" x14ac:dyDescent="0.35">
      <c r="A7887" t="s">
        <v>227</v>
      </c>
      <c r="B7887" t="s">
        <v>348</v>
      </c>
      <c r="C7887" s="2">
        <v>0.78029999999999999</v>
      </c>
      <c r="D7887" s="2">
        <v>0.1404</v>
      </c>
      <c r="E7887" s="2">
        <v>4.2799999999999998E-2</v>
      </c>
      <c r="F7887" s="2">
        <v>2.6499999999999999E-2</v>
      </c>
      <c r="G7887" s="2">
        <v>7.6E-3</v>
      </c>
      <c r="H7887" s="2">
        <v>2.3999999999999998E-3</v>
      </c>
      <c r="I7887">
        <v>765</v>
      </c>
    </row>
    <row r="7888" spans="1:9" x14ac:dyDescent="0.35">
      <c r="A7888" t="s">
        <v>228</v>
      </c>
      <c r="B7888" t="s">
        <v>228</v>
      </c>
      <c r="C7888" s="2">
        <v>0.80640000000000001</v>
      </c>
      <c r="D7888" s="2">
        <v>7.3800000000000004E-2</v>
      </c>
      <c r="E7888" s="2">
        <v>6.0299999999999999E-2</v>
      </c>
      <c r="F7888" s="2">
        <v>3.9899999999999998E-2</v>
      </c>
      <c r="G7888" s="2">
        <v>1.8599999999999998E-2</v>
      </c>
      <c r="H7888" s="2">
        <v>1E-3</v>
      </c>
      <c r="I7888">
        <v>2813</v>
      </c>
    </row>
    <row r="7890" spans="1:19" x14ac:dyDescent="0.35">
      <c r="A7890" s="1" t="s">
        <v>1981</v>
      </c>
    </row>
    <row r="7891" spans="1:19" x14ac:dyDescent="0.35">
      <c r="A7891" t="s">
        <v>219</v>
      </c>
      <c r="B7891" t="s">
        <v>301</v>
      </c>
      <c r="C7891" t="s">
        <v>1967</v>
      </c>
      <c r="D7891" t="s">
        <v>1968</v>
      </c>
      <c r="E7891" t="s">
        <v>1969</v>
      </c>
      <c r="F7891" t="s">
        <v>1970</v>
      </c>
      <c r="G7891" t="s">
        <v>277</v>
      </c>
      <c r="H7891" t="s">
        <v>282</v>
      </c>
      <c r="I7891" t="s">
        <v>226</v>
      </c>
    </row>
    <row r="7892" spans="1:19" x14ac:dyDescent="0.35">
      <c r="A7892" t="s">
        <v>227</v>
      </c>
      <c r="B7892" t="s">
        <v>251</v>
      </c>
      <c r="C7892" s="2">
        <v>0.77700000000000002</v>
      </c>
      <c r="D7892" s="2">
        <v>6.6000000000000003E-2</v>
      </c>
      <c r="E7892" s="2">
        <v>8.4000000000000005E-2</v>
      </c>
      <c r="F7892" s="2">
        <v>4.7699999999999999E-2</v>
      </c>
      <c r="G7892" s="2">
        <v>2.4E-2</v>
      </c>
      <c r="H7892" s="2">
        <v>1.2999999999999999E-3</v>
      </c>
      <c r="I7892">
        <v>2030</v>
      </c>
    </row>
    <row r="7893" spans="1:19" x14ac:dyDescent="0.35">
      <c r="A7893" t="s">
        <v>227</v>
      </c>
      <c r="B7893" t="s">
        <v>252</v>
      </c>
      <c r="C7893" s="2">
        <v>0.88360000000000005</v>
      </c>
      <c r="D7893" s="2">
        <v>9.8299999999999998E-2</v>
      </c>
      <c r="E7893" s="2">
        <v>2.9999999999999997E-4</v>
      </c>
      <c r="F7893" s="2">
        <v>1.24E-2</v>
      </c>
      <c r="G7893" s="2">
        <v>5.1999999999999998E-3</v>
      </c>
      <c r="H7893" s="2">
        <v>2.0000000000000001E-4</v>
      </c>
      <c r="I7893">
        <v>621</v>
      </c>
    </row>
    <row r="7894" spans="1:19" x14ac:dyDescent="0.35">
      <c r="A7894" t="s">
        <v>227</v>
      </c>
      <c r="B7894" t="s">
        <v>253</v>
      </c>
      <c r="C7894" s="2">
        <v>0.86960000000000004</v>
      </c>
      <c r="D7894" s="2">
        <v>6.9900000000000004E-2</v>
      </c>
      <c r="E7894" s="2">
        <v>2.3999999999999998E-3</v>
      </c>
      <c r="F7894" s="2">
        <v>5.45E-2</v>
      </c>
      <c r="G7894" s="2">
        <v>3.5999999999999999E-3</v>
      </c>
      <c r="I7894">
        <v>153</v>
      </c>
    </row>
    <row r="7895" spans="1:19" x14ac:dyDescent="0.35">
      <c r="A7895" s="3" t="s">
        <v>227</v>
      </c>
      <c r="B7895" s="3" t="s">
        <v>254</v>
      </c>
      <c r="C7895" s="4">
        <v>0.82509999999999994</v>
      </c>
      <c r="D7895" s="4">
        <v>0.1749</v>
      </c>
      <c r="E7895" s="5"/>
      <c r="F7895" s="5"/>
      <c r="G7895" s="5"/>
      <c r="H7895" s="5"/>
      <c r="I7895" s="5" t="s">
        <v>515</v>
      </c>
    </row>
    <row r="7896" spans="1:19" x14ac:dyDescent="0.35">
      <c r="A7896" t="s">
        <v>228</v>
      </c>
      <c r="B7896" t="s">
        <v>228</v>
      </c>
      <c r="C7896" s="2">
        <v>0.80640000000000001</v>
      </c>
      <c r="D7896" s="2">
        <v>7.3800000000000004E-2</v>
      </c>
      <c r="E7896" s="2">
        <v>6.0299999999999999E-2</v>
      </c>
      <c r="F7896" s="2">
        <v>3.9899999999999998E-2</v>
      </c>
      <c r="G7896" s="2">
        <v>1.8599999999999998E-2</v>
      </c>
      <c r="H7896" s="2">
        <v>1E-3</v>
      </c>
      <c r="I7896">
        <v>2813</v>
      </c>
    </row>
    <row r="7898" spans="1:19" x14ac:dyDescent="0.35">
      <c r="A7898" s="1" t="s">
        <v>1982</v>
      </c>
    </row>
    <row r="7899" spans="1:19" x14ac:dyDescent="0.35">
      <c r="A7899" t="s">
        <v>219</v>
      </c>
      <c r="B7899" t="s">
        <v>1983</v>
      </c>
      <c r="C7899" t="s">
        <v>1984</v>
      </c>
      <c r="D7899" t="s">
        <v>1985</v>
      </c>
      <c r="E7899" t="s">
        <v>1986</v>
      </c>
      <c r="F7899" t="s">
        <v>1987</v>
      </c>
      <c r="G7899" t="s">
        <v>1988</v>
      </c>
      <c r="H7899" t="s">
        <v>1989</v>
      </c>
      <c r="I7899" t="s">
        <v>1990</v>
      </c>
      <c r="J7899" t="s">
        <v>1991</v>
      </c>
      <c r="K7899" t="s">
        <v>1992</v>
      </c>
      <c r="L7899" t="s">
        <v>1993</v>
      </c>
      <c r="M7899" t="s">
        <v>1994</v>
      </c>
      <c r="N7899" t="s">
        <v>277</v>
      </c>
      <c r="O7899" t="s">
        <v>1995</v>
      </c>
      <c r="P7899" t="s">
        <v>282</v>
      </c>
      <c r="Q7899" t="s">
        <v>1996</v>
      </c>
      <c r="R7899" t="s">
        <v>226</v>
      </c>
    </row>
    <row r="7900" spans="1:19" x14ac:dyDescent="0.35">
      <c r="A7900" t="s">
        <v>227</v>
      </c>
      <c r="B7900" s="2">
        <v>0.40639999999999998</v>
      </c>
      <c r="C7900" s="2">
        <v>0.23860000000000001</v>
      </c>
      <c r="D7900" s="2">
        <v>0.1416</v>
      </c>
      <c r="E7900" s="2">
        <v>7.8399999999999997E-2</v>
      </c>
      <c r="F7900" s="2">
        <v>5.0200000000000002E-2</v>
      </c>
      <c r="G7900" s="2">
        <v>2.46E-2</v>
      </c>
      <c r="H7900" s="2">
        <v>2.12E-2</v>
      </c>
      <c r="I7900" s="2">
        <v>1.7100000000000001E-2</v>
      </c>
      <c r="J7900" s="2">
        <v>1.0200000000000001E-2</v>
      </c>
      <c r="K7900" s="2">
        <v>4.4000000000000003E-3</v>
      </c>
      <c r="L7900" s="2">
        <v>3.8E-3</v>
      </c>
      <c r="M7900" s="2">
        <v>1.4E-3</v>
      </c>
      <c r="N7900" s="2">
        <v>1.2999999999999999E-3</v>
      </c>
      <c r="O7900" s="2">
        <v>4.0000000000000002E-4</v>
      </c>
      <c r="P7900" s="2">
        <v>2.9999999999999997E-4</v>
      </c>
      <c r="Q7900" s="2">
        <v>1E-4</v>
      </c>
      <c r="R7900">
        <v>2812</v>
      </c>
    </row>
    <row r="7901" spans="1:19" x14ac:dyDescent="0.35">
      <c r="A7901" t="s">
        <v>228</v>
      </c>
      <c r="B7901" s="2">
        <v>0.40639999999999998</v>
      </c>
      <c r="C7901" s="2">
        <v>0.23860000000000001</v>
      </c>
      <c r="D7901" s="2">
        <v>0.1416</v>
      </c>
      <c r="E7901" s="2">
        <v>7.8399999999999997E-2</v>
      </c>
      <c r="F7901" s="2">
        <v>5.0200000000000002E-2</v>
      </c>
      <c r="G7901" s="2">
        <v>2.46E-2</v>
      </c>
      <c r="H7901" s="2">
        <v>2.12E-2</v>
      </c>
      <c r="I7901" s="2">
        <v>1.7100000000000001E-2</v>
      </c>
      <c r="J7901" s="2">
        <v>1.0200000000000001E-2</v>
      </c>
      <c r="K7901" s="2">
        <v>4.4000000000000003E-3</v>
      </c>
      <c r="L7901" s="2">
        <v>3.8E-3</v>
      </c>
      <c r="M7901" s="2">
        <v>1.4E-3</v>
      </c>
      <c r="N7901" s="2">
        <v>1.2999999999999999E-3</v>
      </c>
      <c r="O7901" s="2">
        <v>4.0000000000000002E-4</v>
      </c>
      <c r="P7901" s="2">
        <v>2.9999999999999997E-4</v>
      </c>
      <c r="Q7901" s="2">
        <v>1E-4</v>
      </c>
      <c r="R7901">
        <v>2812</v>
      </c>
    </row>
    <row r="7903" spans="1:19" x14ac:dyDescent="0.35">
      <c r="A7903" s="1" t="s">
        <v>1997</v>
      </c>
    </row>
    <row r="7904" spans="1:19" x14ac:dyDescent="0.35">
      <c r="A7904" t="s">
        <v>219</v>
      </c>
      <c r="B7904" t="s">
        <v>301</v>
      </c>
      <c r="C7904" t="s">
        <v>1983</v>
      </c>
      <c r="D7904" t="s">
        <v>1984</v>
      </c>
      <c r="E7904" t="s">
        <v>1985</v>
      </c>
      <c r="F7904" t="s">
        <v>1986</v>
      </c>
      <c r="G7904" t="s">
        <v>1987</v>
      </c>
      <c r="H7904" t="s">
        <v>1988</v>
      </c>
      <c r="I7904" t="s">
        <v>1989</v>
      </c>
      <c r="J7904" t="s">
        <v>1990</v>
      </c>
      <c r="K7904" t="s">
        <v>1991</v>
      </c>
      <c r="L7904" t="s">
        <v>1992</v>
      </c>
      <c r="M7904" t="s">
        <v>1993</v>
      </c>
      <c r="N7904" t="s">
        <v>1994</v>
      </c>
      <c r="O7904" t="s">
        <v>277</v>
      </c>
      <c r="P7904" t="s">
        <v>1995</v>
      </c>
      <c r="Q7904" t="s">
        <v>282</v>
      </c>
      <c r="R7904" t="s">
        <v>1996</v>
      </c>
      <c r="S7904" t="s">
        <v>226</v>
      </c>
    </row>
    <row r="7905" spans="1:19" x14ac:dyDescent="0.35">
      <c r="A7905" t="s">
        <v>227</v>
      </c>
      <c r="B7905" t="s">
        <v>238</v>
      </c>
      <c r="C7905" s="2">
        <v>0.39629999999999999</v>
      </c>
      <c r="D7905" s="2">
        <v>0.22800000000000001</v>
      </c>
      <c r="E7905" s="2">
        <v>0.13569999999999999</v>
      </c>
      <c r="F7905" s="2">
        <v>9.2299999999999993E-2</v>
      </c>
      <c r="G7905" s="2">
        <v>4.7899999999999998E-2</v>
      </c>
      <c r="H7905" s="2">
        <v>2.47E-2</v>
      </c>
      <c r="I7905" s="2">
        <v>2.5000000000000001E-2</v>
      </c>
      <c r="J7905" s="2">
        <v>1.9800000000000002E-2</v>
      </c>
      <c r="K7905" s="2">
        <v>1.1900000000000001E-2</v>
      </c>
      <c r="L7905" s="2">
        <v>6.8999999999999999E-3</v>
      </c>
      <c r="M7905" s="2">
        <v>4.1000000000000003E-3</v>
      </c>
      <c r="N7905" s="2">
        <v>3.8999999999999998E-3</v>
      </c>
      <c r="O7905" s="2">
        <v>3.2000000000000002E-3</v>
      </c>
      <c r="R7905" s="2">
        <v>2.0000000000000001E-4</v>
      </c>
      <c r="S7905">
        <v>1005</v>
      </c>
    </row>
    <row r="7906" spans="1:19" x14ac:dyDescent="0.35">
      <c r="A7906" t="s">
        <v>227</v>
      </c>
      <c r="B7906" t="s">
        <v>237</v>
      </c>
      <c r="C7906" s="2">
        <v>0.4123</v>
      </c>
      <c r="D7906" s="2">
        <v>0.24479999999999999</v>
      </c>
      <c r="E7906" s="2">
        <v>0.14499999999999999</v>
      </c>
      <c r="F7906" s="2">
        <v>7.0300000000000001E-2</v>
      </c>
      <c r="G7906" s="2">
        <v>5.16E-2</v>
      </c>
      <c r="H7906" s="2">
        <v>2.46E-2</v>
      </c>
      <c r="I7906" s="2">
        <v>1.9E-2</v>
      </c>
      <c r="J7906" s="2">
        <v>1.55E-2</v>
      </c>
      <c r="K7906" s="2">
        <v>9.1000000000000004E-3</v>
      </c>
      <c r="L7906" s="2">
        <v>2.8999999999999998E-3</v>
      </c>
      <c r="M7906" s="2">
        <v>3.5999999999999999E-3</v>
      </c>
      <c r="O7906" s="2">
        <v>1E-4</v>
      </c>
      <c r="P7906" s="2">
        <v>6.9999999999999999E-4</v>
      </c>
      <c r="Q7906" s="2">
        <v>4.0000000000000002E-4</v>
      </c>
      <c r="S7906">
        <v>1807</v>
      </c>
    </row>
    <row r="7907" spans="1:19" x14ac:dyDescent="0.35">
      <c r="A7907" t="s">
        <v>228</v>
      </c>
      <c r="B7907" t="s">
        <v>228</v>
      </c>
      <c r="C7907" s="2">
        <v>0.40639999999999998</v>
      </c>
      <c r="D7907" s="2">
        <v>0.23860000000000001</v>
      </c>
      <c r="E7907" s="2">
        <v>0.1416</v>
      </c>
      <c r="F7907" s="2">
        <v>7.8399999999999997E-2</v>
      </c>
      <c r="G7907" s="2">
        <v>5.0200000000000002E-2</v>
      </c>
      <c r="H7907" s="2">
        <v>2.46E-2</v>
      </c>
      <c r="I7907" s="2">
        <v>2.12E-2</v>
      </c>
      <c r="J7907" s="2">
        <v>1.7100000000000001E-2</v>
      </c>
      <c r="K7907" s="2">
        <v>1.0200000000000001E-2</v>
      </c>
      <c r="L7907" s="2">
        <v>4.4000000000000003E-3</v>
      </c>
      <c r="M7907" s="2">
        <v>3.8E-3</v>
      </c>
      <c r="N7907" s="2">
        <v>1.4E-3</v>
      </c>
      <c r="O7907" s="2">
        <v>1.2999999999999999E-3</v>
      </c>
      <c r="P7907" s="2">
        <v>4.0000000000000002E-4</v>
      </c>
      <c r="Q7907" s="2">
        <v>2.9999999999999997E-4</v>
      </c>
      <c r="R7907" s="2">
        <v>1E-4</v>
      </c>
      <c r="S7907">
        <v>2812</v>
      </c>
    </row>
    <row r="7909" spans="1:19" x14ac:dyDescent="0.35">
      <c r="A7909" s="1" t="s">
        <v>1998</v>
      </c>
    </row>
    <row r="7910" spans="1:19" x14ac:dyDescent="0.35">
      <c r="A7910" t="s">
        <v>219</v>
      </c>
      <c r="B7910" t="s">
        <v>301</v>
      </c>
      <c r="C7910" t="s">
        <v>1983</v>
      </c>
      <c r="D7910" t="s">
        <v>1984</v>
      </c>
      <c r="E7910" t="s">
        <v>1985</v>
      </c>
      <c r="F7910" t="s">
        <v>1986</v>
      </c>
      <c r="G7910" t="s">
        <v>1987</v>
      </c>
      <c r="H7910" t="s">
        <v>1988</v>
      </c>
      <c r="I7910" t="s">
        <v>1989</v>
      </c>
      <c r="J7910" t="s">
        <v>1990</v>
      </c>
      <c r="K7910" t="s">
        <v>1991</v>
      </c>
      <c r="L7910" t="s">
        <v>1992</v>
      </c>
      <c r="M7910" t="s">
        <v>1993</v>
      </c>
      <c r="N7910" t="s">
        <v>1994</v>
      </c>
      <c r="O7910" t="s">
        <v>277</v>
      </c>
      <c r="P7910" t="s">
        <v>1995</v>
      </c>
      <c r="Q7910" t="s">
        <v>282</v>
      </c>
      <c r="R7910" t="s">
        <v>1996</v>
      </c>
      <c r="S7910" t="s">
        <v>226</v>
      </c>
    </row>
    <row r="7911" spans="1:19" x14ac:dyDescent="0.35">
      <c r="A7911" t="s">
        <v>227</v>
      </c>
      <c r="B7911" t="s">
        <v>235</v>
      </c>
      <c r="C7911" s="2">
        <v>0.38019999999999998</v>
      </c>
      <c r="D7911" s="2">
        <v>0.15670000000000001</v>
      </c>
      <c r="E7911" s="2">
        <v>4.8599999999999997E-2</v>
      </c>
      <c r="F7911" s="2">
        <v>0.19539999999999999</v>
      </c>
      <c r="G7911" s="2">
        <v>9.7900000000000001E-2</v>
      </c>
      <c r="H7911" s="2">
        <v>1.7600000000000001E-2</v>
      </c>
      <c r="I7911" s="2">
        <v>2.87E-2</v>
      </c>
      <c r="J7911" s="2">
        <v>4.6699999999999998E-2</v>
      </c>
      <c r="K7911" s="2">
        <v>7.1999999999999998E-3</v>
      </c>
      <c r="L7911" s="2">
        <v>8.3000000000000001E-3</v>
      </c>
      <c r="M7911" s="2">
        <v>5.7000000000000002E-3</v>
      </c>
      <c r="N7911" s="2">
        <v>2.3999999999999998E-3</v>
      </c>
      <c r="O7911" s="2">
        <v>3.2000000000000002E-3</v>
      </c>
      <c r="P7911" s="2">
        <v>6.9999999999999999E-4</v>
      </c>
      <c r="Q7911" s="2">
        <v>5.9999999999999995E-4</v>
      </c>
      <c r="S7911">
        <v>992</v>
      </c>
    </row>
    <row r="7912" spans="1:19" x14ac:dyDescent="0.35">
      <c r="A7912" t="s">
        <v>227</v>
      </c>
      <c r="B7912" t="s">
        <v>234</v>
      </c>
      <c r="C7912" s="2">
        <v>0.41739999999999999</v>
      </c>
      <c r="D7912" s="2">
        <v>0.27289999999999998</v>
      </c>
      <c r="E7912" s="2">
        <v>0.18049999999999999</v>
      </c>
      <c r="F7912" s="2">
        <v>2.9399999999999999E-2</v>
      </c>
      <c r="G7912" s="2">
        <v>3.0300000000000001E-2</v>
      </c>
      <c r="H7912" s="2">
        <v>2.76E-2</v>
      </c>
      <c r="I7912" s="2">
        <v>1.7999999999999999E-2</v>
      </c>
      <c r="J7912" s="2">
        <v>4.7000000000000002E-3</v>
      </c>
      <c r="K7912" s="2">
        <v>1.14E-2</v>
      </c>
      <c r="L7912" s="2">
        <v>2.7000000000000001E-3</v>
      </c>
      <c r="M7912" s="2">
        <v>3.0000000000000001E-3</v>
      </c>
      <c r="N7912" s="2">
        <v>1E-3</v>
      </c>
      <c r="O7912" s="2">
        <v>4.0000000000000002E-4</v>
      </c>
      <c r="P7912" s="2">
        <v>2.9999999999999997E-4</v>
      </c>
      <c r="Q7912" s="2">
        <v>1E-4</v>
      </c>
      <c r="R7912" s="2">
        <v>1E-4</v>
      </c>
      <c r="S7912">
        <v>1820</v>
      </c>
    </row>
    <row r="7913" spans="1:19" x14ac:dyDescent="0.35">
      <c r="A7913" t="s">
        <v>228</v>
      </c>
      <c r="B7913" t="s">
        <v>228</v>
      </c>
      <c r="C7913" s="2">
        <v>0.40639999999999998</v>
      </c>
      <c r="D7913" s="2">
        <v>0.23860000000000001</v>
      </c>
      <c r="E7913" s="2">
        <v>0.1416</v>
      </c>
      <c r="F7913" s="2">
        <v>7.8399999999999997E-2</v>
      </c>
      <c r="G7913" s="2">
        <v>5.0200000000000002E-2</v>
      </c>
      <c r="H7913" s="2">
        <v>2.46E-2</v>
      </c>
      <c r="I7913" s="2">
        <v>2.12E-2</v>
      </c>
      <c r="J7913" s="2">
        <v>1.7100000000000001E-2</v>
      </c>
      <c r="K7913" s="2">
        <v>1.0200000000000001E-2</v>
      </c>
      <c r="L7913" s="2">
        <v>4.4000000000000003E-3</v>
      </c>
      <c r="M7913" s="2">
        <v>3.8E-3</v>
      </c>
      <c r="N7913" s="2">
        <v>1.4E-3</v>
      </c>
      <c r="O7913" s="2">
        <v>1.2999999999999999E-3</v>
      </c>
      <c r="P7913" s="2">
        <v>4.0000000000000002E-4</v>
      </c>
      <c r="Q7913" s="2">
        <v>2.9999999999999997E-4</v>
      </c>
      <c r="R7913" s="2">
        <v>1E-4</v>
      </c>
      <c r="S7913">
        <v>2812</v>
      </c>
    </row>
    <row r="7915" spans="1:19" x14ac:dyDescent="0.35">
      <c r="A7915" s="1" t="s">
        <v>1999</v>
      </c>
    </row>
    <row r="7916" spans="1:19" x14ac:dyDescent="0.35">
      <c r="A7916" t="s">
        <v>219</v>
      </c>
      <c r="B7916" t="s">
        <v>301</v>
      </c>
      <c r="C7916" t="s">
        <v>1983</v>
      </c>
      <c r="D7916" t="s">
        <v>1984</v>
      </c>
      <c r="E7916" t="s">
        <v>1985</v>
      </c>
      <c r="F7916" t="s">
        <v>1986</v>
      </c>
      <c r="G7916" t="s">
        <v>1987</v>
      </c>
      <c r="H7916" t="s">
        <v>1988</v>
      </c>
      <c r="I7916" t="s">
        <v>1989</v>
      </c>
      <c r="J7916" t="s">
        <v>1990</v>
      </c>
      <c r="K7916" t="s">
        <v>1991</v>
      </c>
      <c r="L7916" t="s">
        <v>1992</v>
      </c>
      <c r="M7916" t="s">
        <v>1993</v>
      </c>
      <c r="N7916" t="s">
        <v>1994</v>
      </c>
      <c r="O7916" t="s">
        <v>277</v>
      </c>
      <c r="P7916" t="s">
        <v>1995</v>
      </c>
      <c r="Q7916" t="s">
        <v>282</v>
      </c>
      <c r="R7916" t="s">
        <v>1996</v>
      </c>
      <c r="S7916" t="s">
        <v>226</v>
      </c>
    </row>
    <row r="7917" spans="1:19" x14ac:dyDescent="0.35">
      <c r="A7917" t="s">
        <v>227</v>
      </c>
      <c r="B7917" t="s">
        <v>240</v>
      </c>
      <c r="C7917" s="2">
        <v>0.39850000000000002</v>
      </c>
      <c r="D7917" s="2">
        <v>0.25530000000000003</v>
      </c>
      <c r="E7917" s="2">
        <v>0.14799999999999999</v>
      </c>
      <c r="F7917" s="2">
        <v>7.5899999999999995E-2</v>
      </c>
      <c r="G7917" s="2">
        <v>4.0899999999999999E-2</v>
      </c>
      <c r="H7917" s="2">
        <v>2.1000000000000001E-2</v>
      </c>
      <c r="I7917" s="2">
        <v>1.77E-2</v>
      </c>
      <c r="J7917" s="2">
        <v>1.89E-2</v>
      </c>
      <c r="K7917" s="2">
        <v>8.5000000000000006E-3</v>
      </c>
      <c r="L7917" s="2">
        <v>4.7000000000000002E-3</v>
      </c>
      <c r="M7917" s="2">
        <v>5.1999999999999998E-3</v>
      </c>
      <c r="N7917" s="2">
        <v>2.2000000000000001E-3</v>
      </c>
      <c r="O7917" s="2">
        <v>2E-3</v>
      </c>
      <c r="P7917" s="2">
        <v>6.9999999999999999E-4</v>
      </c>
      <c r="Q7917" s="2">
        <v>4.0000000000000002E-4</v>
      </c>
      <c r="R7917" s="2">
        <v>1E-4</v>
      </c>
      <c r="S7917">
        <v>1756</v>
      </c>
    </row>
    <row r="7918" spans="1:19" x14ac:dyDescent="0.35">
      <c r="A7918" t="s">
        <v>227</v>
      </c>
      <c r="B7918" t="s">
        <v>241</v>
      </c>
      <c r="C7918" s="2">
        <v>0.42580000000000001</v>
      </c>
      <c r="D7918" s="2">
        <v>0.21149999999999999</v>
      </c>
      <c r="E7918" s="2">
        <v>0.13980000000000001</v>
      </c>
      <c r="F7918" s="2">
        <v>8.9300000000000004E-2</v>
      </c>
      <c r="G7918" s="2">
        <v>5.8400000000000001E-2</v>
      </c>
      <c r="H7918" s="2">
        <v>2.23E-2</v>
      </c>
      <c r="I7918" s="2">
        <v>2.69E-2</v>
      </c>
      <c r="J7918" s="2">
        <v>8.9999999999999993E-3</v>
      </c>
      <c r="K7918" s="2">
        <v>1.34E-2</v>
      </c>
      <c r="L7918" s="2">
        <v>2.3E-3</v>
      </c>
      <c r="M7918" s="2">
        <v>1.2999999999999999E-3</v>
      </c>
      <c r="S7918">
        <v>890</v>
      </c>
    </row>
    <row r="7919" spans="1:19" x14ac:dyDescent="0.35">
      <c r="A7919" t="s">
        <v>227</v>
      </c>
      <c r="B7919" t="s">
        <v>242</v>
      </c>
      <c r="C7919" s="2">
        <v>0.3972</v>
      </c>
      <c r="D7919" s="2">
        <v>0.19700000000000001</v>
      </c>
      <c r="E7919" s="2">
        <v>8.7499999999999994E-2</v>
      </c>
      <c r="F7919" s="2">
        <v>5.3900000000000003E-2</v>
      </c>
      <c r="G7919" s="2">
        <v>0.10390000000000001</v>
      </c>
      <c r="H7919" s="2">
        <v>7.0400000000000004E-2</v>
      </c>
      <c r="I7919" s="2">
        <v>2.9499999999999998E-2</v>
      </c>
      <c r="J7919" s="2">
        <v>3.61E-2</v>
      </c>
      <c r="K7919" s="2">
        <v>1.2E-2</v>
      </c>
      <c r="L7919" s="2">
        <v>1.0800000000000001E-2</v>
      </c>
      <c r="M7919" s="2">
        <v>1.6000000000000001E-3</v>
      </c>
      <c r="S7919">
        <v>166</v>
      </c>
    </row>
    <row r="7920" spans="1:19" x14ac:dyDescent="0.35">
      <c r="A7920" t="s">
        <v>228</v>
      </c>
      <c r="B7920" t="s">
        <v>228</v>
      </c>
      <c r="C7920" s="2">
        <v>0.40639999999999998</v>
      </c>
      <c r="D7920" s="2">
        <v>0.23860000000000001</v>
      </c>
      <c r="E7920" s="2">
        <v>0.1416</v>
      </c>
      <c r="F7920" s="2">
        <v>7.8399999999999997E-2</v>
      </c>
      <c r="G7920" s="2">
        <v>5.0200000000000002E-2</v>
      </c>
      <c r="H7920" s="2">
        <v>2.46E-2</v>
      </c>
      <c r="I7920" s="2">
        <v>2.12E-2</v>
      </c>
      <c r="J7920" s="2">
        <v>1.7100000000000001E-2</v>
      </c>
      <c r="K7920" s="2">
        <v>1.0200000000000001E-2</v>
      </c>
      <c r="L7920" s="2">
        <v>4.4000000000000003E-3</v>
      </c>
      <c r="M7920" s="2">
        <v>3.8E-3</v>
      </c>
      <c r="N7920" s="2">
        <v>1.4E-3</v>
      </c>
      <c r="O7920" s="2">
        <v>1.2999999999999999E-3</v>
      </c>
      <c r="P7920" s="2">
        <v>4.0000000000000002E-4</v>
      </c>
      <c r="Q7920" s="2">
        <v>2.9999999999999997E-4</v>
      </c>
      <c r="R7920" s="2">
        <v>1E-4</v>
      </c>
      <c r="S7920">
        <v>2812</v>
      </c>
    </row>
    <row r="7922" spans="1:19" x14ac:dyDescent="0.35">
      <c r="A7922" s="1" t="s">
        <v>2000</v>
      </c>
    </row>
    <row r="7923" spans="1:19" x14ac:dyDescent="0.35">
      <c r="A7923" t="s">
        <v>219</v>
      </c>
      <c r="B7923" t="s">
        <v>301</v>
      </c>
      <c r="C7923" t="s">
        <v>1983</v>
      </c>
      <c r="D7923" t="s">
        <v>1984</v>
      </c>
      <c r="E7923" t="s">
        <v>1985</v>
      </c>
      <c r="F7923" t="s">
        <v>1986</v>
      </c>
      <c r="G7923" t="s">
        <v>1987</v>
      </c>
      <c r="H7923" t="s">
        <v>1988</v>
      </c>
      <c r="I7923" t="s">
        <v>1989</v>
      </c>
      <c r="J7923" t="s">
        <v>1990</v>
      </c>
      <c r="K7923" t="s">
        <v>1991</v>
      </c>
      <c r="L7923" t="s">
        <v>1992</v>
      </c>
      <c r="M7923" t="s">
        <v>1993</v>
      </c>
      <c r="N7923" t="s">
        <v>1994</v>
      </c>
      <c r="O7923" t="s">
        <v>277</v>
      </c>
      <c r="P7923" t="s">
        <v>1995</v>
      </c>
      <c r="Q7923" t="s">
        <v>282</v>
      </c>
      <c r="R7923" t="s">
        <v>1996</v>
      </c>
      <c r="S7923" t="s">
        <v>226</v>
      </c>
    </row>
    <row r="7924" spans="1:19" x14ac:dyDescent="0.35">
      <c r="A7924" t="s">
        <v>227</v>
      </c>
      <c r="B7924" t="s">
        <v>334</v>
      </c>
      <c r="C7924" s="2">
        <v>0.46479999999999999</v>
      </c>
      <c r="D7924" s="2">
        <v>0.158</v>
      </c>
      <c r="E7924" s="2">
        <v>6.2100000000000002E-2</v>
      </c>
      <c r="F7924" s="2">
        <v>0.15079999999999999</v>
      </c>
      <c r="G7924" s="2">
        <v>7.5899999999999995E-2</v>
      </c>
      <c r="H7924" s="2">
        <v>1.37E-2</v>
      </c>
      <c r="I7924" s="2">
        <v>1.5100000000000001E-2</v>
      </c>
      <c r="J7924" s="2">
        <v>3.0300000000000001E-2</v>
      </c>
      <c r="K7924" s="2">
        <v>4.7000000000000002E-3</v>
      </c>
      <c r="L7924" s="2">
        <v>5.4000000000000003E-3</v>
      </c>
      <c r="M7924" s="2">
        <v>1.47E-2</v>
      </c>
      <c r="N7924" s="2">
        <v>3.3999999999999998E-3</v>
      </c>
      <c r="Q7924" s="2">
        <v>8.9999999999999998E-4</v>
      </c>
      <c r="S7924">
        <v>625</v>
      </c>
    </row>
    <row r="7925" spans="1:19" x14ac:dyDescent="0.35">
      <c r="A7925" t="s">
        <v>227</v>
      </c>
      <c r="B7925" t="s">
        <v>335</v>
      </c>
      <c r="C7925" s="2">
        <v>0.31840000000000002</v>
      </c>
      <c r="D7925" s="2">
        <v>0.34549999999999997</v>
      </c>
      <c r="E7925" s="2">
        <v>0.17380000000000001</v>
      </c>
      <c r="F7925" s="2">
        <v>4.7E-2</v>
      </c>
      <c r="G7925" s="2">
        <v>4.5999999999999999E-2</v>
      </c>
      <c r="H7925" s="2">
        <v>3.4099999999999998E-2</v>
      </c>
      <c r="I7925" s="2">
        <v>1.3599999999999999E-2</v>
      </c>
      <c r="J7925" s="2">
        <v>1.01E-2</v>
      </c>
      <c r="K7925" s="2">
        <v>8.0000000000000002E-3</v>
      </c>
      <c r="L7925" s="2">
        <v>3.5999999999999999E-3</v>
      </c>
      <c r="S7925">
        <v>628</v>
      </c>
    </row>
    <row r="7926" spans="1:19" x14ac:dyDescent="0.35">
      <c r="A7926" t="s">
        <v>227</v>
      </c>
      <c r="B7926" t="s">
        <v>336</v>
      </c>
      <c r="C7926" s="2">
        <v>0.4647</v>
      </c>
      <c r="D7926" s="2">
        <v>0.17119999999999999</v>
      </c>
      <c r="E7926" s="2">
        <v>0.13669999999999999</v>
      </c>
      <c r="F7926" s="2">
        <v>8.3500000000000005E-2</v>
      </c>
      <c r="G7926" s="2">
        <v>4.82E-2</v>
      </c>
      <c r="H7926" s="2">
        <v>3.7499999999999999E-2</v>
      </c>
      <c r="I7926" s="2">
        <v>2.1499999999999998E-2</v>
      </c>
      <c r="J7926" s="2">
        <v>1.29E-2</v>
      </c>
      <c r="K7926" s="2">
        <v>8.8999999999999999E-3</v>
      </c>
      <c r="L7926" s="2">
        <v>9.5999999999999992E-3</v>
      </c>
      <c r="M7926" s="2">
        <v>1.1000000000000001E-3</v>
      </c>
      <c r="N7926" s="2">
        <v>3.5999999999999999E-3</v>
      </c>
      <c r="P7926" s="2">
        <v>5.0000000000000001E-4</v>
      </c>
      <c r="S7926">
        <v>620</v>
      </c>
    </row>
    <row r="7927" spans="1:19" x14ac:dyDescent="0.35">
      <c r="A7927" t="s">
        <v>227</v>
      </c>
      <c r="B7927" t="s">
        <v>337</v>
      </c>
      <c r="C7927" s="2">
        <v>0.41170000000000001</v>
      </c>
      <c r="D7927" s="2">
        <v>0.2319</v>
      </c>
      <c r="E7927" s="2">
        <v>0.158</v>
      </c>
      <c r="F7927" s="2">
        <v>6.88E-2</v>
      </c>
      <c r="G7927" s="2">
        <v>4.19E-2</v>
      </c>
      <c r="H7927" s="2">
        <v>1.4E-2</v>
      </c>
      <c r="I7927" s="2">
        <v>3.3300000000000003E-2</v>
      </c>
      <c r="J7927" s="2">
        <v>1.52E-2</v>
      </c>
      <c r="K7927" s="2">
        <v>1.8800000000000001E-2</v>
      </c>
      <c r="L7927" s="2">
        <v>5.0000000000000001E-4</v>
      </c>
      <c r="M7927" s="2">
        <v>8.0000000000000004E-4</v>
      </c>
      <c r="O7927" s="2">
        <v>4.4999999999999997E-3</v>
      </c>
      <c r="R7927" s="2">
        <v>4.0000000000000002E-4</v>
      </c>
      <c r="S7927">
        <v>602</v>
      </c>
    </row>
    <row r="7928" spans="1:19" x14ac:dyDescent="0.35">
      <c r="A7928" t="s">
        <v>228</v>
      </c>
      <c r="B7928" t="s">
        <v>228</v>
      </c>
      <c r="C7928" s="2">
        <v>0.40639999999999998</v>
      </c>
      <c r="D7928" s="2">
        <v>0.23860000000000001</v>
      </c>
      <c r="E7928" s="2">
        <v>0.1416</v>
      </c>
      <c r="F7928" s="2">
        <v>7.8399999999999997E-2</v>
      </c>
      <c r="G7928" s="2">
        <v>5.0200000000000002E-2</v>
      </c>
      <c r="H7928" s="2">
        <v>2.46E-2</v>
      </c>
      <c r="I7928" s="2">
        <v>2.12E-2</v>
      </c>
      <c r="J7928" s="2">
        <v>1.7100000000000001E-2</v>
      </c>
      <c r="K7928" s="2">
        <v>1.0200000000000001E-2</v>
      </c>
      <c r="L7928" s="2">
        <v>4.4000000000000003E-3</v>
      </c>
      <c r="M7928" s="2">
        <v>3.8E-3</v>
      </c>
      <c r="N7928" s="2">
        <v>1.4E-3</v>
      </c>
      <c r="O7928" s="2">
        <v>1.2999999999999999E-3</v>
      </c>
      <c r="P7928" s="2">
        <v>4.0000000000000002E-4</v>
      </c>
      <c r="Q7928" s="2">
        <v>2.9999999999999997E-4</v>
      </c>
      <c r="R7928" s="2">
        <v>1E-4</v>
      </c>
      <c r="S7928">
        <v>2475</v>
      </c>
    </row>
    <row r="7930" spans="1:19" x14ac:dyDescent="0.35">
      <c r="A7930" s="1" t="s">
        <v>2001</v>
      </c>
    </row>
    <row r="7931" spans="1:19" x14ac:dyDescent="0.35">
      <c r="A7931" t="s">
        <v>219</v>
      </c>
      <c r="B7931" t="s">
        <v>301</v>
      </c>
      <c r="C7931" t="s">
        <v>1983</v>
      </c>
      <c r="D7931" t="s">
        <v>1984</v>
      </c>
      <c r="E7931" t="s">
        <v>1985</v>
      </c>
      <c r="F7931" t="s">
        <v>1986</v>
      </c>
      <c r="G7931" t="s">
        <v>1987</v>
      </c>
      <c r="H7931" t="s">
        <v>1988</v>
      </c>
      <c r="I7931" t="s">
        <v>1989</v>
      </c>
      <c r="J7931" t="s">
        <v>1990</v>
      </c>
      <c r="K7931" t="s">
        <v>1991</v>
      </c>
      <c r="L7931" t="s">
        <v>1992</v>
      </c>
      <c r="M7931" t="s">
        <v>1993</v>
      </c>
      <c r="N7931" t="s">
        <v>1994</v>
      </c>
      <c r="O7931" t="s">
        <v>277</v>
      </c>
      <c r="P7931" t="s">
        <v>1995</v>
      </c>
      <c r="Q7931" t="s">
        <v>282</v>
      </c>
      <c r="R7931" t="s">
        <v>1996</v>
      </c>
      <c r="S7931" t="s">
        <v>226</v>
      </c>
    </row>
    <row r="7932" spans="1:19" x14ac:dyDescent="0.35">
      <c r="A7932" t="s">
        <v>227</v>
      </c>
      <c r="B7932" t="s">
        <v>263</v>
      </c>
      <c r="C7932" s="2">
        <v>0.42820000000000003</v>
      </c>
      <c r="D7932" s="2">
        <v>0.24049999999999999</v>
      </c>
      <c r="E7932" s="2">
        <v>0.12540000000000001</v>
      </c>
      <c r="F7932" s="2">
        <v>7.1900000000000006E-2</v>
      </c>
      <c r="G7932" s="2">
        <v>5.2900000000000003E-2</v>
      </c>
      <c r="H7932" s="2">
        <v>1.8700000000000001E-2</v>
      </c>
      <c r="I7932" s="2">
        <v>2.4899999999999999E-2</v>
      </c>
      <c r="J7932" s="2">
        <v>1.5699999999999999E-2</v>
      </c>
      <c r="K7932" s="2">
        <v>1.24E-2</v>
      </c>
      <c r="L7932" s="2">
        <v>5.7000000000000002E-3</v>
      </c>
      <c r="M7932" s="2">
        <v>3.8999999999999998E-3</v>
      </c>
      <c r="S7932">
        <v>589</v>
      </c>
    </row>
    <row r="7933" spans="1:19" x14ac:dyDescent="0.35">
      <c r="A7933" t="s">
        <v>227</v>
      </c>
      <c r="B7933" t="s">
        <v>262</v>
      </c>
      <c r="C7933" s="2">
        <v>0.41770000000000002</v>
      </c>
      <c r="D7933" s="2">
        <v>0.22020000000000001</v>
      </c>
      <c r="E7933" s="2">
        <v>0.156</v>
      </c>
      <c r="F7933" s="2">
        <v>7.8100000000000003E-2</v>
      </c>
      <c r="G7933" s="2">
        <v>4.4900000000000002E-2</v>
      </c>
      <c r="H7933" s="2">
        <v>2.75E-2</v>
      </c>
      <c r="I7933" s="2">
        <v>2.3E-2</v>
      </c>
      <c r="J7933" s="2">
        <v>1.2E-2</v>
      </c>
      <c r="K7933" s="2">
        <v>1.01E-2</v>
      </c>
      <c r="L7933" s="2">
        <v>3.0000000000000001E-3</v>
      </c>
      <c r="M7933" s="2">
        <v>5.7000000000000002E-3</v>
      </c>
      <c r="N7933" s="2">
        <v>1.9E-3</v>
      </c>
      <c r="S7933">
        <v>1159</v>
      </c>
    </row>
    <row r="7934" spans="1:19" x14ac:dyDescent="0.35">
      <c r="A7934" t="s">
        <v>227</v>
      </c>
      <c r="B7934" t="s">
        <v>261</v>
      </c>
      <c r="C7934" s="2">
        <v>0.38729999999999998</v>
      </c>
      <c r="D7934" s="2">
        <v>0.25419999999999998</v>
      </c>
      <c r="E7934" s="2">
        <v>0.13589999999999999</v>
      </c>
      <c r="F7934" s="2">
        <v>8.0600000000000005E-2</v>
      </c>
      <c r="G7934" s="2">
        <v>5.3699999999999998E-2</v>
      </c>
      <c r="H7934" s="2">
        <v>2.52E-2</v>
      </c>
      <c r="I7934" s="2">
        <v>1.7899999999999999E-2</v>
      </c>
      <c r="J7934" s="2">
        <v>2.23E-2</v>
      </c>
      <c r="K7934" s="2">
        <v>9.1000000000000004E-3</v>
      </c>
      <c r="L7934" s="2">
        <v>5.0000000000000001E-3</v>
      </c>
      <c r="M7934" s="2">
        <v>2.2000000000000001E-3</v>
      </c>
      <c r="N7934" s="2">
        <v>1.6999999999999999E-3</v>
      </c>
      <c r="O7934" s="2">
        <v>3.0000000000000001E-3</v>
      </c>
      <c r="P7934" s="2">
        <v>1E-3</v>
      </c>
      <c r="Q7934" s="2">
        <v>6.9999999999999999E-4</v>
      </c>
      <c r="R7934" s="2">
        <v>2.0000000000000001E-4</v>
      </c>
      <c r="S7934">
        <v>1062</v>
      </c>
    </row>
    <row r="7935" spans="1:19" x14ac:dyDescent="0.35">
      <c r="A7935" s="3" t="s">
        <v>227</v>
      </c>
      <c r="B7935" s="3" t="s">
        <v>232</v>
      </c>
      <c r="C7935" s="5"/>
      <c r="D7935" s="5"/>
      <c r="E7935" s="4">
        <v>0.5</v>
      </c>
      <c r="F7935" s="4">
        <v>0.5</v>
      </c>
      <c r="G7935" s="5"/>
      <c r="H7935" s="5"/>
      <c r="I7935" s="5"/>
      <c r="J7935" s="5"/>
      <c r="K7935" s="5"/>
      <c r="L7935" s="5"/>
      <c r="M7935" s="5"/>
      <c r="N7935" s="5"/>
      <c r="O7935" s="5"/>
      <c r="P7935" s="5"/>
      <c r="Q7935" s="5"/>
      <c r="R7935" s="5"/>
      <c r="S7935" s="5" t="s">
        <v>434</v>
      </c>
    </row>
    <row r="7936" spans="1:19" x14ac:dyDescent="0.35">
      <c r="A7936" t="s">
        <v>228</v>
      </c>
      <c r="B7936" t="s">
        <v>228</v>
      </c>
      <c r="C7936" s="2">
        <v>0.40639999999999998</v>
      </c>
      <c r="D7936" s="2">
        <v>0.23860000000000001</v>
      </c>
      <c r="E7936" s="2">
        <v>0.1416</v>
      </c>
      <c r="F7936" s="2">
        <v>7.8399999999999997E-2</v>
      </c>
      <c r="G7936" s="2">
        <v>5.0200000000000002E-2</v>
      </c>
      <c r="H7936" s="2">
        <v>2.46E-2</v>
      </c>
      <c r="I7936" s="2">
        <v>2.12E-2</v>
      </c>
      <c r="J7936" s="2">
        <v>1.7100000000000001E-2</v>
      </c>
      <c r="K7936" s="2">
        <v>1.0200000000000001E-2</v>
      </c>
      <c r="L7936" s="2">
        <v>4.4000000000000003E-3</v>
      </c>
      <c r="M7936" s="2">
        <v>3.8E-3</v>
      </c>
      <c r="N7936" s="2">
        <v>1.4E-3</v>
      </c>
      <c r="O7936" s="2">
        <v>1.2999999999999999E-3</v>
      </c>
      <c r="P7936" s="2">
        <v>4.0000000000000002E-4</v>
      </c>
      <c r="Q7936" s="2">
        <v>2.9999999999999997E-4</v>
      </c>
      <c r="R7936" s="2">
        <v>1E-4</v>
      </c>
      <c r="S7936">
        <v>2812</v>
      </c>
    </row>
    <row r="7938" spans="1:19" x14ac:dyDescent="0.35">
      <c r="A7938" s="1" t="s">
        <v>2002</v>
      </c>
    </row>
    <row r="7939" spans="1:19" x14ac:dyDescent="0.35">
      <c r="A7939" t="s">
        <v>219</v>
      </c>
      <c r="B7939" t="s">
        <v>301</v>
      </c>
      <c r="C7939" t="s">
        <v>1983</v>
      </c>
      <c r="D7939" t="s">
        <v>1984</v>
      </c>
      <c r="E7939" t="s">
        <v>1985</v>
      </c>
      <c r="F7939" t="s">
        <v>1986</v>
      </c>
      <c r="G7939" t="s">
        <v>1987</v>
      </c>
      <c r="H7939" t="s">
        <v>1988</v>
      </c>
      <c r="I7939" t="s">
        <v>1989</v>
      </c>
      <c r="J7939" t="s">
        <v>1990</v>
      </c>
      <c r="K7939" t="s">
        <v>1991</v>
      </c>
      <c r="L7939" t="s">
        <v>1992</v>
      </c>
      <c r="M7939" t="s">
        <v>1993</v>
      </c>
      <c r="N7939" t="s">
        <v>1994</v>
      </c>
      <c r="O7939" t="s">
        <v>277</v>
      </c>
      <c r="P7939" t="s">
        <v>1995</v>
      </c>
      <c r="Q7939" t="s">
        <v>282</v>
      </c>
      <c r="R7939" t="s">
        <v>1996</v>
      </c>
      <c r="S7939" t="s">
        <v>226</v>
      </c>
    </row>
    <row r="7940" spans="1:19" x14ac:dyDescent="0.35">
      <c r="A7940" t="s">
        <v>227</v>
      </c>
      <c r="B7940" t="s">
        <v>248</v>
      </c>
      <c r="C7940" s="2">
        <v>0.44280000000000003</v>
      </c>
      <c r="D7940" s="2">
        <v>0.1484</v>
      </c>
      <c r="E7940" s="2">
        <v>0.12759999999999999</v>
      </c>
      <c r="F7940" s="2">
        <v>0.1113</v>
      </c>
      <c r="G7940" s="2">
        <v>6.83E-2</v>
      </c>
      <c r="H7940" s="2">
        <v>3.0599999999999999E-2</v>
      </c>
      <c r="I7940" s="2">
        <v>3.2800000000000003E-2</v>
      </c>
      <c r="J7940" s="2">
        <v>1.2E-2</v>
      </c>
      <c r="K7940" s="2">
        <v>1.7000000000000001E-2</v>
      </c>
      <c r="L7940" s="2">
        <v>6.1999999999999998E-3</v>
      </c>
      <c r="M7940" s="2">
        <v>2.2000000000000001E-3</v>
      </c>
      <c r="P7940" s="2">
        <v>8.0000000000000004E-4</v>
      </c>
      <c r="S7940">
        <v>795</v>
      </c>
    </row>
    <row r="7941" spans="1:19" x14ac:dyDescent="0.35">
      <c r="A7941" t="s">
        <v>227</v>
      </c>
      <c r="B7941" t="s">
        <v>249</v>
      </c>
      <c r="C7941" s="2">
        <v>0.42020000000000002</v>
      </c>
      <c r="D7941" s="2">
        <v>0.24840000000000001</v>
      </c>
      <c r="E7941" s="2">
        <v>0.1196</v>
      </c>
      <c r="F7941" s="2">
        <v>8.7499999999999994E-2</v>
      </c>
      <c r="G7941" s="2">
        <v>3.5099999999999999E-2</v>
      </c>
      <c r="H7941" s="2">
        <v>1.55E-2</v>
      </c>
      <c r="I7941" s="2">
        <v>2.12E-2</v>
      </c>
      <c r="J7941" s="2">
        <v>1.35E-2</v>
      </c>
      <c r="K7941" s="2">
        <v>1.01E-2</v>
      </c>
      <c r="L7941" s="2">
        <v>1.6999999999999999E-3</v>
      </c>
      <c r="M7941" s="2">
        <v>1.6500000000000001E-2</v>
      </c>
      <c r="N7941" s="2">
        <v>3.7000000000000002E-3</v>
      </c>
      <c r="O7941" s="2">
        <v>6.0000000000000001E-3</v>
      </c>
      <c r="Q7941" s="2">
        <v>1E-3</v>
      </c>
      <c r="S7941">
        <v>541</v>
      </c>
    </row>
    <row r="7942" spans="1:19" x14ac:dyDescent="0.35">
      <c r="A7942" t="s">
        <v>227</v>
      </c>
      <c r="B7942" t="s">
        <v>247</v>
      </c>
      <c r="C7942" s="2">
        <v>0.3826</v>
      </c>
      <c r="D7942" s="2">
        <v>0.28160000000000002</v>
      </c>
      <c r="E7942" s="2">
        <v>0.15679999999999999</v>
      </c>
      <c r="F7942" s="2">
        <v>5.8099999999999999E-2</v>
      </c>
      <c r="G7942" s="2">
        <v>4.6399999999999997E-2</v>
      </c>
      <c r="H7942" s="2">
        <v>2.4899999999999999E-2</v>
      </c>
      <c r="I7942" s="2">
        <v>1.52E-2</v>
      </c>
      <c r="J7942" s="2">
        <v>2.1100000000000001E-2</v>
      </c>
      <c r="K7942" s="2">
        <v>6.6E-3</v>
      </c>
      <c r="L7942" s="2">
        <v>4.4000000000000003E-3</v>
      </c>
      <c r="N7942" s="2">
        <v>1.2999999999999999E-3</v>
      </c>
      <c r="O7942" s="2">
        <v>2.0000000000000001E-4</v>
      </c>
      <c r="P7942" s="2">
        <v>4.0000000000000002E-4</v>
      </c>
      <c r="Q7942" s="2">
        <v>2.0000000000000001E-4</v>
      </c>
      <c r="R7942" s="2">
        <v>2.0000000000000001E-4</v>
      </c>
      <c r="S7942">
        <v>1476</v>
      </c>
    </row>
    <row r="7943" spans="1:19" x14ac:dyDescent="0.35">
      <c r="A7943" t="s">
        <v>228</v>
      </c>
      <c r="B7943" t="s">
        <v>228</v>
      </c>
      <c r="C7943" s="2">
        <v>0.40639999999999998</v>
      </c>
      <c r="D7943" s="2">
        <v>0.23860000000000001</v>
      </c>
      <c r="E7943" s="2">
        <v>0.1416</v>
      </c>
      <c r="F7943" s="2">
        <v>7.8399999999999997E-2</v>
      </c>
      <c r="G7943" s="2">
        <v>5.0200000000000002E-2</v>
      </c>
      <c r="H7943" s="2">
        <v>2.46E-2</v>
      </c>
      <c r="I7943" s="2">
        <v>2.12E-2</v>
      </c>
      <c r="J7943" s="2">
        <v>1.7100000000000001E-2</v>
      </c>
      <c r="K7943" s="2">
        <v>1.0200000000000001E-2</v>
      </c>
      <c r="L7943" s="2">
        <v>4.4000000000000003E-3</v>
      </c>
      <c r="M7943" s="2">
        <v>3.8E-3</v>
      </c>
      <c r="N7943" s="2">
        <v>1.4E-3</v>
      </c>
      <c r="O7943" s="2">
        <v>1.2999999999999999E-3</v>
      </c>
      <c r="P7943" s="2">
        <v>4.0000000000000002E-4</v>
      </c>
      <c r="Q7943" s="2">
        <v>2.9999999999999997E-4</v>
      </c>
      <c r="R7943" s="2">
        <v>1E-4</v>
      </c>
      <c r="S7943">
        <v>2812</v>
      </c>
    </row>
    <row r="7945" spans="1:19" x14ac:dyDescent="0.35">
      <c r="A7945" s="1" t="s">
        <v>2003</v>
      </c>
    </row>
    <row r="7946" spans="1:19" x14ac:dyDescent="0.35">
      <c r="A7946" t="s">
        <v>219</v>
      </c>
      <c r="B7946" t="s">
        <v>301</v>
      </c>
      <c r="C7946" t="s">
        <v>1983</v>
      </c>
      <c r="D7946" t="s">
        <v>1984</v>
      </c>
      <c r="E7946" t="s">
        <v>1985</v>
      </c>
      <c r="F7946" t="s">
        <v>1986</v>
      </c>
      <c r="G7946" t="s">
        <v>1987</v>
      </c>
      <c r="H7946" t="s">
        <v>1988</v>
      </c>
      <c r="I7946" t="s">
        <v>1989</v>
      </c>
      <c r="J7946" t="s">
        <v>1990</v>
      </c>
      <c r="K7946" t="s">
        <v>1991</v>
      </c>
      <c r="L7946" t="s">
        <v>1992</v>
      </c>
      <c r="M7946" t="s">
        <v>1993</v>
      </c>
      <c r="N7946" t="s">
        <v>1994</v>
      </c>
      <c r="O7946" t="s">
        <v>277</v>
      </c>
      <c r="P7946" t="s">
        <v>1995</v>
      </c>
      <c r="Q7946" t="s">
        <v>282</v>
      </c>
      <c r="R7946" t="s">
        <v>1996</v>
      </c>
      <c r="S7946" t="s">
        <v>226</v>
      </c>
    </row>
    <row r="7947" spans="1:19" x14ac:dyDescent="0.35">
      <c r="A7947" t="s">
        <v>227</v>
      </c>
      <c r="B7947" t="s">
        <v>245</v>
      </c>
      <c r="C7947" s="2">
        <v>0.4103</v>
      </c>
      <c r="D7947" s="2">
        <v>0.27839999999999998</v>
      </c>
      <c r="E7947" s="2">
        <v>0.13969999999999999</v>
      </c>
      <c r="F7947" s="2">
        <v>3.2399999999999998E-2</v>
      </c>
      <c r="G7947" s="2">
        <v>4.7899999999999998E-2</v>
      </c>
      <c r="H7947" s="2">
        <v>3.2199999999999999E-2</v>
      </c>
      <c r="I7947" s="2">
        <v>1.47E-2</v>
      </c>
      <c r="J7947" s="2">
        <v>2.1000000000000001E-2</v>
      </c>
      <c r="K7947" s="2">
        <v>1.1599999999999999E-2</v>
      </c>
      <c r="L7947" s="2">
        <v>7.9000000000000008E-3</v>
      </c>
      <c r="M7947" s="2">
        <v>4.0000000000000002E-4</v>
      </c>
      <c r="N7947" s="2">
        <v>2.5000000000000001E-3</v>
      </c>
      <c r="O7947" s="2">
        <v>2.9999999999999997E-4</v>
      </c>
      <c r="P7947" s="2">
        <v>4.0000000000000002E-4</v>
      </c>
      <c r="R7947" s="2">
        <v>2.9999999999999997E-4</v>
      </c>
      <c r="S7947">
        <v>783</v>
      </c>
    </row>
    <row r="7948" spans="1:19" x14ac:dyDescent="0.35">
      <c r="A7948" t="s">
        <v>227</v>
      </c>
      <c r="B7948" t="s">
        <v>244</v>
      </c>
      <c r="C7948" s="2">
        <v>0.40489999999999998</v>
      </c>
      <c r="D7948" s="2">
        <v>0.2228</v>
      </c>
      <c r="E7948" s="2">
        <v>0.14230000000000001</v>
      </c>
      <c r="F7948" s="2">
        <v>9.6600000000000005E-2</v>
      </c>
      <c r="G7948" s="2">
        <v>5.1200000000000002E-2</v>
      </c>
      <c r="H7948" s="2">
        <v>2.1600000000000001E-2</v>
      </c>
      <c r="I7948" s="2">
        <v>2.3800000000000002E-2</v>
      </c>
      <c r="J7948" s="2">
        <v>1.5599999999999999E-2</v>
      </c>
      <c r="K7948" s="2">
        <v>9.5999999999999992E-3</v>
      </c>
      <c r="L7948" s="2">
        <v>3.0000000000000001E-3</v>
      </c>
      <c r="M7948" s="2">
        <v>5.1999999999999998E-3</v>
      </c>
      <c r="N7948" s="2">
        <v>1E-3</v>
      </c>
      <c r="O7948" s="2">
        <v>1.6000000000000001E-3</v>
      </c>
      <c r="P7948" s="2">
        <v>4.0000000000000002E-4</v>
      </c>
      <c r="Q7948" s="2">
        <v>4.0000000000000002E-4</v>
      </c>
      <c r="S7948">
        <v>2029</v>
      </c>
    </row>
    <row r="7949" spans="1:19" x14ac:dyDescent="0.35">
      <c r="A7949" t="s">
        <v>228</v>
      </c>
      <c r="B7949" t="s">
        <v>228</v>
      </c>
      <c r="C7949" s="2">
        <v>0.40639999999999998</v>
      </c>
      <c r="D7949" s="2">
        <v>0.23860000000000001</v>
      </c>
      <c r="E7949" s="2">
        <v>0.1416</v>
      </c>
      <c r="F7949" s="2">
        <v>7.8399999999999997E-2</v>
      </c>
      <c r="G7949" s="2">
        <v>5.0200000000000002E-2</v>
      </c>
      <c r="H7949" s="2">
        <v>2.46E-2</v>
      </c>
      <c r="I7949" s="2">
        <v>2.12E-2</v>
      </c>
      <c r="J7949" s="2">
        <v>1.7100000000000001E-2</v>
      </c>
      <c r="K7949" s="2">
        <v>1.0200000000000001E-2</v>
      </c>
      <c r="L7949" s="2">
        <v>4.4000000000000003E-3</v>
      </c>
      <c r="M7949" s="2">
        <v>3.8E-3</v>
      </c>
      <c r="N7949" s="2">
        <v>1.4E-3</v>
      </c>
      <c r="O7949" s="2">
        <v>1.2999999999999999E-3</v>
      </c>
      <c r="P7949" s="2">
        <v>4.0000000000000002E-4</v>
      </c>
      <c r="Q7949" s="2">
        <v>2.9999999999999997E-4</v>
      </c>
      <c r="R7949" s="2">
        <v>1E-4</v>
      </c>
      <c r="S7949">
        <v>2812</v>
      </c>
    </row>
    <row r="7951" spans="1:19" x14ac:dyDescent="0.35">
      <c r="A7951" s="1" t="s">
        <v>2004</v>
      </c>
    </row>
    <row r="7952" spans="1:19" x14ac:dyDescent="0.35">
      <c r="A7952" t="s">
        <v>219</v>
      </c>
      <c r="B7952" t="s">
        <v>301</v>
      </c>
      <c r="C7952" t="s">
        <v>1983</v>
      </c>
      <c r="D7952" t="s">
        <v>1984</v>
      </c>
      <c r="E7952" t="s">
        <v>1985</v>
      </c>
      <c r="F7952" t="s">
        <v>1986</v>
      </c>
      <c r="G7952" t="s">
        <v>1987</v>
      </c>
      <c r="H7952" t="s">
        <v>1988</v>
      </c>
      <c r="I7952" t="s">
        <v>1989</v>
      </c>
      <c r="J7952" t="s">
        <v>1990</v>
      </c>
      <c r="K7952" t="s">
        <v>1991</v>
      </c>
      <c r="L7952" t="s">
        <v>1992</v>
      </c>
      <c r="M7952" t="s">
        <v>1993</v>
      </c>
      <c r="N7952" t="s">
        <v>1994</v>
      </c>
      <c r="O7952" t="s">
        <v>277</v>
      </c>
      <c r="P7952" t="s">
        <v>1995</v>
      </c>
      <c r="Q7952" t="s">
        <v>282</v>
      </c>
      <c r="R7952" t="s">
        <v>1996</v>
      </c>
      <c r="S7952" t="s">
        <v>226</v>
      </c>
    </row>
    <row r="7953" spans="1:19" x14ac:dyDescent="0.35">
      <c r="A7953" t="s">
        <v>227</v>
      </c>
      <c r="B7953" t="s">
        <v>259</v>
      </c>
      <c r="C7953" s="2">
        <v>0.47789999999999999</v>
      </c>
      <c r="D7953" s="2">
        <v>0.1608</v>
      </c>
      <c r="E7953" s="2">
        <v>0.26069999999999999</v>
      </c>
      <c r="F7953" s="2">
        <v>5.1999999999999998E-3</v>
      </c>
      <c r="H7953" s="2">
        <v>9.7999999999999997E-3</v>
      </c>
      <c r="I7953" s="2">
        <v>1.72E-2</v>
      </c>
      <c r="K7953" s="2">
        <v>6.4199999999999993E-2</v>
      </c>
      <c r="L7953" s="2">
        <v>4.1000000000000003E-3</v>
      </c>
      <c r="S7953">
        <v>69</v>
      </c>
    </row>
    <row r="7954" spans="1:19" x14ac:dyDescent="0.35">
      <c r="A7954" t="s">
        <v>227</v>
      </c>
      <c r="B7954" t="s">
        <v>257</v>
      </c>
      <c r="C7954" s="2">
        <v>0.27729999999999999</v>
      </c>
      <c r="D7954" s="2">
        <v>0.31759999999999999</v>
      </c>
      <c r="E7954" s="2">
        <v>0.2447</v>
      </c>
      <c r="F7954" s="2">
        <v>5.4100000000000002E-2</v>
      </c>
      <c r="G7954" s="2">
        <v>3.6299999999999999E-2</v>
      </c>
      <c r="H7954" s="2">
        <v>2.9600000000000001E-2</v>
      </c>
      <c r="I7954" s="2">
        <v>2.7099999999999999E-2</v>
      </c>
      <c r="J7954" s="2">
        <v>7.7999999999999996E-3</v>
      </c>
      <c r="K7954" s="2">
        <v>2.8999999999999998E-3</v>
      </c>
      <c r="L7954" s="2">
        <v>1E-3</v>
      </c>
      <c r="M7954" s="2">
        <v>1E-3</v>
      </c>
      <c r="O7954" s="2">
        <v>5.0000000000000001E-4</v>
      </c>
      <c r="S7954">
        <v>405</v>
      </c>
    </row>
    <row r="7955" spans="1:19" x14ac:dyDescent="0.35">
      <c r="A7955" t="s">
        <v>227</v>
      </c>
      <c r="B7955" t="s">
        <v>256</v>
      </c>
      <c r="C7955" s="2">
        <v>0.44769999999999999</v>
      </c>
      <c r="D7955" s="2">
        <v>0.1983</v>
      </c>
      <c r="E7955" s="2">
        <v>0.10580000000000001</v>
      </c>
      <c r="F7955" s="2">
        <v>9.9699999999999997E-2</v>
      </c>
      <c r="G7955" s="2">
        <v>5.9400000000000001E-2</v>
      </c>
      <c r="H7955" s="2">
        <v>2.3699999999999999E-2</v>
      </c>
      <c r="I7955" s="2">
        <v>1.95E-2</v>
      </c>
      <c r="J7955" s="2">
        <v>2.3300000000000001E-2</v>
      </c>
      <c r="K7955" s="2">
        <v>8.8000000000000005E-3</v>
      </c>
      <c r="L7955" s="2">
        <v>5.8999999999999999E-3</v>
      </c>
      <c r="M7955" s="2">
        <v>4.7999999999999996E-3</v>
      </c>
      <c r="N7955" s="2">
        <v>1.1000000000000001E-3</v>
      </c>
      <c r="O7955" s="2">
        <v>1.8E-3</v>
      </c>
      <c r="Q7955" s="2">
        <v>2.9999999999999997E-4</v>
      </c>
      <c r="S7955">
        <v>1803</v>
      </c>
    </row>
    <row r="7956" spans="1:19" x14ac:dyDescent="0.35">
      <c r="A7956" s="3" t="s">
        <v>227</v>
      </c>
      <c r="B7956" s="3" t="s">
        <v>232</v>
      </c>
      <c r="C7956" s="4">
        <v>0.81030000000000002</v>
      </c>
      <c r="D7956" s="4">
        <v>0.12509999999999999</v>
      </c>
      <c r="E7956" s="4">
        <v>2.3900000000000001E-2</v>
      </c>
      <c r="F7956" s="5"/>
      <c r="G7956" s="5"/>
      <c r="H7956" s="4">
        <v>4.07E-2</v>
      </c>
      <c r="I7956" s="5"/>
      <c r="J7956" s="5"/>
      <c r="K7956" s="5"/>
      <c r="L7956" s="5"/>
      <c r="M7956" s="5"/>
      <c r="N7956" s="5"/>
      <c r="O7956" s="5"/>
      <c r="P7956" s="5"/>
      <c r="Q7956" s="5"/>
      <c r="R7956" s="5"/>
      <c r="S7956" s="5" t="s">
        <v>307</v>
      </c>
    </row>
    <row r="7957" spans="1:19" x14ac:dyDescent="0.35">
      <c r="A7957" t="s">
        <v>227</v>
      </c>
      <c r="B7957" t="s">
        <v>258</v>
      </c>
      <c r="C7957" s="2">
        <v>0.3548</v>
      </c>
      <c r="D7957" s="2">
        <v>0.34</v>
      </c>
      <c r="E7957" s="2">
        <v>0.17269999999999999</v>
      </c>
      <c r="F7957" s="2">
        <v>1.9699999999999999E-2</v>
      </c>
      <c r="G7957" s="2">
        <v>3.1199999999999999E-2</v>
      </c>
      <c r="H7957" s="2">
        <v>2.46E-2</v>
      </c>
      <c r="I7957" s="2">
        <v>2.29E-2</v>
      </c>
      <c r="J7957" s="2">
        <v>1.9E-3</v>
      </c>
      <c r="K7957" s="2">
        <v>1.8800000000000001E-2</v>
      </c>
      <c r="L7957" s="2">
        <v>1.2999999999999999E-3</v>
      </c>
      <c r="M7957" s="2">
        <v>3.0999999999999999E-3</v>
      </c>
      <c r="N7957" s="2">
        <v>4.7999999999999996E-3</v>
      </c>
      <c r="P7957" s="2">
        <v>2.8999999999999998E-3</v>
      </c>
      <c r="Q7957" s="2">
        <v>5.9999999999999995E-4</v>
      </c>
      <c r="R7957" s="2">
        <v>5.9999999999999995E-4</v>
      </c>
      <c r="S7957">
        <v>524</v>
      </c>
    </row>
    <row r="7958" spans="1:19" x14ac:dyDescent="0.35">
      <c r="A7958" t="s">
        <v>228</v>
      </c>
      <c r="B7958" t="s">
        <v>228</v>
      </c>
      <c r="C7958" s="2">
        <v>0.40639999999999998</v>
      </c>
      <c r="D7958" s="2">
        <v>0.23860000000000001</v>
      </c>
      <c r="E7958" s="2">
        <v>0.1416</v>
      </c>
      <c r="F7958" s="2">
        <v>7.8399999999999997E-2</v>
      </c>
      <c r="G7958" s="2">
        <v>5.0200000000000002E-2</v>
      </c>
      <c r="H7958" s="2">
        <v>2.46E-2</v>
      </c>
      <c r="I7958" s="2">
        <v>2.12E-2</v>
      </c>
      <c r="J7958" s="2">
        <v>1.7100000000000001E-2</v>
      </c>
      <c r="K7958" s="2">
        <v>1.0200000000000001E-2</v>
      </c>
      <c r="L7958" s="2">
        <v>4.4000000000000003E-3</v>
      </c>
      <c r="M7958" s="2">
        <v>3.8E-3</v>
      </c>
      <c r="N7958" s="2">
        <v>1.4E-3</v>
      </c>
      <c r="O7958" s="2">
        <v>1.2999999999999999E-3</v>
      </c>
      <c r="P7958" s="2">
        <v>4.0000000000000002E-4</v>
      </c>
      <c r="Q7958" s="2">
        <v>2.9999999999999997E-4</v>
      </c>
      <c r="R7958" s="2">
        <v>1E-4</v>
      </c>
      <c r="S7958">
        <v>2812</v>
      </c>
    </row>
    <row r="7960" spans="1:19" x14ac:dyDescent="0.35">
      <c r="A7960" s="1" t="s">
        <v>2005</v>
      </c>
    </row>
    <row r="7961" spans="1:19" x14ac:dyDescent="0.35">
      <c r="A7961" t="s">
        <v>219</v>
      </c>
      <c r="B7961" t="s">
        <v>301</v>
      </c>
      <c r="C7961" t="s">
        <v>1983</v>
      </c>
      <c r="D7961" t="s">
        <v>1984</v>
      </c>
      <c r="E7961" t="s">
        <v>1985</v>
      </c>
      <c r="F7961" t="s">
        <v>1986</v>
      </c>
      <c r="G7961" t="s">
        <v>1987</v>
      </c>
      <c r="H7961" t="s">
        <v>1988</v>
      </c>
      <c r="I7961" t="s">
        <v>1989</v>
      </c>
      <c r="J7961" t="s">
        <v>1990</v>
      </c>
      <c r="K7961" t="s">
        <v>1991</v>
      </c>
      <c r="L7961" t="s">
        <v>1992</v>
      </c>
      <c r="M7961" t="s">
        <v>1993</v>
      </c>
      <c r="N7961" t="s">
        <v>1994</v>
      </c>
      <c r="O7961" t="s">
        <v>277</v>
      </c>
      <c r="P7961" t="s">
        <v>1995</v>
      </c>
      <c r="Q7961" t="s">
        <v>282</v>
      </c>
      <c r="R7961" t="s">
        <v>1996</v>
      </c>
      <c r="S7961" t="s">
        <v>226</v>
      </c>
    </row>
    <row r="7962" spans="1:19" x14ac:dyDescent="0.35">
      <c r="A7962" t="s">
        <v>227</v>
      </c>
      <c r="B7962" t="s">
        <v>343</v>
      </c>
      <c r="C7962" s="2">
        <v>0.27729999999999999</v>
      </c>
      <c r="D7962" s="2">
        <v>0.31759999999999999</v>
      </c>
      <c r="E7962" s="2">
        <v>0.2447</v>
      </c>
      <c r="F7962" s="2">
        <v>5.4100000000000002E-2</v>
      </c>
      <c r="G7962" s="2">
        <v>3.6299999999999999E-2</v>
      </c>
      <c r="H7962" s="2">
        <v>2.9600000000000001E-2</v>
      </c>
      <c r="I7962" s="2">
        <v>2.7099999999999999E-2</v>
      </c>
      <c r="J7962" s="2">
        <v>7.7999999999999996E-3</v>
      </c>
      <c r="K7962" s="2">
        <v>2.8999999999999998E-3</v>
      </c>
      <c r="L7962" s="2">
        <v>1E-3</v>
      </c>
      <c r="M7962" s="2">
        <v>1E-3</v>
      </c>
      <c r="O7962" s="2">
        <v>5.0000000000000001E-4</v>
      </c>
      <c r="S7962">
        <v>405</v>
      </c>
    </row>
    <row r="7963" spans="1:19" x14ac:dyDescent="0.35">
      <c r="A7963" t="s">
        <v>227</v>
      </c>
      <c r="B7963" t="s">
        <v>344</v>
      </c>
      <c r="C7963" s="2">
        <v>0.43269999999999997</v>
      </c>
      <c r="D7963" s="2">
        <v>0.2225</v>
      </c>
      <c r="E7963" s="2">
        <v>0.1206</v>
      </c>
      <c r="F7963" s="2">
        <v>8.3299999999999999E-2</v>
      </c>
      <c r="G7963" s="2">
        <v>5.3100000000000001E-2</v>
      </c>
      <c r="H7963" s="2">
        <v>2.3599999999999999E-2</v>
      </c>
      <c r="I7963" s="2">
        <v>0.02</v>
      </c>
      <c r="J7963" s="2">
        <v>1.9E-2</v>
      </c>
      <c r="K7963" s="2">
        <v>1.1599999999999999E-2</v>
      </c>
      <c r="L7963" s="2">
        <v>5.1000000000000004E-3</v>
      </c>
      <c r="M7963" s="2">
        <v>4.4000000000000003E-3</v>
      </c>
      <c r="N7963" s="2">
        <v>1.6999999999999999E-3</v>
      </c>
      <c r="O7963" s="2">
        <v>1.4E-3</v>
      </c>
      <c r="P7963" s="2">
        <v>5.0000000000000001E-4</v>
      </c>
      <c r="Q7963" s="2">
        <v>2.9999999999999997E-4</v>
      </c>
      <c r="R7963" s="2">
        <v>1E-4</v>
      </c>
      <c r="S7963">
        <v>2407</v>
      </c>
    </row>
    <row r="7964" spans="1:19" x14ac:dyDescent="0.35">
      <c r="A7964" t="s">
        <v>228</v>
      </c>
      <c r="B7964" t="s">
        <v>228</v>
      </c>
      <c r="C7964" s="2">
        <v>0.40639999999999998</v>
      </c>
      <c r="D7964" s="2">
        <v>0.23860000000000001</v>
      </c>
      <c r="E7964" s="2">
        <v>0.1416</v>
      </c>
      <c r="F7964" s="2">
        <v>7.8399999999999997E-2</v>
      </c>
      <c r="G7964" s="2">
        <v>5.0200000000000002E-2</v>
      </c>
      <c r="H7964" s="2">
        <v>2.46E-2</v>
      </c>
      <c r="I7964" s="2">
        <v>2.12E-2</v>
      </c>
      <c r="J7964" s="2">
        <v>1.7100000000000001E-2</v>
      </c>
      <c r="K7964" s="2">
        <v>1.0200000000000001E-2</v>
      </c>
      <c r="L7964" s="2">
        <v>4.4000000000000003E-3</v>
      </c>
      <c r="M7964" s="2">
        <v>3.8E-3</v>
      </c>
      <c r="N7964" s="2">
        <v>1.4E-3</v>
      </c>
      <c r="O7964" s="2">
        <v>1.2999999999999999E-3</v>
      </c>
      <c r="P7964" s="2">
        <v>4.0000000000000002E-4</v>
      </c>
      <c r="Q7964" s="2">
        <v>2.9999999999999997E-4</v>
      </c>
      <c r="R7964" s="2">
        <v>1E-4</v>
      </c>
      <c r="S7964">
        <v>2812</v>
      </c>
    </row>
    <row r="7966" spans="1:19" x14ac:dyDescent="0.35">
      <c r="A7966" s="1" t="s">
        <v>2006</v>
      </c>
    </row>
    <row r="7967" spans="1:19" x14ac:dyDescent="0.35">
      <c r="A7967" t="s">
        <v>219</v>
      </c>
      <c r="B7967" t="s">
        <v>301</v>
      </c>
      <c r="C7967" t="s">
        <v>1983</v>
      </c>
      <c r="D7967" t="s">
        <v>1984</v>
      </c>
      <c r="E7967" t="s">
        <v>1985</v>
      </c>
      <c r="F7967" t="s">
        <v>1986</v>
      </c>
      <c r="G7967" t="s">
        <v>1987</v>
      </c>
      <c r="H7967" t="s">
        <v>1988</v>
      </c>
      <c r="I7967" t="s">
        <v>1989</v>
      </c>
      <c r="J7967" t="s">
        <v>1990</v>
      </c>
      <c r="K7967" t="s">
        <v>1991</v>
      </c>
      <c r="L7967" t="s">
        <v>1992</v>
      </c>
      <c r="M7967" t="s">
        <v>1993</v>
      </c>
      <c r="N7967" t="s">
        <v>1994</v>
      </c>
      <c r="O7967" t="s">
        <v>277</v>
      </c>
      <c r="P7967" t="s">
        <v>1995</v>
      </c>
      <c r="Q7967" t="s">
        <v>282</v>
      </c>
      <c r="R7967" t="s">
        <v>1996</v>
      </c>
      <c r="S7967" t="s">
        <v>226</v>
      </c>
    </row>
    <row r="7968" spans="1:19" x14ac:dyDescent="0.35">
      <c r="A7968" t="s">
        <v>227</v>
      </c>
      <c r="B7968" t="s">
        <v>346</v>
      </c>
      <c r="C7968" s="2">
        <v>0.40989999999999999</v>
      </c>
      <c r="D7968" s="2">
        <v>0.24110000000000001</v>
      </c>
      <c r="E7968" s="2">
        <v>0.13289999999999999</v>
      </c>
      <c r="F7968" s="2">
        <v>8.3799999999999999E-2</v>
      </c>
      <c r="G7968" s="2">
        <v>5.2400000000000002E-2</v>
      </c>
      <c r="H7968" s="2">
        <v>2.1600000000000001E-2</v>
      </c>
      <c r="I7968" s="2">
        <v>1.8700000000000001E-2</v>
      </c>
      <c r="J7968" s="2">
        <v>1.8800000000000001E-2</v>
      </c>
      <c r="K7968" s="2">
        <v>9.7000000000000003E-3</v>
      </c>
      <c r="L7968" s="2">
        <v>4.3E-3</v>
      </c>
      <c r="M7968" s="2">
        <v>3.8E-3</v>
      </c>
      <c r="N7968" s="2">
        <v>1.6000000000000001E-3</v>
      </c>
      <c r="O7968" s="2">
        <v>1.1999999999999999E-3</v>
      </c>
      <c r="Q7968" s="2">
        <v>2.0000000000000001E-4</v>
      </c>
      <c r="S7968">
        <v>1463</v>
      </c>
    </row>
    <row r="7969" spans="1:19" x14ac:dyDescent="0.35">
      <c r="A7969" t="s">
        <v>227</v>
      </c>
      <c r="B7969" t="s">
        <v>347</v>
      </c>
      <c r="C7969" s="2">
        <v>0.45879999999999999</v>
      </c>
      <c r="D7969" s="2">
        <v>0.18959999999999999</v>
      </c>
      <c r="E7969" s="2">
        <v>0.1139</v>
      </c>
      <c r="F7969" s="2">
        <v>6.4500000000000002E-2</v>
      </c>
      <c r="G7969" s="2">
        <v>3.3099999999999997E-2</v>
      </c>
      <c r="H7969" s="2">
        <v>5.67E-2</v>
      </c>
      <c r="I7969" s="2">
        <v>4.2000000000000003E-2</v>
      </c>
      <c r="J7969" s="2">
        <v>1.6E-2</v>
      </c>
      <c r="K7969" s="2">
        <v>7.7000000000000002E-3</v>
      </c>
      <c r="L7969" s="2">
        <v>1.2500000000000001E-2</v>
      </c>
      <c r="P7969" s="2">
        <v>2.5999999999999999E-3</v>
      </c>
      <c r="Q7969" s="2">
        <v>2.5999999999999999E-3</v>
      </c>
      <c r="S7969">
        <v>584</v>
      </c>
    </row>
    <row r="7970" spans="1:19" x14ac:dyDescent="0.35">
      <c r="A7970" t="s">
        <v>227</v>
      </c>
      <c r="B7970" t="s">
        <v>348</v>
      </c>
      <c r="C7970" s="2">
        <v>0.35570000000000002</v>
      </c>
      <c r="D7970" s="2">
        <v>0.2341</v>
      </c>
      <c r="E7970" s="2">
        <v>0.23050000000000001</v>
      </c>
      <c r="F7970" s="2">
        <v>3.4299999999999997E-2</v>
      </c>
      <c r="G7970" s="2">
        <v>3.7499999999999999E-2</v>
      </c>
      <c r="H7970" s="2">
        <v>3.9899999999999998E-2</v>
      </c>
      <c r="I7970" s="2">
        <v>3.61E-2</v>
      </c>
      <c r="J7970" s="2">
        <v>2E-3</v>
      </c>
      <c r="K7970" s="2">
        <v>1.55E-2</v>
      </c>
      <c r="L7970" s="2">
        <v>1.9E-3</v>
      </c>
      <c r="M7970" s="2">
        <v>5.7999999999999996E-3</v>
      </c>
      <c r="O7970" s="2">
        <v>2.3999999999999998E-3</v>
      </c>
      <c r="P7970" s="2">
        <v>3.5000000000000001E-3</v>
      </c>
      <c r="R7970" s="2">
        <v>8.9999999999999998E-4</v>
      </c>
      <c r="S7970">
        <v>765</v>
      </c>
    </row>
    <row r="7971" spans="1:19" x14ac:dyDescent="0.35">
      <c r="A7971" t="s">
        <v>228</v>
      </c>
      <c r="B7971" t="s">
        <v>228</v>
      </c>
      <c r="C7971" s="2">
        <v>0.40639999999999998</v>
      </c>
      <c r="D7971" s="2">
        <v>0.23860000000000001</v>
      </c>
      <c r="E7971" s="2">
        <v>0.1416</v>
      </c>
      <c r="F7971" s="2">
        <v>7.8399999999999997E-2</v>
      </c>
      <c r="G7971" s="2">
        <v>5.0200000000000002E-2</v>
      </c>
      <c r="H7971" s="2">
        <v>2.46E-2</v>
      </c>
      <c r="I7971" s="2">
        <v>2.12E-2</v>
      </c>
      <c r="J7971" s="2">
        <v>1.7100000000000001E-2</v>
      </c>
      <c r="K7971" s="2">
        <v>1.0200000000000001E-2</v>
      </c>
      <c r="L7971" s="2">
        <v>4.4000000000000003E-3</v>
      </c>
      <c r="M7971" s="2">
        <v>3.8E-3</v>
      </c>
      <c r="N7971" s="2">
        <v>1.4E-3</v>
      </c>
      <c r="O7971" s="2">
        <v>1.2999999999999999E-3</v>
      </c>
      <c r="P7971" s="2">
        <v>4.0000000000000002E-4</v>
      </c>
      <c r="Q7971" s="2">
        <v>2.9999999999999997E-4</v>
      </c>
      <c r="R7971" s="2">
        <v>1E-4</v>
      </c>
      <c r="S7971">
        <v>2812</v>
      </c>
    </row>
    <row r="7973" spans="1:19" x14ac:dyDescent="0.35">
      <c r="A7973" s="1" t="s">
        <v>2007</v>
      </c>
    </row>
    <row r="7974" spans="1:19" x14ac:dyDescent="0.35">
      <c r="A7974" t="s">
        <v>219</v>
      </c>
      <c r="B7974" t="s">
        <v>301</v>
      </c>
      <c r="C7974" t="s">
        <v>1983</v>
      </c>
      <c r="D7974" t="s">
        <v>1984</v>
      </c>
      <c r="E7974" t="s">
        <v>1985</v>
      </c>
      <c r="F7974" t="s">
        <v>1986</v>
      </c>
      <c r="G7974" t="s">
        <v>1987</v>
      </c>
      <c r="H7974" t="s">
        <v>1988</v>
      </c>
      <c r="I7974" t="s">
        <v>1989</v>
      </c>
      <c r="J7974" t="s">
        <v>1990</v>
      </c>
      <c r="K7974" t="s">
        <v>1991</v>
      </c>
      <c r="L7974" t="s">
        <v>1992</v>
      </c>
      <c r="M7974" t="s">
        <v>1993</v>
      </c>
      <c r="N7974" t="s">
        <v>1994</v>
      </c>
      <c r="O7974" t="s">
        <v>277</v>
      </c>
      <c r="P7974" t="s">
        <v>1995</v>
      </c>
      <c r="Q7974" t="s">
        <v>282</v>
      </c>
      <c r="R7974" t="s">
        <v>1996</v>
      </c>
      <c r="S7974" t="s">
        <v>226</v>
      </c>
    </row>
    <row r="7975" spans="1:19" x14ac:dyDescent="0.35">
      <c r="A7975" t="s">
        <v>227</v>
      </c>
      <c r="B7975" t="s">
        <v>251</v>
      </c>
      <c r="C7975" s="2">
        <v>0.40489999999999998</v>
      </c>
      <c r="D7975" s="2">
        <v>0.2228</v>
      </c>
      <c r="E7975" s="2">
        <v>0.14230000000000001</v>
      </c>
      <c r="F7975" s="2">
        <v>9.6600000000000005E-2</v>
      </c>
      <c r="G7975" s="2">
        <v>5.1200000000000002E-2</v>
      </c>
      <c r="H7975" s="2">
        <v>2.1600000000000001E-2</v>
      </c>
      <c r="I7975" s="2">
        <v>2.3800000000000002E-2</v>
      </c>
      <c r="J7975" s="2">
        <v>1.5599999999999999E-2</v>
      </c>
      <c r="K7975" s="2">
        <v>9.5999999999999992E-3</v>
      </c>
      <c r="L7975" s="2">
        <v>3.0000000000000001E-3</v>
      </c>
      <c r="M7975" s="2">
        <v>5.1999999999999998E-3</v>
      </c>
      <c r="N7975" s="2">
        <v>1E-3</v>
      </c>
      <c r="O7975" s="2">
        <v>1.6000000000000001E-3</v>
      </c>
      <c r="P7975" s="2">
        <v>4.0000000000000002E-4</v>
      </c>
      <c r="Q7975" s="2">
        <v>4.0000000000000002E-4</v>
      </c>
      <c r="S7975">
        <v>2029</v>
      </c>
    </row>
    <row r="7976" spans="1:19" x14ac:dyDescent="0.35">
      <c r="A7976" t="s">
        <v>227</v>
      </c>
      <c r="B7976" t="s">
        <v>252</v>
      </c>
      <c r="C7976" s="2">
        <v>0.40039999999999998</v>
      </c>
      <c r="D7976" s="2">
        <v>0.29799999999999999</v>
      </c>
      <c r="E7976" s="2">
        <v>0.1326</v>
      </c>
      <c r="F7976" s="2">
        <v>3.78E-2</v>
      </c>
      <c r="G7976" s="2">
        <v>4.07E-2</v>
      </c>
      <c r="H7976" s="2">
        <v>3.3099999999999997E-2</v>
      </c>
      <c r="I7976" s="2">
        <v>1.32E-2</v>
      </c>
      <c r="J7976" s="2">
        <v>2.1399999999999999E-2</v>
      </c>
      <c r="K7976" s="2">
        <v>1.35E-2</v>
      </c>
      <c r="L7976" s="2">
        <v>7.4999999999999997E-3</v>
      </c>
      <c r="M7976" s="2">
        <v>5.0000000000000001E-4</v>
      </c>
      <c r="O7976" s="2">
        <v>4.0000000000000002E-4</v>
      </c>
      <c r="P7976" s="2">
        <v>5.0000000000000001E-4</v>
      </c>
      <c r="R7976" s="2">
        <v>4.0000000000000002E-4</v>
      </c>
      <c r="S7976">
        <v>621</v>
      </c>
    </row>
    <row r="7977" spans="1:19" x14ac:dyDescent="0.35">
      <c r="A7977" t="s">
        <v>227</v>
      </c>
      <c r="B7977" t="s">
        <v>253</v>
      </c>
      <c r="C7977" s="2">
        <v>0.45529999999999998</v>
      </c>
      <c r="D7977" s="2">
        <v>0.18840000000000001</v>
      </c>
      <c r="E7977" s="2">
        <v>0.17119999999999999</v>
      </c>
      <c r="F7977" s="2">
        <v>9.7999999999999997E-3</v>
      </c>
      <c r="G7977" s="2">
        <v>8.1000000000000003E-2</v>
      </c>
      <c r="H7977" s="2">
        <v>2.7699999999999999E-2</v>
      </c>
      <c r="I7977" s="2">
        <v>1.95E-2</v>
      </c>
      <c r="J7977" s="2">
        <v>1.9900000000000001E-2</v>
      </c>
      <c r="K7977" s="2">
        <v>3.7000000000000002E-3</v>
      </c>
      <c r="L7977" s="2">
        <v>9.7999999999999997E-3</v>
      </c>
      <c r="N7977" s="2">
        <v>1.3599999999999999E-2</v>
      </c>
      <c r="S7977">
        <v>153</v>
      </c>
    </row>
    <row r="7978" spans="1:19" x14ac:dyDescent="0.35">
      <c r="A7978" s="3" t="s">
        <v>227</v>
      </c>
      <c r="B7978" s="3" t="s">
        <v>254</v>
      </c>
      <c r="C7978" s="4">
        <v>0.36209999999999998</v>
      </c>
      <c r="D7978" s="4">
        <v>0.3982</v>
      </c>
      <c r="E7978" s="4">
        <v>0.1237</v>
      </c>
      <c r="F7978" s="5"/>
      <c r="G7978" s="5"/>
      <c r="H7978" s="4">
        <v>5.8000000000000003E-2</v>
      </c>
      <c r="I7978" s="4">
        <v>5.8000000000000003E-2</v>
      </c>
      <c r="J7978" s="5"/>
      <c r="K7978" s="5"/>
      <c r="L7978" s="5"/>
      <c r="M7978" s="5"/>
      <c r="N7978" s="5"/>
      <c r="O7978" s="5"/>
      <c r="P7978" s="5"/>
      <c r="Q7978" s="5"/>
      <c r="R7978" s="5"/>
      <c r="S7978" s="5" t="s">
        <v>515</v>
      </c>
    </row>
    <row r="7979" spans="1:19" x14ac:dyDescent="0.35">
      <c r="A7979" t="s">
        <v>228</v>
      </c>
      <c r="B7979" t="s">
        <v>228</v>
      </c>
      <c r="C7979" s="2">
        <v>0.40639999999999998</v>
      </c>
      <c r="D7979" s="2">
        <v>0.23860000000000001</v>
      </c>
      <c r="E7979" s="2">
        <v>0.1416</v>
      </c>
      <c r="F7979" s="2">
        <v>7.8399999999999997E-2</v>
      </c>
      <c r="G7979" s="2">
        <v>5.0200000000000002E-2</v>
      </c>
      <c r="H7979" s="2">
        <v>2.46E-2</v>
      </c>
      <c r="I7979" s="2">
        <v>2.12E-2</v>
      </c>
      <c r="J7979" s="2">
        <v>1.7100000000000001E-2</v>
      </c>
      <c r="K7979" s="2">
        <v>1.0200000000000001E-2</v>
      </c>
      <c r="L7979" s="2">
        <v>4.4000000000000003E-3</v>
      </c>
      <c r="M7979" s="2">
        <v>3.8E-3</v>
      </c>
      <c r="N7979" s="2">
        <v>1.4E-3</v>
      </c>
      <c r="O7979" s="2">
        <v>1.2999999999999999E-3</v>
      </c>
      <c r="P7979" s="2">
        <v>4.0000000000000002E-4</v>
      </c>
      <c r="Q7979" s="2">
        <v>2.9999999999999997E-4</v>
      </c>
      <c r="R7979" s="2">
        <v>1E-4</v>
      </c>
      <c r="S7979">
        <v>2812</v>
      </c>
    </row>
    <row r="7981" spans="1:19" x14ac:dyDescent="0.35">
      <c r="A7981" s="1" t="s">
        <v>2008</v>
      </c>
    </row>
    <row r="7982" spans="1:19" x14ac:dyDescent="0.35">
      <c r="A7982" t="s">
        <v>219</v>
      </c>
      <c r="B7982" t="s">
        <v>524</v>
      </c>
      <c r="C7982" t="s">
        <v>525</v>
      </c>
      <c r="D7982" t="s">
        <v>526</v>
      </c>
      <c r="E7982" t="s">
        <v>527</v>
      </c>
      <c r="F7982" t="s">
        <v>226</v>
      </c>
    </row>
    <row r="7983" spans="1:19" x14ac:dyDescent="0.35">
      <c r="A7983" t="s">
        <v>227</v>
      </c>
      <c r="B7983">
        <v>14.22</v>
      </c>
      <c r="C7983">
        <v>10</v>
      </c>
      <c r="D7983">
        <v>0</v>
      </c>
      <c r="E7983">
        <v>240</v>
      </c>
      <c r="F7983">
        <v>1445</v>
      </c>
    </row>
    <row r="7984" spans="1:19" x14ac:dyDescent="0.35">
      <c r="A7984" t="s">
        <v>228</v>
      </c>
      <c r="B7984">
        <v>14.22</v>
      </c>
      <c r="C7984">
        <v>10</v>
      </c>
      <c r="D7984">
        <v>0</v>
      </c>
      <c r="E7984">
        <v>240</v>
      </c>
      <c r="F7984">
        <v>1445</v>
      </c>
    </row>
    <row r="7986" spans="1:7" x14ac:dyDescent="0.35">
      <c r="A7986" s="1" t="s">
        <v>2009</v>
      </c>
    </row>
    <row r="7987" spans="1:7" x14ac:dyDescent="0.35">
      <c r="A7987" t="s">
        <v>219</v>
      </c>
      <c r="B7987" t="s">
        <v>301</v>
      </c>
      <c r="C7987" t="s">
        <v>524</v>
      </c>
      <c r="D7987" t="s">
        <v>525</v>
      </c>
      <c r="E7987" t="s">
        <v>526</v>
      </c>
      <c r="F7987" t="s">
        <v>527</v>
      </c>
      <c r="G7987" t="s">
        <v>226</v>
      </c>
    </row>
    <row r="7988" spans="1:7" x14ac:dyDescent="0.35">
      <c r="A7988" t="s">
        <v>227</v>
      </c>
      <c r="B7988" t="s">
        <v>238</v>
      </c>
      <c r="C7988">
        <v>17.22</v>
      </c>
      <c r="D7988">
        <v>10</v>
      </c>
      <c r="E7988">
        <v>0</v>
      </c>
      <c r="F7988">
        <v>180</v>
      </c>
      <c r="G7988">
        <v>522</v>
      </c>
    </row>
    <row r="7989" spans="1:7" x14ac:dyDescent="0.35">
      <c r="A7989" t="s">
        <v>227</v>
      </c>
      <c r="B7989" t="s">
        <v>237</v>
      </c>
      <c r="C7989">
        <v>12.48</v>
      </c>
      <c r="D7989">
        <v>10</v>
      </c>
      <c r="E7989">
        <v>0</v>
      </c>
      <c r="F7989">
        <v>240</v>
      </c>
      <c r="G7989">
        <v>923</v>
      </c>
    </row>
    <row r="7990" spans="1:7" x14ac:dyDescent="0.35">
      <c r="A7990" t="s">
        <v>228</v>
      </c>
      <c r="B7990" t="s">
        <v>228</v>
      </c>
      <c r="C7990">
        <v>14.22</v>
      </c>
      <c r="D7990">
        <v>10</v>
      </c>
      <c r="E7990">
        <v>0</v>
      </c>
      <c r="F7990">
        <v>240</v>
      </c>
      <c r="G7990">
        <v>1445</v>
      </c>
    </row>
    <row r="7992" spans="1:7" x14ac:dyDescent="0.35">
      <c r="A7992" s="1" t="s">
        <v>2010</v>
      </c>
    </row>
    <row r="7993" spans="1:7" x14ac:dyDescent="0.35">
      <c r="A7993" t="s">
        <v>219</v>
      </c>
      <c r="B7993" t="s">
        <v>301</v>
      </c>
      <c r="C7993" t="s">
        <v>524</v>
      </c>
      <c r="D7993" t="s">
        <v>525</v>
      </c>
      <c r="E7993" t="s">
        <v>526</v>
      </c>
      <c r="F7993" t="s">
        <v>527</v>
      </c>
      <c r="G7993" t="s">
        <v>226</v>
      </c>
    </row>
    <row r="7994" spans="1:7" x14ac:dyDescent="0.35">
      <c r="A7994" t="s">
        <v>227</v>
      </c>
      <c r="B7994" t="s">
        <v>235</v>
      </c>
      <c r="C7994">
        <v>12.39</v>
      </c>
      <c r="D7994">
        <v>5</v>
      </c>
      <c r="E7994">
        <v>0</v>
      </c>
      <c r="F7994">
        <v>180</v>
      </c>
      <c r="G7994">
        <v>525</v>
      </c>
    </row>
    <row r="7995" spans="1:7" x14ac:dyDescent="0.35">
      <c r="A7995" t="s">
        <v>227</v>
      </c>
      <c r="B7995" t="s">
        <v>234</v>
      </c>
      <c r="C7995">
        <v>15.04</v>
      </c>
      <c r="D7995">
        <v>10</v>
      </c>
      <c r="E7995">
        <v>0</v>
      </c>
      <c r="F7995">
        <v>240</v>
      </c>
      <c r="G7995">
        <v>920</v>
      </c>
    </row>
    <row r="7996" spans="1:7" x14ac:dyDescent="0.35">
      <c r="A7996" t="s">
        <v>228</v>
      </c>
      <c r="B7996" t="s">
        <v>228</v>
      </c>
      <c r="C7996">
        <v>14.22</v>
      </c>
      <c r="D7996">
        <v>10</v>
      </c>
      <c r="E7996">
        <v>0</v>
      </c>
      <c r="F7996">
        <v>240</v>
      </c>
      <c r="G7996">
        <v>1445</v>
      </c>
    </row>
    <row r="7998" spans="1:7" x14ac:dyDescent="0.35">
      <c r="A7998" s="1" t="s">
        <v>2011</v>
      </c>
    </row>
    <row r="7999" spans="1:7" x14ac:dyDescent="0.35">
      <c r="A7999" t="s">
        <v>219</v>
      </c>
      <c r="B7999" t="s">
        <v>301</v>
      </c>
      <c r="C7999" t="s">
        <v>524</v>
      </c>
      <c r="D7999" t="s">
        <v>525</v>
      </c>
      <c r="E7999" t="s">
        <v>526</v>
      </c>
      <c r="F7999" t="s">
        <v>527</v>
      </c>
      <c r="G7999" t="s">
        <v>226</v>
      </c>
    </row>
    <row r="8000" spans="1:7" x14ac:dyDescent="0.35">
      <c r="A8000" t="s">
        <v>227</v>
      </c>
      <c r="B8000" t="s">
        <v>240</v>
      </c>
      <c r="C8000">
        <v>13.6</v>
      </c>
      <c r="D8000">
        <v>10</v>
      </c>
      <c r="E8000">
        <v>0</v>
      </c>
      <c r="F8000">
        <v>180</v>
      </c>
      <c r="G8000">
        <v>905</v>
      </c>
    </row>
    <row r="8001" spans="1:7" x14ac:dyDescent="0.35">
      <c r="A8001" t="s">
        <v>227</v>
      </c>
      <c r="B8001" t="s">
        <v>241</v>
      </c>
      <c r="C8001">
        <v>15.46</v>
      </c>
      <c r="D8001">
        <v>10</v>
      </c>
      <c r="E8001">
        <v>0</v>
      </c>
      <c r="F8001">
        <v>240</v>
      </c>
      <c r="G8001">
        <v>448</v>
      </c>
    </row>
    <row r="8002" spans="1:7" x14ac:dyDescent="0.35">
      <c r="A8002" t="s">
        <v>227</v>
      </c>
      <c r="B8002" t="s">
        <v>242</v>
      </c>
      <c r="C8002">
        <v>14.73</v>
      </c>
      <c r="D8002">
        <v>10</v>
      </c>
      <c r="E8002">
        <v>0</v>
      </c>
      <c r="F8002">
        <v>120</v>
      </c>
      <c r="G8002">
        <v>92</v>
      </c>
    </row>
    <row r="8003" spans="1:7" x14ac:dyDescent="0.35">
      <c r="A8003" t="s">
        <v>228</v>
      </c>
      <c r="B8003" t="s">
        <v>228</v>
      </c>
      <c r="C8003">
        <v>14.22</v>
      </c>
      <c r="D8003">
        <v>10</v>
      </c>
      <c r="E8003">
        <v>0</v>
      </c>
      <c r="F8003">
        <v>240</v>
      </c>
      <c r="G8003">
        <v>1445</v>
      </c>
    </row>
    <row r="8005" spans="1:7" x14ac:dyDescent="0.35">
      <c r="A8005" s="1" t="s">
        <v>2012</v>
      </c>
    </row>
    <row r="8006" spans="1:7" x14ac:dyDescent="0.35">
      <c r="A8006" t="s">
        <v>219</v>
      </c>
      <c r="B8006" t="s">
        <v>301</v>
      </c>
      <c r="C8006" t="s">
        <v>524</v>
      </c>
      <c r="D8006" t="s">
        <v>525</v>
      </c>
      <c r="E8006" t="s">
        <v>526</v>
      </c>
      <c r="F8006" t="s">
        <v>527</v>
      </c>
      <c r="G8006" t="s">
        <v>226</v>
      </c>
    </row>
    <row r="8007" spans="1:7" x14ac:dyDescent="0.35">
      <c r="A8007" t="s">
        <v>227</v>
      </c>
      <c r="B8007" t="s">
        <v>334</v>
      </c>
      <c r="C8007">
        <v>15.09</v>
      </c>
      <c r="D8007">
        <v>10</v>
      </c>
      <c r="E8007">
        <v>0</v>
      </c>
      <c r="F8007">
        <v>240</v>
      </c>
      <c r="G8007">
        <v>295</v>
      </c>
    </row>
    <row r="8008" spans="1:7" x14ac:dyDescent="0.35">
      <c r="A8008" t="s">
        <v>227</v>
      </c>
      <c r="B8008" t="s">
        <v>335</v>
      </c>
      <c r="C8008">
        <v>12.21</v>
      </c>
      <c r="D8008">
        <v>10</v>
      </c>
      <c r="E8008">
        <v>0</v>
      </c>
      <c r="F8008">
        <v>120</v>
      </c>
      <c r="G8008">
        <v>369</v>
      </c>
    </row>
    <row r="8009" spans="1:7" x14ac:dyDescent="0.35">
      <c r="A8009" t="s">
        <v>227</v>
      </c>
      <c r="B8009" t="s">
        <v>336</v>
      </c>
      <c r="C8009">
        <v>16.27</v>
      </c>
      <c r="D8009">
        <v>10</v>
      </c>
      <c r="E8009">
        <v>0</v>
      </c>
      <c r="F8009">
        <v>120</v>
      </c>
      <c r="G8009">
        <v>297</v>
      </c>
    </row>
    <row r="8010" spans="1:7" x14ac:dyDescent="0.35">
      <c r="A8010" t="s">
        <v>227</v>
      </c>
      <c r="B8010" t="s">
        <v>337</v>
      </c>
      <c r="C8010">
        <v>14.85</v>
      </c>
      <c r="D8010">
        <v>10</v>
      </c>
      <c r="E8010">
        <v>0</v>
      </c>
      <c r="F8010">
        <v>180</v>
      </c>
      <c r="G8010">
        <v>312</v>
      </c>
    </row>
    <row r="8011" spans="1:7" x14ac:dyDescent="0.35">
      <c r="A8011" t="s">
        <v>228</v>
      </c>
      <c r="B8011" t="s">
        <v>228</v>
      </c>
      <c r="C8011">
        <v>14.22</v>
      </c>
      <c r="D8011">
        <v>10</v>
      </c>
      <c r="E8011">
        <v>0</v>
      </c>
      <c r="F8011">
        <v>240</v>
      </c>
      <c r="G8011">
        <v>1445</v>
      </c>
    </row>
    <row r="8013" spans="1:7" x14ac:dyDescent="0.35">
      <c r="A8013" s="1" t="s">
        <v>2013</v>
      </c>
    </row>
    <row r="8014" spans="1:7" x14ac:dyDescent="0.35">
      <c r="A8014" t="s">
        <v>219</v>
      </c>
      <c r="B8014" t="s">
        <v>301</v>
      </c>
      <c r="C8014" t="s">
        <v>524</v>
      </c>
      <c r="D8014" t="s">
        <v>525</v>
      </c>
      <c r="E8014" t="s">
        <v>526</v>
      </c>
      <c r="F8014" t="s">
        <v>527</v>
      </c>
      <c r="G8014" t="s">
        <v>226</v>
      </c>
    </row>
    <row r="8015" spans="1:7" x14ac:dyDescent="0.35">
      <c r="A8015" t="s">
        <v>227</v>
      </c>
      <c r="B8015" t="s">
        <v>263</v>
      </c>
      <c r="C8015">
        <v>14.26</v>
      </c>
      <c r="D8015">
        <v>10</v>
      </c>
      <c r="E8015">
        <v>0</v>
      </c>
      <c r="F8015">
        <v>180</v>
      </c>
      <c r="G8015">
        <v>307</v>
      </c>
    </row>
    <row r="8016" spans="1:7" x14ac:dyDescent="0.35">
      <c r="A8016" t="s">
        <v>227</v>
      </c>
      <c r="B8016" t="s">
        <v>262</v>
      </c>
      <c r="C8016">
        <v>15.78</v>
      </c>
      <c r="D8016">
        <v>10</v>
      </c>
      <c r="E8016">
        <v>0</v>
      </c>
      <c r="F8016">
        <v>240</v>
      </c>
      <c r="G8016">
        <v>581</v>
      </c>
    </row>
    <row r="8017" spans="1:7" x14ac:dyDescent="0.35">
      <c r="A8017" t="s">
        <v>227</v>
      </c>
      <c r="B8017" t="s">
        <v>261</v>
      </c>
      <c r="C8017">
        <v>12.92</v>
      </c>
      <c r="D8017">
        <v>10</v>
      </c>
      <c r="E8017">
        <v>0</v>
      </c>
      <c r="F8017">
        <v>160</v>
      </c>
      <c r="G8017">
        <v>555</v>
      </c>
    </row>
    <row r="8018" spans="1:7" x14ac:dyDescent="0.35">
      <c r="A8018" s="3" t="s">
        <v>227</v>
      </c>
      <c r="B8018" s="3" t="s">
        <v>232</v>
      </c>
      <c r="C8018" s="5">
        <v>9</v>
      </c>
      <c r="D8018" s="5">
        <v>3</v>
      </c>
      <c r="E8018" s="5">
        <v>3</v>
      </c>
      <c r="F8018" s="5">
        <v>15</v>
      </c>
      <c r="G8018" s="5">
        <v>2</v>
      </c>
    </row>
    <row r="8019" spans="1:7" x14ac:dyDescent="0.35">
      <c r="A8019" t="s">
        <v>228</v>
      </c>
      <c r="B8019" t="s">
        <v>228</v>
      </c>
      <c r="C8019">
        <v>14.22</v>
      </c>
      <c r="D8019">
        <v>10</v>
      </c>
      <c r="E8019">
        <v>0</v>
      </c>
      <c r="F8019">
        <v>240</v>
      </c>
      <c r="G8019">
        <v>1445</v>
      </c>
    </row>
    <row r="8021" spans="1:7" x14ac:dyDescent="0.35">
      <c r="A8021" s="1" t="s">
        <v>2014</v>
      </c>
    </row>
    <row r="8022" spans="1:7" x14ac:dyDescent="0.35">
      <c r="A8022" t="s">
        <v>219</v>
      </c>
      <c r="B8022" t="s">
        <v>301</v>
      </c>
      <c r="C8022" t="s">
        <v>524</v>
      </c>
      <c r="D8022" t="s">
        <v>525</v>
      </c>
      <c r="E8022" t="s">
        <v>526</v>
      </c>
      <c r="F8022" t="s">
        <v>527</v>
      </c>
      <c r="G8022" t="s">
        <v>226</v>
      </c>
    </row>
    <row r="8023" spans="1:7" x14ac:dyDescent="0.35">
      <c r="A8023" t="s">
        <v>227</v>
      </c>
      <c r="B8023" t="s">
        <v>248</v>
      </c>
      <c r="C8023">
        <v>19.87</v>
      </c>
      <c r="D8023">
        <v>10</v>
      </c>
      <c r="E8023">
        <v>0</v>
      </c>
      <c r="F8023">
        <v>240</v>
      </c>
      <c r="G8023">
        <v>388</v>
      </c>
    </row>
    <row r="8024" spans="1:7" x14ac:dyDescent="0.35">
      <c r="A8024" t="s">
        <v>227</v>
      </c>
      <c r="B8024" t="s">
        <v>249</v>
      </c>
      <c r="C8024">
        <v>15.2</v>
      </c>
      <c r="D8024">
        <v>10</v>
      </c>
      <c r="E8024">
        <v>0</v>
      </c>
      <c r="F8024">
        <v>180</v>
      </c>
      <c r="G8024">
        <v>272</v>
      </c>
    </row>
    <row r="8025" spans="1:7" x14ac:dyDescent="0.35">
      <c r="A8025" t="s">
        <v>227</v>
      </c>
      <c r="B8025" t="s">
        <v>247</v>
      </c>
      <c r="C8025">
        <v>11.31</v>
      </c>
      <c r="D8025">
        <v>10</v>
      </c>
      <c r="E8025">
        <v>0</v>
      </c>
      <c r="F8025">
        <v>120</v>
      </c>
      <c r="G8025">
        <v>785</v>
      </c>
    </row>
    <row r="8026" spans="1:7" x14ac:dyDescent="0.35">
      <c r="A8026" t="s">
        <v>228</v>
      </c>
      <c r="B8026" t="s">
        <v>228</v>
      </c>
      <c r="C8026">
        <v>14.22</v>
      </c>
      <c r="D8026">
        <v>10</v>
      </c>
      <c r="E8026">
        <v>0</v>
      </c>
      <c r="F8026">
        <v>240</v>
      </c>
      <c r="G8026">
        <v>1445</v>
      </c>
    </row>
    <row r="8028" spans="1:7" x14ac:dyDescent="0.35">
      <c r="A8028" s="1" t="s">
        <v>2015</v>
      </c>
    </row>
    <row r="8029" spans="1:7" x14ac:dyDescent="0.35">
      <c r="A8029" t="s">
        <v>219</v>
      </c>
      <c r="B8029" t="s">
        <v>301</v>
      </c>
      <c r="C8029" t="s">
        <v>524</v>
      </c>
      <c r="D8029" t="s">
        <v>525</v>
      </c>
      <c r="E8029" t="s">
        <v>526</v>
      </c>
      <c r="F8029" t="s">
        <v>527</v>
      </c>
      <c r="G8029" t="s">
        <v>226</v>
      </c>
    </row>
    <row r="8030" spans="1:7" x14ac:dyDescent="0.35">
      <c r="A8030" t="s">
        <v>227</v>
      </c>
      <c r="B8030" t="s">
        <v>245</v>
      </c>
      <c r="C8030">
        <v>13.39</v>
      </c>
      <c r="D8030">
        <v>10</v>
      </c>
      <c r="E8030">
        <v>0</v>
      </c>
      <c r="F8030">
        <v>180</v>
      </c>
      <c r="G8030">
        <v>403</v>
      </c>
    </row>
    <row r="8031" spans="1:7" x14ac:dyDescent="0.35">
      <c r="A8031" t="s">
        <v>227</v>
      </c>
      <c r="B8031" t="s">
        <v>244</v>
      </c>
      <c r="C8031">
        <v>14.54</v>
      </c>
      <c r="D8031">
        <v>10</v>
      </c>
      <c r="E8031">
        <v>0</v>
      </c>
      <c r="F8031">
        <v>240</v>
      </c>
      <c r="G8031">
        <v>1042</v>
      </c>
    </row>
    <row r="8032" spans="1:7" x14ac:dyDescent="0.35">
      <c r="A8032" t="s">
        <v>228</v>
      </c>
      <c r="B8032" t="s">
        <v>228</v>
      </c>
      <c r="C8032">
        <v>14.22</v>
      </c>
      <c r="D8032">
        <v>10</v>
      </c>
      <c r="E8032">
        <v>0</v>
      </c>
      <c r="F8032">
        <v>240</v>
      </c>
      <c r="G8032">
        <v>1445</v>
      </c>
    </row>
    <row r="8034" spans="1:7" x14ac:dyDescent="0.35">
      <c r="A8034" s="1" t="s">
        <v>2016</v>
      </c>
    </row>
    <row r="8035" spans="1:7" x14ac:dyDescent="0.35">
      <c r="A8035" t="s">
        <v>219</v>
      </c>
      <c r="B8035" t="s">
        <v>301</v>
      </c>
      <c r="C8035" t="s">
        <v>524</v>
      </c>
      <c r="D8035" t="s">
        <v>525</v>
      </c>
      <c r="E8035" t="s">
        <v>526</v>
      </c>
      <c r="F8035" t="s">
        <v>527</v>
      </c>
      <c r="G8035" t="s">
        <v>226</v>
      </c>
    </row>
    <row r="8036" spans="1:7" x14ac:dyDescent="0.35">
      <c r="A8036" t="s">
        <v>227</v>
      </c>
      <c r="B8036" t="s">
        <v>259</v>
      </c>
      <c r="C8036">
        <v>21.5</v>
      </c>
      <c r="D8036">
        <v>15</v>
      </c>
      <c r="E8036">
        <v>0</v>
      </c>
      <c r="F8036">
        <v>60</v>
      </c>
      <c r="G8036">
        <v>34</v>
      </c>
    </row>
    <row r="8037" spans="1:7" x14ac:dyDescent="0.35">
      <c r="A8037" t="s">
        <v>227</v>
      </c>
      <c r="B8037" t="s">
        <v>257</v>
      </c>
      <c r="C8037">
        <v>17.149999999999999</v>
      </c>
      <c r="D8037">
        <v>12</v>
      </c>
      <c r="E8037">
        <v>0</v>
      </c>
      <c r="F8037">
        <v>240</v>
      </c>
      <c r="G8037">
        <v>281</v>
      </c>
    </row>
    <row r="8038" spans="1:7" x14ac:dyDescent="0.35">
      <c r="A8038" t="s">
        <v>227</v>
      </c>
      <c r="B8038" t="s">
        <v>256</v>
      </c>
      <c r="C8038">
        <v>13.25</v>
      </c>
      <c r="D8038">
        <v>8</v>
      </c>
      <c r="E8038">
        <v>0</v>
      </c>
      <c r="F8038">
        <v>180</v>
      </c>
      <c r="G8038">
        <v>839</v>
      </c>
    </row>
    <row r="8039" spans="1:7" x14ac:dyDescent="0.35">
      <c r="A8039" s="3" t="s">
        <v>227</v>
      </c>
      <c r="B8039" s="3" t="s">
        <v>232</v>
      </c>
      <c r="C8039" s="5">
        <v>15</v>
      </c>
      <c r="D8039" s="5">
        <v>15</v>
      </c>
      <c r="E8039" s="5">
        <v>15</v>
      </c>
      <c r="F8039" s="5">
        <v>15</v>
      </c>
      <c r="G8039" s="5">
        <v>1</v>
      </c>
    </row>
    <row r="8040" spans="1:7" x14ac:dyDescent="0.35">
      <c r="A8040" t="s">
        <v>227</v>
      </c>
      <c r="B8040" t="s">
        <v>258</v>
      </c>
      <c r="C8040">
        <v>13.18</v>
      </c>
      <c r="D8040">
        <v>10</v>
      </c>
      <c r="E8040">
        <v>0</v>
      </c>
      <c r="F8040">
        <v>130</v>
      </c>
      <c r="G8040">
        <v>290</v>
      </c>
    </row>
    <row r="8041" spans="1:7" x14ac:dyDescent="0.35">
      <c r="A8041" t="s">
        <v>228</v>
      </c>
      <c r="B8041" t="s">
        <v>228</v>
      </c>
      <c r="C8041">
        <v>14.22</v>
      </c>
      <c r="D8041">
        <v>10</v>
      </c>
      <c r="E8041">
        <v>0</v>
      </c>
      <c r="F8041">
        <v>240</v>
      </c>
      <c r="G8041">
        <v>1445</v>
      </c>
    </row>
    <row r="8043" spans="1:7" x14ac:dyDescent="0.35">
      <c r="A8043" s="1" t="s">
        <v>2017</v>
      </c>
    </row>
    <row r="8044" spans="1:7" x14ac:dyDescent="0.35">
      <c r="A8044" t="s">
        <v>219</v>
      </c>
      <c r="B8044" t="s">
        <v>301</v>
      </c>
      <c r="C8044" t="s">
        <v>524</v>
      </c>
      <c r="D8044" t="s">
        <v>525</v>
      </c>
      <c r="E8044" t="s">
        <v>526</v>
      </c>
      <c r="F8044" t="s">
        <v>527</v>
      </c>
      <c r="G8044" t="s">
        <v>226</v>
      </c>
    </row>
    <row r="8045" spans="1:7" x14ac:dyDescent="0.35">
      <c r="A8045" t="s">
        <v>227</v>
      </c>
      <c r="B8045" t="s">
        <v>343</v>
      </c>
      <c r="C8045">
        <v>17.149999999999999</v>
      </c>
      <c r="D8045">
        <v>12</v>
      </c>
      <c r="E8045">
        <v>0</v>
      </c>
      <c r="F8045">
        <v>240</v>
      </c>
      <c r="G8045">
        <v>281</v>
      </c>
    </row>
    <row r="8046" spans="1:7" x14ac:dyDescent="0.35">
      <c r="A8046" t="s">
        <v>227</v>
      </c>
      <c r="B8046" t="s">
        <v>344</v>
      </c>
      <c r="C8046">
        <v>13.4</v>
      </c>
      <c r="D8046">
        <v>10</v>
      </c>
      <c r="E8046">
        <v>0</v>
      </c>
      <c r="F8046">
        <v>180</v>
      </c>
      <c r="G8046">
        <v>1164</v>
      </c>
    </row>
    <row r="8047" spans="1:7" x14ac:dyDescent="0.35">
      <c r="A8047" t="s">
        <v>228</v>
      </c>
      <c r="B8047" t="s">
        <v>228</v>
      </c>
      <c r="C8047">
        <v>14.22</v>
      </c>
      <c r="D8047">
        <v>10</v>
      </c>
      <c r="E8047">
        <v>0</v>
      </c>
      <c r="F8047">
        <v>240</v>
      </c>
      <c r="G8047">
        <v>1445</v>
      </c>
    </row>
    <row r="8049" spans="1:7" x14ac:dyDescent="0.35">
      <c r="A8049" s="1" t="s">
        <v>2018</v>
      </c>
    </row>
    <row r="8050" spans="1:7" x14ac:dyDescent="0.35">
      <c r="A8050" t="s">
        <v>219</v>
      </c>
      <c r="B8050" t="s">
        <v>301</v>
      </c>
      <c r="C8050" t="s">
        <v>524</v>
      </c>
      <c r="D8050" t="s">
        <v>525</v>
      </c>
      <c r="E8050" t="s">
        <v>526</v>
      </c>
      <c r="F8050" t="s">
        <v>527</v>
      </c>
      <c r="G8050" t="s">
        <v>226</v>
      </c>
    </row>
    <row r="8051" spans="1:7" x14ac:dyDescent="0.35">
      <c r="A8051" t="s">
        <v>227</v>
      </c>
      <c r="B8051" t="s">
        <v>346</v>
      </c>
      <c r="C8051">
        <v>13.78</v>
      </c>
      <c r="D8051">
        <v>10</v>
      </c>
      <c r="E8051">
        <v>0</v>
      </c>
      <c r="F8051">
        <v>180</v>
      </c>
      <c r="G8051">
        <v>719</v>
      </c>
    </row>
    <row r="8052" spans="1:7" x14ac:dyDescent="0.35">
      <c r="A8052" t="s">
        <v>227</v>
      </c>
      <c r="B8052" t="s">
        <v>347</v>
      </c>
      <c r="C8052">
        <v>20.3</v>
      </c>
      <c r="D8052">
        <v>15</v>
      </c>
      <c r="E8052">
        <v>0</v>
      </c>
      <c r="F8052">
        <v>240</v>
      </c>
      <c r="G8052">
        <v>276</v>
      </c>
    </row>
    <row r="8053" spans="1:7" x14ac:dyDescent="0.35">
      <c r="A8053" t="s">
        <v>227</v>
      </c>
      <c r="B8053" t="s">
        <v>348</v>
      </c>
      <c r="C8053">
        <v>15.94</v>
      </c>
      <c r="D8053">
        <v>10</v>
      </c>
      <c r="E8053">
        <v>0</v>
      </c>
      <c r="F8053">
        <v>130</v>
      </c>
      <c r="G8053">
        <v>450</v>
      </c>
    </row>
    <row r="8054" spans="1:7" x14ac:dyDescent="0.35">
      <c r="A8054" t="s">
        <v>228</v>
      </c>
      <c r="B8054" t="s">
        <v>228</v>
      </c>
      <c r="C8054">
        <v>14.22</v>
      </c>
      <c r="D8054">
        <v>10</v>
      </c>
      <c r="E8054">
        <v>0</v>
      </c>
      <c r="F8054">
        <v>240</v>
      </c>
      <c r="G8054">
        <v>1445</v>
      </c>
    </row>
    <row r="8056" spans="1:7" x14ac:dyDescent="0.35">
      <c r="A8056" s="1" t="s">
        <v>2019</v>
      </c>
    </row>
    <row r="8057" spans="1:7" x14ac:dyDescent="0.35">
      <c r="A8057" t="s">
        <v>219</v>
      </c>
      <c r="B8057" t="s">
        <v>301</v>
      </c>
      <c r="C8057" t="s">
        <v>524</v>
      </c>
      <c r="D8057" t="s">
        <v>525</v>
      </c>
      <c r="E8057" t="s">
        <v>526</v>
      </c>
      <c r="F8057" t="s">
        <v>527</v>
      </c>
      <c r="G8057" t="s">
        <v>226</v>
      </c>
    </row>
    <row r="8058" spans="1:7" x14ac:dyDescent="0.35">
      <c r="A8058" t="s">
        <v>227</v>
      </c>
      <c r="B8058" t="s">
        <v>251</v>
      </c>
      <c r="C8058">
        <v>14.54</v>
      </c>
      <c r="D8058">
        <v>10</v>
      </c>
      <c r="E8058">
        <v>0</v>
      </c>
      <c r="F8058">
        <v>240</v>
      </c>
      <c r="G8058">
        <v>1042</v>
      </c>
    </row>
    <row r="8059" spans="1:7" x14ac:dyDescent="0.35">
      <c r="A8059" t="s">
        <v>227</v>
      </c>
      <c r="B8059" t="s">
        <v>252</v>
      </c>
      <c r="C8059">
        <v>12.95</v>
      </c>
      <c r="D8059">
        <v>10</v>
      </c>
      <c r="E8059">
        <v>0</v>
      </c>
      <c r="F8059">
        <v>180</v>
      </c>
      <c r="G8059">
        <v>321</v>
      </c>
    </row>
    <row r="8060" spans="1:7" x14ac:dyDescent="0.35">
      <c r="A8060" t="s">
        <v>227</v>
      </c>
      <c r="B8060" t="s">
        <v>253</v>
      </c>
      <c r="C8060">
        <v>15.42</v>
      </c>
      <c r="D8060">
        <v>10</v>
      </c>
      <c r="E8060">
        <v>0</v>
      </c>
      <c r="F8060">
        <v>60</v>
      </c>
      <c r="G8060">
        <v>77</v>
      </c>
    </row>
    <row r="8061" spans="1:7" x14ac:dyDescent="0.35">
      <c r="A8061" s="3" t="s">
        <v>227</v>
      </c>
      <c r="B8061" s="3" t="s">
        <v>254</v>
      </c>
      <c r="C8061" s="5">
        <v>17.39</v>
      </c>
      <c r="D8061" s="5">
        <v>15</v>
      </c>
      <c r="E8061" s="5">
        <v>5</v>
      </c>
      <c r="F8061" s="5">
        <v>60</v>
      </c>
      <c r="G8061" s="5">
        <v>5</v>
      </c>
    </row>
    <row r="8062" spans="1:7" x14ac:dyDescent="0.35">
      <c r="A8062" t="s">
        <v>228</v>
      </c>
      <c r="B8062" t="s">
        <v>228</v>
      </c>
      <c r="C8062">
        <v>14.22</v>
      </c>
      <c r="D8062">
        <v>10</v>
      </c>
      <c r="E8062">
        <v>0</v>
      </c>
      <c r="F8062">
        <v>240</v>
      </c>
      <c r="G8062">
        <v>1445</v>
      </c>
    </row>
    <row r="8064" spans="1:7" x14ac:dyDescent="0.35">
      <c r="A8064" s="1" t="s">
        <v>2020</v>
      </c>
    </row>
    <row r="8065" spans="1:7" x14ac:dyDescent="0.35">
      <c r="A8065" t="s">
        <v>219</v>
      </c>
      <c r="B8065" t="s">
        <v>299</v>
      </c>
      <c r="C8065" t="s">
        <v>298</v>
      </c>
      <c r="D8065" t="s">
        <v>277</v>
      </c>
      <c r="E8065" t="s">
        <v>2021</v>
      </c>
      <c r="F8065" t="s">
        <v>226</v>
      </c>
    </row>
    <row r="8066" spans="1:7" x14ac:dyDescent="0.35">
      <c r="A8066" t="s">
        <v>227</v>
      </c>
      <c r="B8066" s="2">
        <v>0.89100000000000001</v>
      </c>
      <c r="C8066" s="2">
        <v>9.01E-2</v>
      </c>
      <c r="D8066" s="2">
        <v>1.77E-2</v>
      </c>
      <c r="E8066" s="2">
        <v>1.1999999999999999E-3</v>
      </c>
      <c r="F8066">
        <v>2759</v>
      </c>
    </row>
    <row r="8067" spans="1:7" x14ac:dyDescent="0.35">
      <c r="A8067" t="s">
        <v>228</v>
      </c>
      <c r="B8067" s="2">
        <v>0.89100000000000001</v>
      </c>
      <c r="C8067" s="2">
        <v>9.01E-2</v>
      </c>
      <c r="D8067" s="2">
        <v>1.77E-2</v>
      </c>
      <c r="E8067" s="2">
        <v>1.1999999999999999E-3</v>
      </c>
      <c r="F8067">
        <v>2759</v>
      </c>
    </row>
    <row r="8069" spans="1:7" x14ac:dyDescent="0.35">
      <c r="A8069" s="1" t="s">
        <v>2022</v>
      </c>
    </row>
    <row r="8070" spans="1:7" x14ac:dyDescent="0.35">
      <c r="A8070" t="s">
        <v>219</v>
      </c>
      <c r="B8070" t="s">
        <v>301</v>
      </c>
      <c r="C8070" t="s">
        <v>299</v>
      </c>
      <c r="D8070" t="s">
        <v>298</v>
      </c>
      <c r="E8070" t="s">
        <v>277</v>
      </c>
      <c r="F8070" t="s">
        <v>2021</v>
      </c>
      <c r="G8070" t="s">
        <v>226</v>
      </c>
    </row>
    <row r="8071" spans="1:7" x14ac:dyDescent="0.35">
      <c r="A8071" t="s">
        <v>227</v>
      </c>
      <c r="B8071" t="s">
        <v>238</v>
      </c>
      <c r="C8071" s="2">
        <v>0.86019999999999996</v>
      </c>
      <c r="D8071" s="2">
        <v>0.1246</v>
      </c>
      <c r="E8071" s="2">
        <v>1.52E-2</v>
      </c>
      <c r="G8071">
        <v>980</v>
      </c>
    </row>
    <row r="8072" spans="1:7" x14ac:dyDescent="0.35">
      <c r="A8072" t="s">
        <v>227</v>
      </c>
      <c r="B8072" t="s">
        <v>237</v>
      </c>
      <c r="C8072" s="2">
        <v>0.90869999999999995</v>
      </c>
      <c r="D8072" s="2">
        <v>7.0400000000000004E-2</v>
      </c>
      <c r="E8072" s="2">
        <v>1.9099999999999999E-2</v>
      </c>
      <c r="F8072" s="2">
        <v>1.8E-3</v>
      </c>
      <c r="G8072">
        <v>1779</v>
      </c>
    </row>
    <row r="8073" spans="1:7" x14ac:dyDescent="0.35">
      <c r="A8073" t="s">
        <v>228</v>
      </c>
      <c r="B8073" t="s">
        <v>228</v>
      </c>
      <c r="C8073" s="2">
        <v>0.89100000000000001</v>
      </c>
      <c r="D8073" s="2">
        <v>9.01E-2</v>
      </c>
      <c r="E8073" s="2">
        <v>1.77E-2</v>
      </c>
      <c r="F8073" s="2">
        <v>1.1999999999999999E-3</v>
      </c>
      <c r="G8073">
        <v>2759</v>
      </c>
    </row>
    <row r="8075" spans="1:7" x14ac:dyDescent="0.35">
      <c r="A8075" s="1" t="s">
        <v>2023</v>
      </c>
    </row>
    <row r="8076" spans="1:7" x14ac:dyDescent="0.35">
      <c r="A8076" t="s">
        <v>219</v>
      </c>
      <c r="B8076" t="s">
        <v>301</v>
      </c>
      <c r="C8076" t="s">
        <v>299</v>
      </c>
      <c r="D8076" t="s">
        <v>298</v>
      </c>
      <c r="E8076" t="s">
        <v>277</v>
      </c>
      <c r="F8076" t="s">
        <v>2021</v>
      </c>
      <c r="G8076" t="s">
        <v>226</v>
      </c>
    </row>
    <row r="8077" spans="1:7" x14ac:dyDescent="0.35">
      <c r="A8077" t="s">
        <v>227</v>
      </c>
      <c r="B8077" t="s">
        <v>235</v>
      </c>
      <c r="C8077" s="2">
        <v>0.89890000000000003</v>
      </c>
      <c r="D8077" s="2">
        <v>8.7999999999999995E-2</v>
      </c>
      <c r="E8077" s="2">
        <v>1.24E-2</v>
      </c>
      <c r="F8077" s="2">
        <v>6.9999999999999999E-4</v>
      </c>
      <c r="G8077">
        <v>968</v>
      </c>
    </row>
    <row r="8078" spans="1:7" x14ac:dyDescent="0.35">
      <c r="A8078" t="s">
        <v>227</v>
      </c>
      <c r="B8078" t="s">
        <v>234</v>
      </c>
      <c r="C8078" s="2">
        <v>0.88770000000000004</v>
      </c>
      <c r="D8078" s="2">
        <v>9.0999999999999998E-2</v>
      </c>
      <c r="E8078" s="2">
        <v>1.9900000000000001E-2</v>
      </c>
      <c r="F8078" s="2">
        <v>1.4E-3</v>
      </c>
      <c r="G8078">
        <v>1791</v>
      </c>
    </row>
    <row r="8079" spans="1:7" x14ac:dyDescent="0.35">
      <c r="A8079" t="s">
        <v>228</v>
      </c>
      <c r="B8079" t="s">
        <v>228</v>
      </c>
      <c r="C8079" s="2">
        <v>0.89100000000000001</v>
      </c>
      <c r="D8079" s="2">
        <v>9.01E-2</v>
      </c>
      <c r="E8079" s="2">
        <v>1.77E-2</v>
      </c>
      <c r="F8079" s="2">
        <v>1.1999999999999999E-3</v>
      </c>
      <c r="G8079">
        <v>2759</v>
      </c>
    </row>
    <row r="8081" spans="1:7" x14ac:dyDescent="0.35">
      <c r="A8081" s="1" t="s">
        <v>2024</v>
      </c>
    </row>
    <row r="8082" spans="1:7" x14ac:dyDescent="0.35">
      <c r="A8082" t="s">
        <v>219</v>
      </c>
      <c r="B8082" t="s">
        <v>301</v>
      </c>
      <c r="C8082" t="s">
        <v>299</v>
      </c>
      <c r="D8082" t="s">
        <v>298</v>
      </c>
      <c r="E8082" t="s">
        <v>277</v>
      </c>
      <c r="F8082" t="s">
        <v>2021</v>
      </c>
      <c r="G8082" t="s">
        <v>226</v>
      </c>
    </row>
    <row r="8083" spans="1:7" x14ac:dyDescent="0.35">
      <c r="A8083" t="s">
        <v>227</v>
      </c>
      <c r="B8083" t="s">
        <v>240</v>
      </c>
      <c r="C8083" s="2">
        <v>0.88639999999999997</v>
      </c>
      <c r="D8083" s="2">
        <v>8.8300000000000003E-2</v>
      </c>
      <c r="E8083" s="2">
        <v>2.3400000000000001E-2</v>
      </c>
      <c r="F8083" s="2">
        <v>1.8E-3</v>
      </c>
      <c r="G8083">
        <v>1717</v>
      </c>
    </row>
    <row r="8084" spans="1:7" x14ac:dyDescent="0.35">
      <c r="A8084" t="s">
        <v>227</v>
      </c>
      <c r="B8084" t="s">
        <v>241</v>
      </c>
      <c r="C8084" s="2">
        <v>0.89929999999999999</v>
      </c>
      <c r="D8084" s="2">
        <v>9.2200000000000004E-2</v>
      </c>
      <c r="E8084" s="2">
        <v>8.5000000000000006E-3</v>
      </c>
      <c r="G8084">
        <v>878</v>
      </c>
    </row>
    <row r="8085" spans="1:7" x14ac:dyDescent="0.35">
      <c r="A8085" t="s">
        <v>227</v>
      </c>
      <c r="B8085" t="s">
        <v>242</v>
      </c>
      <c r="C8085" s="2">
        <v>0.89770000000000005</v>
      </c>
      <c r="D8085" s="2">
        <v>9.8500000000000004E-2</v>
      </c>
      <c r="E8085" s="2">
        <v>3.7000000000000002E-3</v>
      </c>
      <c r="G8085">
        <v>164</v>
      </c>
    </row>
    <row r="8086" spans="1:7" x14ac:dyDescent="0.35">
      <c r="A8086" t="s">
        <v>228</v>
      </c>
      <c r="B8086" t="s">
        <v>228</v>
      </c>
      <c r="C8086" s="2">
        <v>0.89100000000000001</v>
      </c>
      <c r="D8086" s="2">
        <v>9.01E-2</v>
      </c>
      <c r="E8086" s="2">
        <v>1.77E-2</v>
      </c>
      <c r="F8086" s="2">
        <v>1.1999999999999999E-3</v>
      </c>
      <c r="G8086">
        <v>2759</v>
      </c>
    </row>
    <row r="8088" spans="1:7" x14ac:dyDescent="0.35">
      <c r="A8088" s="1" t="s">
        <v>2025</v>
      </c>
    </row>
    <row r="8089" spans="1:7" x14ac:dyDescent="0.35">
      <c r="A8089" t="s">
        <v>219</v>
      </c>
      <c r="B8089" t="s">
        <v>301</v>
      </c>
      <c r="C8089" t="s">
        <v>299</v>
      </c>
      <c r="D8089" t="s">
        <v>298</v>
      </c>
      <c r="E8089" t="s">
        <v>277</v>
      </c>
      <c r="F8089" t="s">
        <v>2021</v>
      </c>
      <c r="G8089" t="s">
        <v>226</v>
      </c>
    </row>
    <row r="8090" spans="1:7" x14ac:dyDescent="0.35">
      <c r="A8090" t="s">
        <v>227</v>
      </c>
      <c r="B8090" t="s">
        <v>334</v>
      </c>
      <c r="C8090" s="2">
        <v>0.85970000000000002</v>
      </c>
      <c r="D8090" s="2">
        <v>0.1163</v>
      </c>
      <c r="E8090" s="2">
        <v>2.3099999999999999E-2</v>
      </c>
      <c r="F8090" s="2">
        <v>8.9999999999999998E-4</v>
      </c>
      <c r="G8090">
        <v>611</v>
      </c>
    </row>
    <row r="8091" spans="1:7" x14ac:dyDescent="0.35">
      <c r="A8091" t="s">
        <v>227</v>
      </c>
      <c r="B8091" t="s">
        <v>335</v>
      </c>
      <c r="C8091" s="2">
        <v>0.92589999999999995</v>
      </c>
      <c r="D8091" s="2">
        <v>6.0100000000000001E-2</v>
      </c>
      <c r="E8091" s="2">
        <v>1.4E-2</v>
      </c>
      <c r="G8091">
        <v>617</v>
      </c>
    </row>
    <row r="8092" spans="1:7" x14ac:dyDescent="0.35">
      <c r="A8092" t="s">
        <v>227</v>
      </c>
      <c r="B8092" t="s">
        <v>336</v>
      </c>
      <c r="C8092" s="2">
        <v>0.88109999999999999</v>
      </c>
      <c r="D8092" s="2">
        <v>9.1499999999999998E-2</v>
      </c>
      <c r="E8092" s="2">
        <v>2.2599999999999999E-2</v>
      </c>
      <c r="F8092" s="2">
        <v>4.7999999999999996E-3</v>
      </c>
      <c r="G8092">
        <v>612</v>
      </c>
    </row>
    <row r="8093" spans="1:7" x14ac:dyDescent="0.35">
      <c r="A8093" t="s">
        <v>227</v>
      </c>
      <c r="B8093" t="s">
        <v>337</v>
      </c>
      <c r="C8093" s="2">
        <v>0.90300000000000002</v>
      </c>
      <c r="D8093" s="2">
        <v>8.4400000000000003E-2</v>
      </c>
      <c r="E8093" s="2">
        <v>1.26E-2</v>
      </c>
      <c r="G8093">
        <v>593</v>
      </c>
    </row>
    <row r="8094" spans="1:7" x14ac:dyDescent="0.35">
      <c r="A8094" t="s">
        <v>228</v>
      </c>
      <c r="B8094" t="s">
        <v>228</v>
      </c>
      <c r="C8094" s="2">
        <v>0.89100000000000001</v>
      </c>
      <c r="D8094" s="2">
        <v>9.01E-2</v>
      </c>
      <c r="E8094" s="2">
        <v>1.77E-2</v>
      </c>
      <c r="F8094" s="2">
        <v>1.1999999999999999E-3</v>
      </c>
      <c r="G8094">
        <v>2433</v>
      </c>
    </row>
    <row r="8096" spans="1:7" x14ac:dyDescent="0.35">
      <c r="A8096" s="1" t="s">
        <v>2026</v>
      </c>
    </row>
    <row r="8097" spans="1:7" x14ac:dyDescent="0.35">
      <c r="A8097" t="s">
        <v>219</v>
      </c>
      <c r="B8097" t="s">
        <v>301</v>
      </c>
      <c r="C8097" t="s">
        <v>299</v>
      </c>
      <c r="D8097" t="s">
        <v>298</v>
      </c>
      <c r="E8097" t="s">
        <v>277</v>
      </c>
      <c r="F8097" t="s">
        <v>2021</v>
      </c>
      <c r="G8097" t="s">
        <v>226</v>
      </c>
    </row>
    <row r="8098" spans="1:7" x14ac:dyDescent="0.35">
      <c r="A8098" t="s">
        <v>227</v>
      </c>
      <c r="B8098" t="s">
        <v>263</v>
      </c>
      <c r="C8098" s="2">
        <v>0.91190000000000004</v>
      </c>
      <c r="D8098" s="2">
        <v>8.3000000000000004E-2</v>
      </c>
      <c r="E8098" s="2">
        <v>5.1000000000000004E-3</v>
      </c>
      <c r="G8098">
        <v>579</v>
      </c>
    </row>
    <row r="8099" spans="1:7" x14ac:dyDescent="0.35">
      <c r="A8099" t="s">
        <v>227</v>
      </c>
      <c r="B8099" t="s">
        <v>262</v>
      </c>
      <c r="C8099" s="2">
        <v>0.87560000000000004</v>
      </c>
      <c r="D8099" s="2">
        <v>0.1017</v>
      </c>
      <c r="E8099" s="2">
        <v>2.2599999999999999E-2</v>
      </c>
      <c r="G8099">
        <v>1133</v>
      </c>
    </row>
    <row r="8100" spans="1:7" x14ac:dyDescent="0.35">
      <c r="A8100" t="s">
        <v>227</v>
      </c>
      <c r="B8100" t="s">
        <v>261</v>
      </c>
      <c r="C8100" s="2">
        <v>0.89370000000000005</v>
      </c>
      <c r="D8100" s="2">
        <v>8.3900000000000002E-2</v>
      </c>
      <c r="E8100" s="2">
        <v>1.9599999999999999E-2</v>
      </c>
      <c r="F8100" s="2">
        <v>2.7000000000000001E-3</v>
      </c>
      <c r="G8100">
        <v>1045</v>
      </c>
    </row>
    <row r="8101" spans="1:7" x14ac:dyDescent="0.35">
      <c r="A8101" s="3" t="s">
        <v>227</v>
      </c>
      <c r="B8101" s="3" t="s">
        <v>232</v>
      </c>
      <c r="C8101" s="4">
        <v>1</v>
      </c>
      <c r="D8101" s="5"/>
      <c r="E8101" s="5"/>
      <c r="F8101" s="5"/>
      <c r="G8101" s="5" t="s">
        <v>434</v>
      </c>
    </row>
    <row r="8102" spans="1:7" x14ac:dyDescent="0.35">
      <c r="A8102" t="s">
        <v>228</v>
      </c>
      <c r="B8102" t="s">
        <v>228</v>
      </c>
      <c r="C8102" s="2">
        <v>0.89100000000000001</v>
      </c>
      <c r="D8102" s="2">
        <v>9.01E-2</v>
      </c>
      <c r="E8102" s="2">
        <v>1.77E-2</v>
      </c>
      <c r="F8102" s="2">
        <v>1.1999999999999999E-3</v>
      </c>
      <c r="G8102">
        <v>2759</v>
      </c>
    </row>
    <row r="8104" spans="1:7" x14ac:dyDescent="0.35">
      <c r="A8104" s="1" t="s">
        <v>2027</v>
      </c>
    </row>
    <row r="8105" spans="1:7" x14ac:dyDescent="0.35">
      <c r="A8105" t="s">
        <v>219</v>
      </c>
      <c r="B8105" t="s">
        <v>301</v>
      </c>
      <c r="C8105" t="s">
        <v>299</v>
      </c>
      <c r="D8105" t="s">
        <v>298</v>
      </c>
      <c r="E8105" t="s">
        <v>277</v>
      </c>
      <c r="F8105" t="s">
        <v>2021</v>
      </c>
      <c r="G8105" t="s">
        <v>226</v>
      </c>
    </row>
    <row r="8106" spans="1:7" x14ac:dyDescent="0.35">
      <c r="A8106" t="s">
        <v>227</v>
      </c>
      <c r="B8106" t="s">
        <v>248</v>
      </c>
      <c r="C8106" s="2">
        <v>0.89190000000000003</v>
      </c>
      <c r="D8106" s="2">
        <v>9.2999999999999999E-2</v>
      </c>
      <c r="E8106" s="2">
        <v>1.5100000000000001E-2</v>
      </c>
      <c r="G8106">
        <v>780</v>
      </c>
    </row>
    <row r="8107" spans="1:7" x14ac:dyDescent="0.35">
      <c r="A8107" t="s">
        <v>227</v>
      </c>
      <c r="B8107" t="s">
        <v>249</v>
      </c>
      <c r="C8107" s="2">
        <v>0.85729999999999995</v>
      </c>
      <c r="D8107" s="2">
        <v>0.1089</v>
      </c>
      <c r="E8107" s="2">
        <v>2.7900000000000001E-2</v>
      </c>
      <c r="F8107" s="2">
        <v>5.8999999999999999E-3</v>
      </c>
      <c r="G8107">
        <v>531</v>
      </c>
    </row>
    <row r="8108" spans="1:7" x14ac:dyDescent="0.35">
      <c r="A8108" t="s">
        <v>227</v>
      </c>
      <c r="B8108" t="s">
        <v>247</v>
      </c>
      <c r="C8108" s="2">
        <v>0.90290000000000004</v>
      </c>
      <c r="D8108" s="2">
        <v>8.1799999999999998E-2</v>
      </c>
      <c r="E8108" s="2">
        <v>1.5299999999999999E-2</v>
      </c>
      <c r="G8108">
        <v>1448</v>
      </c>
    </row>
    <row r="8109" spans="1:7" x14ac:dyDescent="0.35">
      <c r="A8109" t="s">
        <v>228</v>
      </c>
      <c r="B8109" t="s">
        <v>228</v>
      </c>
      <c r="C8109" s="2">
        <v>0.89100000000000001</v>
      </c>
      <c r="D8109" s="2">
        <v>9.01E-2</v>
      </c>
      <c r="E8109" s="2">
        <v>1.77E-2</v>
      </c>
      <c r="F8109" s="2">
        <v>1.1999999999999999E-3</v>
      </c>
      <c r="G8109">
        <v>2759</v>
      </c>
    </row>
    <row r="8111" spans="1:7" x14ac:dyDescent="0.35">
      <c r="A8111" s="1" t="s">
        <v>2028</v>
      </c>
    </row>
    <row r="8112" spans="1:7" x14ac:dyDescent="0.35">
      <c r="A8112" t="s">
        <v>219</v>
      </c>
      <c r="B8112" t="s">
        <v>301</v>
      </c>
      <c r="C8112" t="s">
        <v>299</v>
      </c>
      <c r="D8112" t="s">
        <v>298</v>
      </c>
      <c r="E8112" t="s">
        <v>277</v>
      </c>
      <c r="F8112" t="s">
        <v>2021</v>
      </c>
      <c r="G8112" t="s">
        <v>226</v>
      </c>
    </row>
    <row r="8113" spans="1:7" x14ac:dyDescent="0.35">
      <c r="A8113" t="s">
        <v>227</v>
      </c>
      <c r="B8113" t="s">
        <v>245</v>
      </c>
      <c r="C8113" s="2">
        <v>0.89680000000000004</v>
      </c>
      <c r="D8113" s="2">
        <v>8.3699999999999997E-2</v>
      </c>
      <c r="E8113" s="2">
        <v>1.9599999999999999E-2</v>
      </c>
      <c r="G8113">
        <v>768</v>
      </c>
    </row>
    <row r="8114" spans="1:7" x14ac:dyDescent="0.35">
      <c r="A8114" t="s">
        <v>227</v>
      </c>
      <c r="B8114" t="s">
        <v>244</v>
      </c>
      <c r="C8114" s="2">
        <v>0.88870000000000005</v>
      </c>
      <c r="D8114" s="2">
        <v>9.2700000000000005E-2</v>
      </c>
      <c r="E8114" s="2">
        <v>1.7000000000000001E-2</v>
      </c>
      <c r="F8114" s="2">
        <v>1.6000000000000001E-3</v>
      </c>
      <c r="G8114">
        <v>1991</v>
      </c>
    </row>
    <row r="8115" spans="1:7" x14ac:dyDescent="0.35">
      <c r="A8115" t="s">
        <v>228</v>
      </c>
      <c r="B8115" t="s">
        <v>228</v>
      </c>
      <c r="C8115" s="2">
        <v>0.89100000000000001</v>
      </c>
      <c r="D8115" s="2">
        <v>9.01E-2</v>
      </c>
      <c r="E8115" s="2">
        <v>1.77E-2</v>
      </c>
      <c r="F8115" s="2">
        <v>1.1999999999999999E-3</v>
      </c>
      <c r="G8115">
        <v>2759</v>
      </c>
    </row>
    <row r="8117" spans="1:7" x14ac:dyDescent="0.35">
      <c r="A8117" s="1" t="s">
        <v>2029</v>
      </c>
    </row>
    <row r="8118" spans="1:7" x14ac:dyDescent="0.35">
      <c r="A8118" t="s">
        <v>219</v>
      </c>
      <c r="B8118" t="s">
        <v>301</v>
      </c>
      <c r="C8118" t="s">
        <v>299</v>
      </c>
      <c r="D8118" t="s">
        <v>298</v>
      </c>
      <c r="E8118" t="s">
        <v>277</v>
      </c>
      <c r="F8118" t="s">
        <v>2021</v>
      </c>
      <c r="G8118" t="s">
        <v>226</v>
      </c>
    </row>
    <row r="8119" spans="1:7" x14ac:dyDescent="0.35">
      <c r="A8119" t="s">
        <v>227</v>
      </c>
      <c r="B8119" t="s">
        <v>259</v>
      </c>
      <c r="C8119" s="2">
        <v>0.76390000000000002</v>
      </c>
      <c r="D8119" s="2">
        <v>0.22819999999999999</v>
      </c>
      <c r="E8119" s="2">
        <v>7.9000000000000008E-3</v>
      </c>
      <c r="G8119">
        <v>68</v>
      </c>
    </row>
    <row r="8120" spans="1:7" x14ac:dyDescent="0.35">
      <c r="A8120" t="s">
        <v>227</v>
      </c>
      <c r="B8120" t="s">
        <v>257</v>
      </c>
      <c r="C8120" s="2">
        <v>0.89480000000000004</v>
      </c>
      <c r="D8120" s="2">
        <v>8.2600000000000007E-2</v>
      </c>
      <c r="E8120" s="2">
        <v>2.2599999999999999E-2</v>
      </c>
      <c r="G8120">
        <v>392</v>
      </c>
    </row>
    <row r="8121" spans="1:7" x14ac:dyDescent="0.35">
      <c r="A8121" t="s">
        <v>227</v>
      </c>
      <c r="B8121" t="s">
        <v>256</v>
      </c>
      <c r="C8121" s="2">
        <v>0.89119999999999999</v>
      </c>
      <c r="D8121" s="2">
        <v>9.2700000000000005E-2</v>
      </c>
      <c r="E8121" s="2">
        <v>1.44E-2</v>
      </c>
      <c r="F8121" s="2">
        <v>1.6999999999999999E-3</v>
      </c>
      <c r="G8121">
        <v>1772</v>
      </c>
    </row>
    <row r="8122" spans="1:7" x14ac:dyDescent="0.35">
      <c r="A8122" s="3" t="s">
        <v>227</v>
      </c>
      <c r="B8122" s="3" t="s">
        <v>232</v>
      </c>
      <c r="C8122" s="4">
        <v>0.24779999999999999</v>
      </c>
      <c r="D8122" s="4">
        <v>0.6371</v>
      </c>
      <c r="E8122" s="4">
        <v>0.11509999999999999</v>
      </c>
      <c r="F8122" s="5"/>
      <c r="G8122" s="5" t="s">
        <v>307</v>
      </c>
    </row>
    <row r="8123" spans="1:7" x14ac:dyDescent="0.35">
      <c r="A8123" t="s">
        <v>227</v>
      </c>
      <c r="B8123" t="s">
        <v>258</v>
      </c>
      <c r="C8123" s="2">
        <v>0.9093</v>
      </c>
      <c r="D8123" s="2">
        <v>6.3700000000000007E-2</v>
      </c>
      <c r="E8123" s="2">
        <v>2.7E-2</v>
      </c>
      <c r="G8123">
        <v>516</v>
      </c>
    </row>
    <row r="8124" spans="1:7" x14ac:dyDescent="0.35">
      <c r="A8124" t="s">
        <v>228</v>
      </c>
      <c r="B8124" t="s">
        <v>228</v>
      </c>
      <c r="C8124" s="2">
        <v>0.89100000000000001</v>
      </c>
      <c r="D8124" s="2">
        <v>9.01E-2</v>
      </c>
      <c r="E8124" s="2">
        <v>1.77E-2</v>
      </c>
      <c r="F8124" s="2">
        <v>1.1999999999999999E-3</v>
      </c>
      <c r="G8124">
        <v>2759</v>
      </c>
    </row>
    <row r="8126" spans="1:7" x14ac:dyDescent="0.35">
      <c r="A8126" s="1" t="s">
        <v>2030</v>
      </c>
    </row>
    <row r="8127" spans="1:7" x14ac:dyDescent="0.35">
      <c r="A8127" t="s">
        <v>219</v>
      </c>
      <c r="B8127" t="s">
        <v>301</v>
      </c>
      <c r="C8127" t="s">
        <v>299</v>
      </c>
      <c r="D8127" t="s">
        <v>298</v>
      </c>
      <c r="E8127" t="s">
        <v>277</v>
      </c>
      <c r="F8127" t="s">
        <v>2021</v>
      </c>
      <c r="G8127" t="s">
        <v>226</v>
      </c>
    </row>
    <row r="8128" spans="1:7" x14ac:dyDescent="0.35">
      <c r="A8128" t="s">
        <v>227</v>
      </c>
      <c r="B8128" t="s">
        <v>343</v>
      </c>
      <c r="C8128" s="2">
        <v>0.89480000000000004</v>
      </c>
      <c r="D8128" s="2">
        <v>8.2600000000000007E-2</v>
      </c>
      <c r="E8128" s="2">
        <v>2.2599999999999999E-2</v>
      </c>
      <c r="G8128">
        <v>392</v>
      </c>
    </row>
    <row r="8129" spans="1:7" x14ac:dyDescent="0.35">
      <c r="A8129" t="s">
        <v>227</v>
      </c>
      <c r="B8129" t="s">
        <v>344</v>
      </c>
      <c r="C8129" s="2">
        <v>0.89019999999999999</v>
      </c>
      <c r="D8129" s="2">
        <v>9.1600000000000001E-2</v>
      </c>
      <c r="E8129" s="2">
        <v>1.67E-2</v>
      </c>
      <c r="F8129" s="2">
        <v>1.4E-3</v>
      </c>
      <c r="G8129">
        <v>2367</v>
      </c>
    </row>
    <row r="8130" spans="1:7" x14ac:dyDescent="0.35">
      <c r="A8130" t="s">
        <v>228</v>
      </c>
      <c r="B8130" t="s">
        <v>228</v>
      </c>
      <c r="C8130" s="2">
        <v>0.89100000000000001</v>
      </c>
      <c r="D8130" s="2">
        <v>9.01E-2</v>
      </c>
      <c r="E8130" s="2">
        <v>1.77E-2</v>
      </c>
      <c r="F8130" s="2">
        <v>1.1999999999999999E-3</v>
      </c>
      <c r="G8130">
        <v>2759</v>
      </c>
    </row>
    <row r="8132" spans="1:7" x14ac:dyDescent="0.35">
      <c r="A8132" s="1" t="s">
        <v>2031</v>
      </c>
    </row>
    <row r="8133" spans="1:7" x14ac:dyDescent="0.35">
      <c r="A8133" t="s">
        <v>219</v>
      </c>
      <c r="B8133" t="s">
        <v>301</v>
      </c>
      <c r="C8133" t="s">
        <v>299</v>
      </c>
      <c r="D8133" t="s">
        <v>298</v>
      </c>
      <c r="E8133" t="s">
        <v>277</v>
      </c>
      <c r="F8133" t="s">
        <v>2021</v>
      </c>
      <c r="G8133" t="s">
        <v>226</v>
      </c>
    </row>
    <row r="8134" spans="1:7" x14ac:dyDescent="0.35">
      <c r="A8134" t="s">
        <v>227</v>
      </c>
      <c r="B8134" t="s">
        <v>346</v>
      </c>
      <c r="C8134" s="2">
        <v>0.89800000000000002</v>
      </c>
      <c r="D8134" s="2">
        <v>8.3299999999999999E-2</v>
      </c>
      <c r="E8134" s="2">
        <v>1.7399999999999999E-2</v>
      </c>
      <c r="F8134" s="2">
        <v>1.2999999999999999E-3</v>
      </c>
      <c r="G8134">
        <v>1440</v>
      </c>
    </row>
    <row r="8135" spans="1:7" x14ac:dyDescent="0.35">
      <c r="A8135" t="s">
        <v>227</v>
      </c>
      <c r="B8135" t="s">
        <v>347</v>
      </c>
      <c r="C8135" s="2">
        <v>0.85150000000000003</v>
      </c>
      <c r="D8135" s="2">
        <v>0.1234</v>
      </c>
      <c r="E8135" s="2">
        <v>2.5000000000000001E-2</v>
      </c>
      <c r="G8135">
        <v>572</v>
      </c>
    </row>
    <row r="8136" spans="1:7" x14ac:dyDescent="0.35">
      <c r="A8136" t="s">
        <v>227</v>
      </c>
      <c r="B8136" t="s">
        <v>348</v>
      </c>
      <c r="C8136" s="2">
        <v>0.84219999999999995</v>
      </c>
      <c r="D8136" s="2">
        <v>0.13969999999999999</v>
      </c>
      <c r="E8136" s="2">
        <v>1.8100000000000002E-2</v>
      </c>
      <c r="G8136">
        <v>747</v>
      </c>
    </row>
    <row r="8137" spans="1:7" x14ac:dyDescent="0.35">
      <c r="A8137" t="s">
        <v>228</v>
      </c>
      <c r="B8137" t="s">
        <v>228</v>
      </c>
      <c r="C8137" s="2">
        <v>0.89100000000000001</v>
      </c>
      <c r="D8137" s="2">
        <v>9.01E-2</v>
      </c>
      <c r="E8137" s="2">
        <v>1.77E-2</v>
      </c>
      <c r="F8137" s="2">
        <v>1.1999999999999999E-3</v>
      </c>
      <c r="G8137">
        <v>2759</v>
      </c>
    </row>
    <row r="8139" spans="1:7" x14ac:dyDescent="0.35">
      <c r="A8139" s="1" t="s">
        <v>2032</v>
      </c>
    </row>
    <row r="8140" spans="1:7" x14ac:dyDescent="0.35">
      <c r="A8140" t="s">
        <v>219</v>
      </c>
      <c r="B8140" t="s">
        <v>301</v>
      </c>
      <c r="C8140" t="s">
        <v>299</v>
      </c>
      <c r="D8140" t="s">
        <v>298</v>
      </c>
      <c r="E8140" t="s">
        <v>277</v>
      </c>
      <c r="F8140" t="s">
        <v>2021</v>
      </c>
      <c r="G8140" t="s">
        <v>226</v>
      </c>
    </row>
    <row r="8141" spans="1:7" x14ac:dyDescent="0.35">
      <c r="A8141" t="s">
        <v>227</v>
      </c>
      <c r="B8141" t="s">
        <v>251</v>
      </c>
      <c r="C8141" s="2">
        <v>0.88870000000000005</v>
      </c>
      <c r="D8141" s="2">
        <v>9.2700000000000005E-2</v>
      </c>
      <c r="E8141" s="2">
        <v>1.7000000000000001E-2</v>
      </c>
      <c r="F8141" s="2">
        <v>1.6000000000000001E-3</v>
      </c>
      <c r="G8141">
        <v>1991</v>
      </c>
    </row>
    <row r="8142" spans="1:7" x14ac:dyDescent="0.35">
      <c r="A8142" t="s">
        <v>227</v>
      </c>
      <c r="B8142" t="s">
        <v>252</v>
      </c>
      <c r="C8142" s="2">
        <v>0.90069999999999995</v>
      </c>
      <c r="D8142" s="2">
        <v>8.2400000000000001E-2</v>
      </c>
      <c r="E8142" s="2">
        <v>1.6899999999999998E-2</v>
      </c>
      <c r="G8142">
        <v>611</v>
      </c>
    </row>
    <row r="8143" spans="1:7" x14ac:dyDescent="0.35">
      <c r="A8143" t="s">
        <v>227</v>
      </c>
      <c r="B8143" t="s">
        <v>253</v>
      </c>
      <c r="C8143" s="2">
        <v>0.87790000000000001</v>
      </c>
      <c r="D8143" s="2">
        <v>9.0200000000000002E-2</v>
      </c>
      <c r="E8143" s="2">
        <v>3.1899999999999998E-2</v>
      </c>
      <c r="G8143">
        <v>148</v>
      </c>
    </row>
    <row r="8144" spans="1:7" x14ac:dyDescent="0.35">
      <c r="A8144" s="3" t="s">
        <v>227</v>
      </c>
      <c r="B8144" s="3" t="s">
        <v>254</v>
      </c>
      <c r="C8144" s="4">
        <v>0.94199999999999995</v>
      </c>
      <c r="D8144" s="4">
        <v>5.8000000000000003E-2</v>
      </c>
      <c r="E8144" s="5"/>
      <c r="F8144" s="5"/>
      <c r="G8144" s="5" t="s">
        <v>515</v>
      </c>
    </row>
    <row r="8145" spans="1:7" x14ac:dyDescent="0.35">
      <c r="A8145" t="s">
        <v>228</v>
      </c>
      <c r="B8145" t="s">
        <v>228</v>
      </c>
      <c r="C8145" s="2">
        <v>0.89100000000000001</v>
      </c>
      <c r="D8145" s="2">
        <v>9.01E-2</v>
      </c>
      <c r="E8145" s="2">
        <v>1.77E-2</v>
      </c>
      <c r="F8145" s="2">
        <v>1.1999999999999999E-3</v>
      </c>
      <c r="G8145">
        <v>2759</v>
      </c>
    </row>
    <row r="8147" spans="1:7" x14ac:dyDescent="0.35">
      <c r="A8147" s="1" t="s">
        <v>2033</v>
      </c>
    </row>
    <row r="8148" spans="1:7" x14ac:dyDescent="0.35">
      <c r="A8148" t="s">
        <v>219</v>
      </c>
      <c r="B8148" t="s">
        <v>298</v>
      </c>
      <c r="C8148" t="s">
        <v>299</v>
      </c>
      <c r="D8148" t="s">
        <v>277</v>
      </c>
      <c r="E8148" t="s">
        <v>2021</v>
      </c>
      <c r="F8148" t="s">
        <v>226</v>
      </c>
    </row>
    <row r="8149" spans="1:7" x14ac:dyDescent="0.35">
      <c r="A8149" t="s">
        <v>227</v>
      </c>
      <c r="B8149" s="2">
        <v>0.74629999999999996</v>
      </c>
      <c r="C8149" s="2">
        <v>0.25219999999999998</v>
      </c>
      <c r="D8149" s="2">
        <v>1E-3</v>
      </c>
      <c r="E8149" s="2">
        <v>5.0000000000000001E-4</v>
      </c>
      <c r="F8149">
        <v>2813</v>
      </c>
    </row>
    <row r="8150" spans="1:7" x14ac:dyDescent="0.35">
      <c r="A8150" t="s">
        <v>228</v>
      </c>
      <c r="B8150" s="2">
        <v>0.74629999999999996</v>
      </c>
      <c r="C8150" s="2">
        <v>0.25219999999999998</v>
      </c>
      <c r="D8150" s="2">
        <v>1E-3</v>
      </c>
      <c r="E8150" s="2">
        <v>5.0000000000000001E-4</v>
      </c>
      <c r="F8150">
        <v>2813</v>
      </c>
    </row>
    <row r="8152" spans="1:7" x14ac:dyDescent="0.35">
      <c r="A8152" s="1" t="s">
        <v>2034</v>
      </c>
    </row>
    <row r="8153" spans="1:7" x14ac:dyDescent="0.35">
      <c r="A8153" t="s">
        <v>219</v>
      </c>
      <c r="B8153" t="s">
        <v>301</v>
      </c>
      <c r="C8153" t="s">
        <v>298</v>
      </c>
      <c r="D8153" t="s">
        <v>299</v>
      </c>
      <c r="E8153" t="s">
        <v>277</v>
      </c>
      <c r="F8153" t="s">
        <v>2021</v>
      </c>
      <c r="G8153" t="s">
        <v>226</v>
      </c>
    </row>
    <row r="8154" spans="1:7" x14ac:dyDescent="0.35">
      <c r="A8154" t="s">
        <v>227</v>
      </c>
      <c r="B8154" t="s">
        <v>238</v>
      </c>
      <c r="C8154" s="2">
        <v>0.76290000000000002</v>
      </c>
      <c r="D8154" s="2">
        <v>0.23710000000000001</v>
      </c>
      <c r="G8154">
        <v>1005</v>
      </c>
    </row>
    <row r="8155" spans="1:7" x14ac:dyDescent="0.35">
      <c r="A8155" t="s">
        <v>227</v>
      </c>
      <c r="B8155" t="s">
        <v>237</v>
      </c>
      <c r="C8155" s="2">
        <v>0.73660000000000003</v>
      </c>
      <c r="D8155" s="2">
        <v>0.26100000000000001</v>
      </c>
      <c r="E8155" s="2">
        <v>1.6000000000000001E-3</v>
      </c>
      <c r="F8155" s="2">
        <v>6.9999999999999999E-4</v>
      </c>
      <c r="G8155">
        <v>1808</v>
      </c>
    </row>
    <row r="8156" spans="1:7" x14ac:dyDescent="0.35">
      <c r="A8156" t="s">
        <v>228</v>
      </c>
      <c r="B8156" t="s">
        <v>228</v>
      </c>
      <c r="C8156" s="2">
        <v>0.74629999999999996</v>
      </c>
      <c r="D8156" s="2">
        <v>0.25219999999999998</v>
      </c>
      <c r="E8156" s="2">
        <v>1E-3</v>
      </c>
      <c r="F8156" s="2">
        <v>5.0000000000000001E-4</v>
      </c>
      <c r="G8156">
        <v>2813</v>
      </c>
    </row>
    <row r="8158" spans="1:7" x14ac:dyDescent="0.35">
      <c r="A8158" s="1" t="s">
        <v>2035</v>
      </c>
    </row>
    <row r="8159" spans="1:7" x14ac:dyDescent="0.35">
      <c r="A8159" t="s">
        <v>219</v>
      </c>
      <c r="B8159" t="s">
        <v>301</v>
      </c>
      <c r="C8159" t="s">
        <v>298</v>
      </c>
      <c r="D8159" t="s">
        <v>299</v>
      </c>
      <c r="E8159" t="s">
        <v>277</v>
      </c>
      <c r="F8159" t="s">
        <v>2021</v>
      </c>
      <c r="G8159" t="s">
        <v>226</v>
      </c>
    </row>
    <row r="8160" spans="1:7" x14ac:dyDescent="0.35">
      <c r="A8160" t="s">
        <v>227</v>
      </c>
      <c r="B8160" t="s">
        <v>235</v>
      </c>
      <c r="C8160" s="2">
        <v>0.73670000000000002</v>
      </c>
      <c r="D8160" s="2">
        <v>0.26169999999999999</v>
      </c>
      <c r="E8160" s="2">
        <v>2.9999999999999997E-4</v>
      </c>
      <c r="F8160" s="2">
        <v>1.1999999999999999E-3</v>
      </c>
      <c r="G8160">
        <v>992</v>
      </c>
    </row>
    <row r="8161" spans="1:7" x14ac:dyDescent="0.35">
      <c r="A8161" t="s">
        <v>227</v>
      </c>
      <c r="B8161" t="s">
        <v>234</v>
      </c>
      <c r="C8161" s="2">
        <v>0.75029999999999997</v>
      </c>
      <c r="D8161" s="2">
        <v>0.2482</v>
      </c>
      <c r="E8161" s="2">
        <v>1.2999999999999999E-3</v>
      </c>
      <c r="F8161" s="2">
        <v>1E-4</v>
      </c>
      <c r="G8161">
        <v>1821</v>
      </c>
    </row>
    <row r="8162" spans="1:7" x14ac:dyDescent="0.35">
      <c r="A8162" t="s">
        <v>228</v>
      </c>
      <c r="B8162" t="s">
        <v>228</v>
      </c>
      <c r="C8162" s="2">
        <v>0.74629999999999996</v>
      </c>
      <c r="D8162" s="2">
        <v>0.25219999999999998</v>
      </c>
      <c r="E8162" s="2">
        <v>1E-3</v>
      </c>
      <c r="F8162" s="2">
        <v>5.0000000000000001E-4</v>
      </c>
      <c r="G8162">
        <v>2813</v>
      </c>
    </row>
    <row r="8164" spans="1:7" x14ac:dyDescent="0.35">
      <c r="A8164" s="1" t="s">
        <v>2036</v>
      </c>
    </row>
    <row r="8165" spans="1:7" x14ac:dyDescent="0.35">
      <c r="A8165" t="s">
        <v>219</v>
      </c>
      <c r="B8165" t="s">
        <v>301</v>
      </c>
      <c r="C8165" t="s">
        <v>298</v>
      </c>
      <c r="D8165" t="s">
        <v>299</v>
      </c>
      <c r="E8165" t="s">
        <v>277</v>
      </c>
      <c r="F8165" t="s">
        <v>2021</v>
      </c>
      <c r="G8165" t="s">
        <v>226</v>
      </c>
    </row>
    <row r="8166" spans="1:7" x14ac:dyDescent="0.35">
      <c r="A8166" t="s">
        <v>227</v>
      </c>
      <c r="B8166" t="s">
        <v>240</v>
      </c>
      <c r="C8166" s="2">
        <v>0.72789999999999999</v>
      </c>
      <c r="D8166" s="2">
        <v>0.26979999999999998</v>
      </c>
      <c r="E8166" s="2">
        <v>1.6000000000000001E-3</v>
      </c>
      <c r="F8166" s="2">
        <v>6.9999999999999999E-4</v>
      </c>
      <c r="G8166">
        <v>1756</v>
      </c>
    </row>
    <row r="8167" spans="1:7" x14ac:dyDescent="0.35">
      <c r="A8167" t="s">
        <v>227</v>
      </c>
      <c r="B8167" t="s">
        <v>241</v>
      </c>
      <c r="C8167" s="2">
        <v>0.78959999999999997</v>
      </c>
      <c r="D8167" s="2">
        <v>0.2104</v>
      </c>
      <c r="G8167">
        <v>891</v>
      </c>
    </row>
    <row r="8168" spans="1:7" x14ac:dyDescent="0.35">
      <c r="A8168" t="s">
        <v>227</v>
      </c>
      <c r="B8168" t="s">
        <v>242</v>
      </c>
      <c r="C8168" s="2">
        <v>0.73170000000000002</v>
      </c>
      <c r="D8168" s="2">
        <v>0.26829999999999998</v>
      </c>
      <c r="G8168">
        <v>166</v>
      </c>
    </row>
    <row r="8169" spans="1:7" x14ac:dyDescent="0.35">
      <c r="A8169" t="s">
        <v>228</v>
      </c>
      <c r="B8169" t="s">
        <v>228</v>
      </c>
      <c r="C8169" s="2">
        <v>0.74629999999999996</v>
      </c>
      <c r="D8169" s="2">
        <v>0.25219999999999998</v>
      </c>
      <c r="E8169" s="2">
        <v>1E-3</v>
      </c>
      <c r="F8169" s="2">
        <v>5.0000000000000001E-4</v>
      </c>
      <c r="G8169">
        <v>2813</v>
      </c>
    </row>
    <row r="8171" spans="1:7" x14ac:dyDescent="0.35">
      <c r="A8171" s="1" t="s">
        <v>2037</v>
      </c>
    </row>
    <row r="8172" spans="1:7" x14ac:dyDescent="0.35">
      <c r="A8172" t="s">
        <v>219</v>
      </c>
      <c r="B8172" t="s">
        <v>301</v>
      </c>
      <c r="C8172" t="s">
        <v>298</v>
      </c>
      <c r="D8172" t="s">
        <v>299</v>
      </c>
      <c r="E8172" t="s">
        <v>277</v>
      </c>
      <c r="F8172" t="s">
        <v>2021</v>
      </c>
      <c r="G8172" t="s">
        <v>226</v>
      </c>
    </row>
    <row r="8173" spans="1:7" x14ac:dyDescent="0.35">
      <c r="A8173" t="s">
        <v>227</v>
      </c>
      <c r="B8173" t="s">
        <v>334</v>
      </c>
      <c r="C8173" s="2">
        <v>0.75600000000000001</v>
      </c>
      <c r="D8173" s="2">
        <v>0.24310000000000001</v>
      </c>
      <c r="F8173" s="2">
        <v>8.9999999999999998E-4</v>
      </c>
      <c r="G8173">
        <v>625</v>
      </c>
    </row>
    <row r="8174" spans="1:7" x14ac:dyDescent="0.35">
      <c r="A8174" t="s">
        <v>227</v>
      </c>
      <c r="B8174" t="s">
        <v>335</v>
      </c>
      <c r="C8174" s="2">
        <v>0.76359999999999995</v>
      </c>
      <c r="D8174" s="2">
        <v>0.23319999999999999</v>
      </c>
      <c r="E8174" s="2">
        <v>3.2000000000000002E-3</v>
      </c>
      <c r="G8174">
        <v>628</v>
      </c>
    </row>
    <row r="8175" spans="1:7" x14ac:dyDescent="0.35">
      <c r="A8175" t="s">
        <v>227</v>
      </c>
      <c r="B8175" t="s">
        <v>336</v>
      </c>
      <c r="C8175" s="2">
        <v>0.71179999999999999</v>
      </c>
      <c r="D8175" s="2">
        <v>0.28820000000000001</v>
      </c>
      <c r="G8175">
        <v>621</v>
      </c>
    </row>
    <row r="8176" spans="1:7" x14ac:dyDescent="0.35">
      <c r="A8176" t="s">
        <v>227</v>
      </c>
      <c r="B8176" t="s">
        <v>337</v>
      </c>
      <c r="C8176" s="2">
        <v>0.75090000000000001</v>
      </c>
      <c r="D8176" s="2">
        <v>0.24879999999999999</v>
      </c>
      <c r="F8176" s="2">
        <v>2.9999999999999997E-4</v>
      </c>
      <c r="G8176">
        <v>602</v>
      </c>
    </row>
    <row r="8177" spans="1:7" x14ac:dyDescent="0.35">
      <c r="A8177" t="s">
        <v>228</v>
      </c>
      <c r="B8177" t="s">
        <v>228</v>
      </c>
      <c r="C8177" s="2">
        <v>0.74629999999999996</v>
      </c>
      <c r="D8177" s="2">
        <v>0.25219999999999998</v>
      </c>
      <c r="E8177" s="2">
        <v>1E-3</v>
      </c>
      <c r="F8177" s="2">
        <v>5.0000000000000001E-4</v>
      </c>
      <c r="G8177">
        <v>2476</v>
      </c>
    </row>
    <row r="8179" spans="1:7" x14ac:dyDescent="0.35">
      <c r="A8179" s="1" t="s">
        <v>2038</v>
      </c>
    </row>
    <row r="8180" spans="1:7" x14ac:dyDescent="0.35">
      <c r="A8180" t="s">
        <v>219</v>
      </c>
      <c r="B8180" t="s">
        <v>301</v>
      </c>
      <c r="C8180" t="s">
        <v>298</v>
      </c>
      <c r="D8180" t="s">
        <v>299</v>
      </c>
      <c r="E8180" t="s">
        <v>277</v>
      </c>
      <c r="F8180" t="s">
        <v>2021</v>
      </c>
      <c r="G8180" t="s">
        <v>226</v>
      </c>
    </row>
    <row r="8181" spans="1:7" x14ac:dyDescent="0.35">
      <c r="A8181" t="s">
        <v>227</v>
      </c>
      <c r="B8181" t="s">
        <v>263</v>
      </c>
      <c r="C8181" s="2">
        <v>0.77500000000000002</v>
      </c>
      <c r="D8181" s="2">
        <v>0.22459999999999999</v>
      </c>
      <c r="E8181" s="2">
        <v>4.0000000000000002E-4</v>
      </c>
      <c r="G8181">
        <v>589</v>
      </c>
    </row>
    <row r="8182" spans="1:7" x14ac:dyDescent="0.35">
      <c r="A8182" t="s">
        <v>227</v>
      </c>
      <c r="B8182" t="s">
        <v>262</v>
      </c>
      <c r="C8182" s="2">
        <v>0.73850000000000005</v>
      </c>
      <c r="D8182" s="2">
        <v>0.25869999999999999</v>
      </c>
      <c r="E8182" s="2">
        <v>2.5999999999999999E-3</v>
      </c>
      <c r="F8182" s="2">
        <v>2.9999999999999997E-4</v>
      </c>
      <c r="G8182">
        <v>1160</v>
      </c>
    </row>
    <row r="8183" spans="1:7" x14ac:dyDescent="0.35">
      <c r="A8183" t="s">
        <v>227</v>
      </c>
      <c r="B8183" t="s">
        <v>261</v>
      </c>
      <c r="C8183" s="2">
        <v>0.73829999999999996</v>
      </c>
      <c r="D8183" s="2">
        <v>0.26090000000000002</v>
      </c>
      <c r="F8183" s="2">
        <v>8.0000000000000004E-4</v>
      </c>
      <c r="G8183">
        <v>1062</v>
      </c>
    </row>
    <row r="8184" spans="1:7" x14ac:dyDescent="0.35">
      <c r="A8184" s="3" t="s">
        <v>227</v>
      </c>
      <c r="B8184" s="3" t="s">
        <v>232</v>
      </c>
      <c r="C8184" s="4">
        <v>1</v>
      </c>
      <c r="D8184" s="5"/>
      <c r="E8184" s="5"/>
      <c r="F8184" s="5"/>
      <c r="G8184" s="5" t="s">
        <v>434</v>
      </c>
    </row>
    <row r="8185" spans="1:7" x14ac:dyDescent="0.35">
      <c r="A8185" t="s">
        <v>228</v>
      </c>
      <c r="B8185" t="s">
        <v>228</v>
      </c>
      <c r="C8185" s="2">
        <v>0.74629999999999996</v>
      </c>
      <c r="D8185" s="2">
        <v>0.25219999999999998</v>
      </c>
      <c r="E8185" s="2">
        <v>1E-3</v>
      </c>
      <c r="F8185" s="2">
        <v>5.0000000000000001E-4</v>
      </c>
      <c r="G8185">
        <v>2813</v>
      </c>
    </row>
    <row r="8187" spans="1:7" x14ac:dyDescent="0.35">
      <c r="A8187" s="1" t="s">
        <v>2039</v>
      </c>
    </row>
    <row r="8188" spans="1:7" x14ac:dyDescent="0.35">
      <c r="A8188" t="s">
        <v>219</v>
      </c>
      <c r="B8188" t="s">
        <v>301</v>
      </c>
      <c r="C8188" t="s">
        <v>298</v>
      </c>
      <c r="D8188" t="s">
        <v>299</v>
      </c>
      <c r="E8188" t="s">
        <v>277</v>
      </c>
      <c r="F8188" t="s">
        <v>2021</v>
      </c>
      <c r="G8188" t="s">
        <v>226</v>
      </c>
    </row>
    <row r="8189" spans="1:7" x14ac:dyDescent="0.35">
      <c r="A8189" t="s">
        <v>227</v>
      </c>
      <c r="B8189" t="s">
        <v>248</v>
      </c>
      <c r="C8189" s="2">
        <v>0.75729999999999997</v>
      </c>
      <c r="D8189" s="2">
        <v>0.2427</v>
      </c>
      <c r="G8189">
        <v>796</v>
      </c>
    </row>
    <row r="8190" spans="1:7" x14ac:dyDescent="0.35">
      <c r="A8190" t="s">
        <v>227</v>
      </c>
      <c r="B8190" t="s">
        <v>249</v>
      </c>
      <c r="C8190" s="2">
        <v>0.73509999999999998</v>
      </c>
      <c r="D8190" s="2">
        <v>0.26300000000000001</v>
      </c>
      <c r="F8190" s="2">
        <v>1.9E-3</v>
      </c>
      <c r="G8190">
        <v>541</v>
      </c>
    </row>
    <row r="8191" spans="1:7" x14ac:dyDescent="0.35">
      <c r="A8191" t="s">
        <v>227</v>
      </c>
      <c r="B8191" t="s">
        <v>247</v>
      </c>
      <c r="C8191" s="2">
        <v>0.74470000000000003</v>
      </c>
      <c r="D8191" s="2">
        <v>0.25319999999999998</v>
      </c>
      <c r="E8191" s="2">
        <v>1.9E-3</v>
      </c>
      <c r="F8191" s="2">
        <v>2.0000000000000001E-4</v>
      </c>
      <c r="G8191">
        <v>1476</v>
      </c>
    </row>
    <row r="8192" spans="1:7" x14ac:dyDescent="0.35">
      <c r="A8192" t="s">
        <v>228</v>
      </c>
      <c r="B8192" t="s">
        <v>228</v>
      </c>
      <c r="C8192" s="2">
        <v>0.74629999999999996</v>
      </c>
      <c r="D8192" s="2">
        <v>0.25219999999999998</v>
      </c>
      <c r="E8192" s="2">
        <v>1E-3</v>
      </c>
      <c r="F8192" s="2">
        <v>5.0000000000000001E-4</v>
      </c>
      <c r="G8192">
        <v>2813</v>
      </c>
    </row>
    <row r="8194" spans="1:7" x14ac:dyDescent="0.35">
      <c r="A8194" s="1" t="s">
        <v>2040</v>
      </c>
    </row>
    <row r="8195" spans="1:7" x14ac:dyDescent="0.35">
      <c r="A8195" t="s">
        <v>219</v>
      </c>
      <c r="B8195" t="s">
        <v>301</v>
      </c>
      <c r="C8195" t="s">
        <v>298</v>
      </c>
      <c r="D8195" t="s">
        <v>299</v>
      </c>
      <c r="E8195" t="s">
        <v>277</v>
      </c>
      <c r="F8195" t="s">
        <v>2021</v>
      </c>
      <c r="G8195" t="s">
        <v>226</v>
      </c>
    </row>
    <row r="8196" spans="1:7" x14ac:dyDescent="0.35">
      <c r="A8196" t="s">
        <v>227</v>
      </c>
      <c r="B8196" t="s">
        <v>245</v>
      </c>
      <c r="C8196" s="2">
        <v>0.73919999999999997</v>
      </c>
      <c r="D8196" s="2">
        <v>0.26079999999999998</v>
      </c>
      <c r="G8196">
        <v>783</v>
      </c>
    </row>
    <row r="8197" spans="1:7" x14ac:dyDescent="0.35">
      <c r="A8197" t="s">
        <v>227</v>
      </c>
      <c r="B8197" t="s">
        <v>244</v>
      </c>
      <c r="C8197" s="2">
        <v>0.74909999999999999</v>
      </c>
      <c r="D8197" s="2">
        <v>0.24879999999999999</v>
      </c>
      <c r="E8197" s="2">
        <v>1.4E-3</v>
      </c>
      <c r="F8197" s="2">
        <v>5.9999999999999995E-4</v>
      </c>
      <c r="G8197">
        <v>2030</v>
      </c>
    </row>
    <row r="8198" spans="1:7" x14ac:dyDescent="0.35">
      <c r="A8198" t="s">
        <v>228</v>
      </c>
      <c r="B8198" t="s">
        <v>228</v>
      </c>
      <c r="C8198" s="2">
        <v>0.74629999999999996</v>
      </c>
      <c r="D8198" s="2">
        <v>0.25219999999999998</v>
      </c>
      <c r="E8198" s="2">
        <v>1E-3</v>
      </c>
      <c r="F8198" s="2">
        <v>5.0000000000000001E-4</v>
      </c>
      <c r="G8198">
        <v>2813</v>
      </c>
    </row>
    <row r="8200" spans="1:7" x14ac:dyDescent="0.35">
      <c r="A8200" s="1" t="s">
        <v>2041</v>
      </c>
    </row>
    <row r="8201" spans="1:7" x14ac:dyDescent="0.35">
      <c r="A8201" t="s">
        <v>219</v>
      </c>
      <c r="B8201" t="s">
        <v>301</v>
      </c>
      <c r="C8201" t="s">
        <v>298</v>
      </c>
      <c r="D8201" t="s">
        <v>299</v>
      </c>
      <c r="E8201" t="s">
        <v>277</v>
      </c>
      <c r="F8201" t="s">
        <v>2021</v>
      </c>
      <c r="G8201" t="s">
        <v>226</v>
      </c>
    </row>
    <row r="8202" spans="1:7" x14ac:dyDescent="0.35">
      <c r="A8202" t="s">
        <v>227</v>
      </c>
      <c r="B8202" t="s">
        <v>259</v>
      </c>
      <c r="C8202" s="2">
        <v>0.70730000000000004</v>
      </c>
      <c r="D8202" s="2">
        <v>0.23269999999999999</v>
      </c>
      <c r="E8202" s="2">
        <v>5.5800000000000002E-2</v>
      </c>
      <c r="F8202" s="2">
        <v>4.1000000000000003E-3</v>
      </c>
      <c r="G8202">
        <v>69</v>
      </c>
    </row>
    <row r="8203" spans="1:7" x14ac:dyDescent="0.35">
      <c r="A8203" t="s">
        <v>227</v>
      </c>
      <c r="B8203" t="s">
        <v>257</v>
      </c>
      <c r="C8203" s="2">
        <v>0.83389999999999997</v>
      </c>
      <c r="D8203" s="2">
        <v>0.16550000000000001</v>
      </c>
      <c r="F8203" s="2">
        <v>5.9999999999999995E-4</v>
      </c>
      <c r="G8203">
        <v>405</v>
      </c>
    </row>
    <row r="8204" spans="1:7" x14ac:dyDescent="0.35">
      <c r="A8204" t="s">
        <v>227</v>
      </c>
      <c r="B8204" t="s">
        <v>256</v>
      </c>
      <c r="C8204" s="2">
        <v>0.73029999999999995</v>
      </c>
      <c r="D8204" s="2">
        <v>0.26939999999999997</v>
      </c>
      <c r="F8204" s="2">
        <v>2.9999999999999997E-4</v>
      </c>
      <c r="G8204">
        <v>1803</v>
      </c>
    </row>
    <row r="8205" spans="1:7" x14ac:dyDescent="0.35">
      <c r="A8205" s="3" t="s">
        <v>227</v>
      </c>
      <c r="B8205" s="3" t="s">
        <v>232</v>
      </c>
      <c r="C8205" s="4">
        <v>0.55459999999999998</v>
      </c>
      <c r="D8205" s="4">
        <v>0.44540000000000002</v>
      </c>
      <c r="E8205" s="5"/>
      <c r="F8205" s="5"/>
      <c r="G8205" s="5" t="s">
        <v>307</v>
      </c>
    </row>
    <row r="8206" spans="1:7" x14ac:dyDescent="0.35">
      <c r="A8206" t="s">
        <v>227</v>
      </c>
      <c r="B8206" t="s">
        <v>258</v>
      </c>
      <c r="C8206" s="2">
        <v>0.72519999999999996</v>
      </c>
      <c r="D8206" s="2">
        <v>0.27360000000000001</v>
      </c>
      <c r="E8206" s="2">
        <v>5.9999999999999995E-4</v>
      </c>
      <c r="F8206" s="2">
        <v>5.9999999999999995E-4</v>
      </c>
      <c r="G8206">
        <v>525</v>
      </c>
    </row>
    <row r="8207" spans="1:7" x14ac:dyDescent="0.35">
      <c r="A8207" t="s">
        <v>228</v>
      </c>
      <c r="B8207" t="s">
        <v>228</v>
      </c>
      <c r="C8207" s="2">
        <v>0.74629999999999996</v>
      </c>
      <c r="D8207" s="2">
        <v>0.25219999999999998</v>
      </c>
      <c r="E8207" s="2">
        <v>1E-3</v>
      </c>
      <c r="F8207" s="2">
        <v>5.0000000000000001E-4</v>
      </c>
      <c r="G8207">
        <v>2813</v>
      </c>
    </row>
    <row r="8209" spans="1:7" x14ac:dyDescent="0.35">
      <c r="A8209" s="1" t="s">
        <v>2042</v>
      </c>
    </row>
    <row r="8210" spans="1:7" x14ac:dyDescent="0.35">
      <c r="A8210" t="s">
        <v>219</v>
      </c>
      <c r="B8210" t="s">
        <v>301</v>
      </c>
      <c r="C8210" t="s">
        <v>298</v>
      </c>
      <c r="D8210" t="s">
        <v>299</v>
      </c>
      <c r="E8210" t="s">
        <v>277</v>
      </c>
      <c r="F8210" t="s">
        <v>2021</v>
      </c>
      <c r="G8210" t="s">
        <v>226</v>
      </c>
    </row>
    <row r="8211" spans="1:7" x14ac:dyDescent="0.35">
      <c r="A8211" t="s">
        <v>227</v>
      </c>
      <c r="B8211" t="s">
        <v>343</v>
      </c>
      <c r="C8211" s="2">
        <v>0.83389999999999997</v>
      </c>
      <c r="D8211" s="2">
        <v>0.16550000000000001</v>
      </c>
      <c r="F8211" s="2">
        <v>5.9999999999999995E-4</v>
      </c>
      <c r="G8211">
        <v>405</v>
      </c>
    </row>
    <row r="8212" spans="1:7" x14ac:dyDescent="0.35">
      <c r="A8212" t="s">
        <v>227</v>
      </c>
      <c r="B8212" t="s">
        <v>344</v>
      </c>
      <c r="C8212" s="2">
        <v>0.72850000000000004</v>
      </c>
      <c r="D8212" s="2">
        <v>0.26979999999999998</v>
      </c>
      <c r="E8212" s="2">
        <v>1.1999999999999999E-3</v>
      </c>
      <c r="F8212" s="2">
        <v>4.0000000000000002E-4</v>
      </c>
      <c r="G8212">
        <v>2408</v>
      </c>
    </row>
    <row r="8213" spans="1:7" x14ac:dyDescent="0.35">
      <c r="A8213" t="s">
        <v>228</v>
      </c>
      <c r="B8213" t="s">
        <v>228</v>
      </c>
      <c r="C8213" s="2">
        <v>0.74629999999999996</v>
      </c>
      <c r="D8213" s="2">
        <v>0.25219999999999998</v>
      </c>
      <c r="E8213" s="2">
        <v>1E-3</v>
      </c>
      <c r="F8213" s="2">
        <v>5.0000000000000001E-4</v>
      </c>
      <c r="G8213">
        <v>2813</v>
      </c>
    </row>
    <row r="8215" spans="1:7" x14ac:dyDescent="0.35">
      <c r="A8215" s="1" t="s">
        <v>2043</v>
      </c>
    </row>
    <row r="8216" spans="1:7" x14ac:dyDescent="0.35">
      <c r="A8216" t="s">
        <v>219</v>
      </c>
      <c r="B8216" t="s">
        <v>301</v>
      </c>
      <c r="C8216" t="s">
        <v>298</v>
      </c>
      <c r="D8216" t="s">
        <v>299</v>
      </c>
      <c r="E8216" t="s">
        <v>277</v>
      </c>
      <c r="F8216" t="s">
        <v>2021</v>
      </c>
      <c r="G8216" t="s">
        <v>226</v>
      </c>
    </row>
    <row r="8217" spans="1:7" x14ac:dyDescent="0.35">
      <c r="A8217" t="s">
        <v>227</v>
      </c>
      <c r="B8217" t="s">
        <v>346</v>
      </c>
      <c r="C8217" s="2">
        <v>0.74790000000000001</v>
      </c>
      <c r="D8217" s="2">
        <v>0.25059999999999999</v>
      </c>
      <c r="E8217" s="2">
        <v>1.1999999999999999E-3</v>
      </c>
      <c r="F8217" s="2">
        <v>2.9999999999999997E-4</v>
      </c>
      <c r="G8217">
        <v>1463</v>
      </c>
    </row>
    <row r="8218" spans="1:7" x14ac:dyDescent="0.35">
      <c r="A8218" t="s">
        <v>227</v>
      </c>
      <c r="B8218" t="s">
        <v>347</v>
      </c>
      <c r="C8218" s="2">
        <v>0.72419999999999995</v>
      </c>
      <c r="D8218" s="2">
        <v>0.2732</v>
      </c>
      <c r="F8218" s="2">
        <v>2.5999999999999999E-3</v>
      </c>
      <c r="G8218">
        <v>585</v>
      </c>
    </row>
    <row r="8219" spans="1:7" x14ac:dyDescent="0.35">
      <c r="A8219" t="s">
        <v>227</v>
      </c>
      <c r="B8219" t="s">
        <v>348</v>
      </c>
      <c r="C8219" s="2">
        <v>0.73980000000000001</v>
      </c>
      <c r="D8219" s="2">
        <v>0.2591</v>
      </c>
      <c r="F8219" s="2">
        <v>1.1000000000000001E-3</v>
      </c>
      <c r="G8219">
        <v>765</v>
      </c>
    </row>
    <row r="8220" spans="1:7" x14ac:dyDescent="0.35">
      <c r="A8220" t="s">
        <v>228</v>
      </c>
      <c r="B8220" t="s">
        <v>228</v>
      </c>
      <c r="C8220" s="2">
        <v>0.74629999999999996</v>
      </c>
      <c r="D8220" s="2">
        <v>0.25219999999999998</v>
      </c>
      <c r="E8220" s="2">
        <v>1E-3</v>
      </c>
      <c r="F8220" s="2">
        <v>5.0000000000000001E-4</v>
      </c>
      <c r="G8220">
        <v>2813</v>
      </c>
    </row>
    <row r="8222" spans="1:7" x14ac:dyDescent="0.35">
      <c r="A8222" s="1" t="s">
        <v>2044</v>
      </c>
    </row>
    <row r="8223" spans="1:7" x14ac:dyDescent="0.35">
      <c r="A8223" t="s">
        <v>219</v>
      </c>
      <c r="B8223" t="s">
        <v>301</v>
      </c>
      <c r="C8223" t="s">
        <v>298</v>
      </c>
      <c r="D8223" t="s">
        <v>299</v>
      </c>
      <c r="E8223" t="s">
        <v>277</v>
      </c>
      <c r="F8223" t="s">
        <v>2021</v>
      </c>
      <c r="G8223" t="s">
        <v>226</v>
      </c>
    </row>
    <row r="8224" spans="1:7" x14ac:dyDescent="0.35">
      <c r="A8224" t="s">
        <v>227</v>
      </c>
      <c r="B8224" t="s">
        <v>251</v>
      </c>
      <c r="C8224" s="2">
        <v>0.74909999999999999</v>
      </c>
      <c r="D8224" s="2">
        <v>0.24879999999999999</v>
      </c>
      <c r="E8224" s="2">
        <v>1.4E-3</v>
      </c>
      <c r="F8224" s="2">
        <v>5.9999999999999995E-4</v>
      </c>
      <c r="G8224">
        <v>2030</v>
      </c>
    </row>
    <row r="8225" spans="1:10" x14ac:dyDescent="0.35">
      <c r="A8225" t="s">
        <v>227</v>
      </c>
      <c r="B8225" t="s">
        <v>252</v>
      </c>
      <c r="C8225" s="2">
        <v>0.73029999999999995</v>
      </c>
      <c r="D8225" s="2">
        <v>0.2697</v>
      </c>
      <c r="G8225">
        <v>621</v>
      </c>
    </row>
    <row r="8226" spans="1:10" x14ac:dyDescent="0.35">
      <c r="A8226" t="s">
        <v>227</v>
      </c>
      <c r="B8226" t="s">
        <v>253</v>
      </c>
      <c r="C8226" s="2">
        <v>0.76880000000000004</v>
      </c>
      <c r="D8226" s="2">
        <v>0.23119999999999999</v>
      </c>
      <c r="G8226">
        <v>153</v>
      </c>
    </row>
    <row r="8227" spans="1:10" x14ac:dyDescent="0.35">
      <c r="A8227" s="3" t="s">
        <v>227</v>
      </c>
      <c r="B8227" s="3" t="s">
        <v>254</v>
      </c>
      <c r="C8227" s="4">
        <v>1</v>
      </c>
      <c r="D8227" s="5"/>
      <c r="E8227" s="5"/>
      <c r="F8227" s="5"/>
      <c r="G8227" s="5" t="s">
        <v>515</v>
      </c>
    </row>
    <row r="8228" spans="1:10" x14ac:dyDescent="0.35">
      <c r="A8228" t="s">
        <v>228</v>
      </c>
      <c r="B8228" t="s">
        <v>228</v>
      </c>
      <c r="C8228" s="2">
        <v>0.74629999999999996</v>
      </c>
      <c r="D8228" s="2">
        <v>0.25219999999999998</v>
      </c>
      <c r="E8228" s="2">
        <v>1E-3</v>
      </c>
      <c r="F8228" s="2">
        <v>5.0000000000000001E-4</v>
      </c>
      <c r="G8228">
        <v>2813</v>
      </c>
    </row>
    <row r="8230" spans="1:10" x14ac:dyDescent="0.35">
      <c r="A8230" s="1" t="s">
        <v>2045</v>
      </c>
    </row>
    <row r="8231" spans="1:10" x14ac:dyDescent="0.35">
      <c r="A8231" t="s">
        <v>219</v>
      </c>
      <c r="B8231" t="s">
        <v>2046</v>
      </c>
      <c r="C8231" t="s">
        <v>2047</v>
      </c>
      <c r="D8231" t="s">
        <v>2048</v>
      </c>
      <c r="E8231" t="s">
        <v>2049</v>
      </c>
      <c r="F8231" t="s">
        <v>2050</v>
      </c>
      <c r="G8231" t="s">
        <v>277</v>
      </c>
      <c r="H8231" t="s">
        <v>282</v>
      </c>
      <c r="I8231" t="s">
        <v>226</v>
      </c>
    </row>
    <row r="8232" spans="1:10" x14ac:dyDescent="0.35">
      <c r="A8232" t="s">
        <v>227</v>
      </c>
      <c r="B8232" s="2">
        <v>0.91830000000000001</v>
      </c>
      <c r="C8232" s="2">
        <v>5.1200000000000002E-2</v>
      </c>
      <c r="D8232" s="2">
        <v>2.1100000000000001E-2</v>
      </c>
      <c r="E8232" s="2">
        <v>3.7000000000000002E-3</v>
      </c>
      <c r="F8232" s="2">
        <v>3.2000000000000002E-3</v>
      </c>
      <c r="G8232" s="2">
        <v>2.0999999999999999E-3</v>
      </c>
      <c r="H8232" s="2">
        <v>4.0000000000000002E-4</v>
      </c>
      <c r="I8232">
        <v>2813</v>
      </c>
    </row>
    <row r="8233" spans="1:10" x14ac:dyDescent="0.35">
      <c r="A8233" t="s">
        <v>228</v>
      </c>
      <c r="B8233" s="2">
        <v>0.91830000000000001</v>
      </c>
      <c r="C8233" s="2">
        <v>5.1200000000000002E-2</v>
      </c>
      <c r="D8233" s="2">
        <v>2.1100000000000001E-2</v>
      </c>
      <c r="E8233" s="2">
        <v>3.7000000000000002E-3</v>
      </c>
      <c r="F8233" s="2">
        <v>3.2000000000000002E-3</v>
      </c>
      <c r="G8233" s="2">
        <v>2.0999999999999999E-3</v>
      </c>
      <c r="H8233" s="2">
        <v>4.0000000000000002E-4</v>
      </c>
      <c r="I8233">
        <v>2813</v>
      </c>
    </row>
    <row r="8235" spans="1:10" x14ac:dyDescent="0.35">
      <c r="A8235" s="1" t="s">
        <v>2051</v>
      </c>
    </row>
    <row r="8236" spans="1:10" x14ac:dyDescent="0.35">
      <c r="A8236" t="s">
        <v>219</v>
      </c>
      <c r="B8236" t="s">
        <v>301</v>
      </c>
      <c r="C8236" t="s">
        <v>2046</v>
      </c>
      <c r="D8236" t="s">
        <v>2047</v>
      </c>
      <c r="E8236" t="s">
        <v>2048</v>
      </c>
      <c r="F8236" t="s">
        <v>2049</v>
      </c>
      <c r="G8236" t="s">
        <v>2050</v>
      </c>
      <c r="H8236" t="s">
        <v>277</v>
      </c>
      <c r="I8236" t="s">
        <v>282</v>
      </c>
      <c r="J8236" t="s">
        <v>226</v>
      </c>
    </row>
    <row r="8237" spans="1:10" x14ac:dyDescent="0.35">
      <c r="A8237" t="s">
        <v>227</v>
      </c>
      <c r="B8237" t="s">
        <v>238</v>
      </c>
      <c r="C8237" s="2">
        <v>0.89549999999999996</v>
      </c>
      <c r="D8237" s="2">
        <v>6.25E-2</v>
      </c>
      <c r="E8237" s="2">
        <v>2.7799999999999998E-2</v>
      </c>
      <c r="F8237" s="2">
        <v>7.3000000000000001E-3</v>
      </c>
      <c r="G8237" s="2">
        <v>4.0000000000000001E-3</v>
      </c>
      <c r="H8237" s="2">
        <v>2.8999999999999998E-3</v>
      </c>
      <c r="J8237">
        <v>1005</v>
      </c>
    </row>
    <row r="8238" spans="1:10" x14ac:dyDescent="0.35">
      <c r="A8238" t="s">
        <v>227</v>
      </c>
      <c r="B8238" t="s">
        <v>237</v>
      </c>
      <c r="C8238" s="2">
        <v>0.93159999999999998</v>
      </c>
      <c r="D8238" s="2">
        <v>4.4699999999999997E-2</v>
      </c>
      <c r="E8238" s="2">
        <v>1.72E-2</v>
      </c>
      <c r="F8238" s="2">
        <v>1.6000000000000001E-3</v>
      </c>
      <c r="G8238" s="2">
        <v>2.8E-3</v>
      </c>
      <c r="H8238" s="2">
        <v>1.6000000000000001E-3</v>
      </c>
      <c r="I8238" s="2">
        <v>5.9999999999999995E-4</v>
      </c>
      <c r="J8238">
        <v>1808</v>
      </c>
    </row>
    <row r="8239" spans="1:10" x14ac:dyDescent="0.35">
      <c r="A8239" t="s">
        <v>228</v>
      </c>
      <c r="B8239" t="s">
        <v>228</v>
      </c>
      <c r="C8239" s="2">
        <v>0.91830000000000001</v>
      </c>
      <c r="D8239" s="2">
        <v>5.1200000000000002E-2</v>
      </c>
      <c r="E8239" s="2">
        <v>2.1100000000000001E-2</v>
      </c>
      <c r="F8239" s="2">
        <v>3.7000000000000002E-3</v>
      </c>
      <c r="G8239" s="2">
        <v>3.2000000000000002E-3</v>
      </c>
      <c r="H8239" s="2">
        <v>2.0999999999999999E-3</v>
      </c>
      <c r="I8239" s="2">
        <v>4.0000000000000002E-4</v>
      </c>
      <c r="J8239">
        <v>2813</v>
      </c>
    </row>
    <row r="8241" spans="1:10" x14ac:dyDescent="0.35">
      <c r="A8241" s="1" t="s">
        <v>2052</v>
      </c>
    </row>
    <row r="8242" spans="1:10" x14ac:dyDescent="0.35">
      <c r="A8242" t="s">
        <v>219</v>
      </c>
      <c r="B8242" t="s">
        <v>301</v>
      </c>
      <c r="C8242" t="s">
        <v>2046</v>
      </c>
      <c r="D8242" t="s">
        <v>2047</v>
      </c>
      <c r="E8242" t="s">
        <v>2048</v>
      </c>
      <c r="F8242" t="s">
        <v>2049</v>
      </c>
      <c r="G8242" t="s">
        <v>2050</v>
      </c>
      <c r="H8242" t="s">
        <v>277</v>
      </c>
      <c r="I8242" t="s">
        <v>282</v>
      </c>
      <c r="J8242" t="s">
        <v>226</v>
      </c>
    </row>
    <row r="8243" spans="1:10" x14ac:dyDescent="0.35">
      <c r="A8243" t="s">
        <v>227</v>
      </c>
      <c r="B8243" t="s">
        <v>235</v>
      </c>
      <c r="C8243" s="2">
        <v>0.90400000000000003</v>
      </c>
      <c r="D8243" s="2">
        <v>6.4500000000000002E-2</v>
      </c>
      <c r="E8243" s="2">
        <v>2.0199999999999999E-2</v>
      </c>
      <c r="F8243" s="2">
        <v>6.1999999999999998E-3</v>
      </c>
      <c r="G8243" s="2">
        <v>4.4999999999999997E-3</v>
      </c>
      <c r="I8243" s="2">
        <v>5.9999999999999995E-4</v>
      </c>
      <c r="J8243">
        <v>992</v>
      </c>
    </row>
    <row r="8244" spans="1:10" x14ac:dyDescent="0.35">
      <c r="A8244" t="s">
        <v>227</v>
      </c>
      <c r="B8244" t="s">
        <v>234</v>
      </c>
      <c r="C8244" s="2">
        <v>0.92430000000000001</v>
      </c>
      <c r="D8244" s="2">
        <v>4.5699999999999998E-2</v>
      </c>
      <c r="E8244" s="2">
        <v>2.1499999999999998E-2</v>
      </c>
      <c r="F8244" s="2">
        <v>2.7000000000000001E-3</v>
      </c>
      <c r="G8244" s="2">
        <v>2.7000000000000001E-3</v>
      </c>
      <c r="H8244" s="2">
        <v>2.8999999999999998E-3</v>
      </c>
      <c r="I8244" s="2">
        <v>2.0000000000000001E-4</v>
      </c>
      <c r="J8244">
        <v>1821</v>
      </c>
    </row>
    <row r="8245" spans="1:10" x14ac:dyDescent="0.35">
      <c r="A8245" t="s">
        <v>228</v>
      </c>
      <c r="B8245" t="s">
        <v>228</v>
      </c>
      <c r="C8245" s="2">
        <v>0.91830000000000001</v>
      </c>
      <c r="D8245" s="2">
        <v>5.1200000000000002E-2</v>
      </c>
      <c r="E8245" s="2">
        <v>2.1100000000000001E-2</v>
      </c>
      <c r="F8245" s="2">
        <v>3.7000000000000002E-3</v>
      </c>
      <c r="G8245" s="2">
        <v>3.2000000000000002E-3</v>
      </c>
      <c r="H8245" s="2">
        <v>2.0999999999999999E-3</v>
      </c>
      <c r="I8245" s="2">
        <v>4.0000000000000002E-4</v>
      </c>
      <c r="J8245">
        <v>2813</v>
      </c>
    </row>
    <row r="8247" spans="1:10" x14ac:dyDescent="0.35">
      <c r="A8247" s="1" t="s">
        <v>2053</v>
      </c>
    </row>
    <row r="8248" spans="1:10" x14ac:dyDescent="0.35">
      <c r="A8248" t="s">
        <v>219</v>
      </c>
      <c r="B8248" t="s">
        <v>301</v>
      </c>
      <c r="C8248" t="s">
        <v>2046</v>
      </c>
      <c r="D8248" t="s">
        <v>2047</v>
      </c>
      <c r="E8248" t="s">
        <v>2048</v>
      </c>
      <c r="F8248" t="s">
        <v>2049</v>
      </c>
      <c r="G8248" t="s">
        <v>2050</v>
      </c>
      <c r="H8248" t="s">
        <v>277</v>
      </c>
      <c r="I8248" t="s">
        <v>282</v>
      </c>
      <c r="J8248" t="s">
        <v>226</v>
      </c>
    </row>
    <row r="8249" spans="1:10" x14ac:dyDescent="0.35">
      <c r="A8249" t="s">
        <v>227</v>
      </c>
      <c r="B8249" t="s">
        <v>240</v>
      </c>
      <c r="C8249" s="2">
        <v>0.91249999999999998</v>
      </c>
      <c r="D8249" s="2">
        <v>5.4199999999999998E-2</v>
      </c>
      <c r="E8249" s="2">
        <v>2.53E-2</v>
      </c>
      <c r="F8249" s="2">
        <v>3.2000000000000002E-3</v>
      </c>
      <c r="G8249" s="2">
        <v>2.3E-3</v>
      </c>
      <c r="H8249" s="2">
        <v>1.8E-3</v>
      </c>
      <c r="I8249" s="2">
        <v>5.9999999999999995E-4</v>
      </c>
      <c r="J8249">
        <v>1756</v>
      </c>
    </row>
    <row r="8250" spans="1:10" x14ac:dyDescent="0.35">
      <c r="A8250" t="s">
        <v>227</v>
      </c>
      <c r="B8250" t="s">
        <v>241</v>
      </c>
      <c r="C8250" s="2">
        <v>0.92659999999999998</v>
      </c>
      <c r="D8250" s="2">
        <v>4.3799999999999999E-2</v>
      </c>
      <c r="E8250" s="2">
        <v>1.52E-2</v>
      </c>
      <c r="F8250" s="2">
        <v>5.4000000000000003E-3</v>
      </c>
      <c r="G8250" s="2">
        <v>5.8999999999999999E-3</v>
      </c>
      <c r="H8250" s="2">
        <v>3.0999999999999999E-3</v>
      </c>
      <c r="J8250">
        <v>891</v>
      </c>
    </row>
    <row r="8251" spans="1:10" x14ac:dyDescent="0.35">
      <c r="A8251" t="s">
        <v>227</v>
      </c>
      <c r="B8251" t="s">
        <v>242</v>
      </c>
      <c r="C8251" s="2">
        <v>0.93679999999999997</v>
      </c>
      <c r="D8251" s="2">
        <v>5.5199999999999999E-2</v>
      </c>
      <c r="E8251" s="2">
        <v>6.6E-3</v>
      </c>
      <c r="F8251" s="2">
        <v>1.2999999999999999E-3</v>
      </c>
      <c r="J8251">
        <v>166</v>
      </c>
    </row>
    <row r="8252" spans="1:10" x14ac:dyDescent="0.35">
      <c r="A8252" t="s">
        <v>228</v>
      </c>
      <c r="B8252" t="s">
        <v>228</v>
      </c>
      <c r="C8252" s="2">
        <v>0.91830000000000001</v>
      </c>
      <c r="D8252" s="2">
        <v>5.1200000000000002E-2</v>
      </c>
      <c r="E8252" s="2">
        <v>2.1100000000000001E-2</v>
      </c>
      <c r="F8252" s="2">
        <v>3.7000000000000002E-3</v>
      </c>
      <c r="G8252" s="2">
        <v>3.2000000000000002E-3</v>
      </c>
      <c r="H8252" s="2">
        <v>2.0999999999999999E-3</v>
      </c>
      <c r="I8252" s="2">
        <v>4.0000000000000002E-4</v>
      </c>
      <c r="J8252">
        <v>2813</v>
      </c>
    </row>
    <row r="8254" spans="1:10" x14ac:dyDescent="0.35">
      <c r="A8254" s="1" t="s">
        <v>2054</v>
      </c>
    </row>
    <row r="8255" spans="1:10" x14ac:dyDescent="0.35">
      <c r="A8255" t="s">
        <v>219</v>
      </c>
      <c r="B8255" t="s">
        <v>301</v>
      </c>
      <c r="C8255" t="s">
        <v>2046</v>
      </c>
      <c r="D8255" t="s">
        <v>2047</v>
      </c>
      <c r="E8255" t="s">
        <v>2048</v>
      </c>
      <c r="F8255" t="s">
        <v>2049</v>
      </c>
      <c r="G8255" t="s">
        <v>2050</v>
      </c>
      <c r="H8255" t="s">
        <v>277</v>
      </c>
      <c r="I8255" t="s">
        <v>282</v>
      </c>
      <c r="J8255" t="s">
        <v>226</v>
      </c>
    </row>
    <row r="8256" spans="1:10" x14ac:dyDescent="0.35">
      <c r="A8256" t="s">
        <v>227</v>
      </c>
      <c r="B8256" t="s">
        <v>334</v>
      </c>
      <c r="C8256" s="2">
        <v>0.85660000000000003</v>
      </c>
      <c r="D8256" s="2">
        <v>7.8600000000000003E-2</v>
      </c>
      <c r="E8256" s="2">
        <v>4.5600000000000002E-2</v>
      </c>
      <c r="F8256" s="2">
        <v>9.4999999999999998E-3</v>
      </c>
      <c r="G8256" s="2">
        <v>8.5000000000000006E-3</v>
      </c>
      <c r="H8256" s="2">
        <v>2.9999999999999997E-4</v>
      </c>
      <c r="I8256" s="2">
        <v>8.9999999999999998E-4</v>
      </c>
      <c r="J8256">
        <v>625</v>
      </c>
    </row>
    <row r="8257" spans="1:10" x14ac:dyDescent="0.35">
      <c r="A8257" t="s">
        <v>227</v>
      </c>
      <c r="B8257" t="s">
        <v>335</v>
      </c>
      <c r="C8257" s="2">
        <v>0.94189999999999996</v>
      </c>
      <c r="D8257" s="2">
        <v>4.3099999999999999E-2</v>
      </c>
      <c r="E8257" s="2">
        <v>1.2500000000000001E-2</v>
      </c>
      <c r="F8257" s="2">
        <v>2.3999999999999998E-3</v>
      </c>
      <c r="G8257" s="2">
        <v>2.0000000000000001E-4</v>
      </c>
      <c r="J8257">
        <v>628</v>
      </c>
    </row>
    <row r="8258" spans="1:10" x14ac:dyDescent="0.35">
      <c r="A8258" t="s">
        <v>227</v>
      </c>
      <c r="B8258" t="s">
        <v>336</v>
      </c>
      <c r="C8258" s="2">
        <v>0.93240000000000001</v>
      </c>
      <c r="D8258" s="2">
        <v>5.1999999999999998E-2</v>
      </c>
      <c r="E8258" s="2">
        <v>5.4999999999999997E-3</v>
      </c>
      <c r="F8258" s="2">
        <v>4.1999999999999997E-3</v>
      </c>
      <c r="G8258" s="2">
        <v>5.7999999999999996E-3</v>
      </c>
      <c r="J8258">
        <v>621</v>
      </c>
    </row>
    <row r="8259" spans="1:10" x14ac:dyDescent="0.35">
      <c r="A8259" t="s">
        <v>227</v>
      </c>
      <c r="B8259" t="s">
        <v>337</v>
      </c>
      <c r="C8259" s="2">
        <v>0.93400000000000005</v>
      </c>
      <c r="D8259" s="2">
        <v>4.2099999999999999E-2</v>
      </c>
      <c r="E8259" s="2">
        <v>1.8200000000000001E-2</v>
      </c>
      <c r="F8259" s="2">
        <v>4.0000000000000002E-4</v>
      </c>
      <c r="G8259" s="2">
        <v>1.1999999999999999E-3</v>
      </c>
      <c r="H8259" s="2">
        <v>4.1000000000000003E-3</v>
      </c>
      <c r="J8259">
        <v>602</v>
      </c>
    </row>
    <row r="8260" spans="1:10" x14ac:dyDescent="0.35">
      <c r="A8260" t="s">
        <v>228</v>
      </c>
      <c r="B8260" t="s">
        <v>228</v>
      </c>
      <c r="C8260" s="2">
        <v>0.91830000000000001</v>
      </c>
      <c r="D8260" s="2">
        <v>5.1200000000000002E-2</v>
      </c>
      <c r="E8260" s="2">
        <v>2.1100000000000001E-2</v>
      </c>
      <c r="F8260" s="2">
        <v>3.7000000000000002E-3</v>
      </c>
      <c r="G8260" s="2">
        <v>3.2000000000000002E-3</v>
      </c>
      <c r="H8260" s="2">
        <v>2.0999999999999999E-3</v>
      </c>
      <c r="I8260" s="2">
        <v>4.0000000000000002E-4</v>
      </c>
      <c r="J8260">
        <v>2476</v>
      </c>
    </row>
    <row r="8262" spans="1:10" x14ac:dyDescent="0.35">
      <c r="A8262" s="1" t="s">
        <v>2055</v>
      </c>
    </row>
    <row r="8263" spans="1:10" x14ac:dyDescent="0.35">
      <c r="A8263" t="s">
        <v>219</v>
      </c>
      <c r="B8263" t="s">
        <v>301</v>
      </c>
      <c r="C8263" t="s">
        <v>2046</v>
      </c>
      <c r="D8263" t="s">
        <v>2047</v>
      </c>
      <c r="E8263" t="s">
        <v>2048</v>
      </c>
      <c r="F8263" t="s">
        <v>2049</v>
      </c>
      <c r="G8263" t="s">
        <v>2050</v>
      </c>
      <c r="H8263" t="s">
        <v>277</v>
      </c>
      <c r="I8263" t="s">
        <v>282</v>
      </c>
      <c r="J8263" t="s">
        <v>226</v>
      </c>
    </row>
    <row r="8264" spans="1:10" x14ac:dyDescent="0.35">
      <c r="A8264" t="s">
        <v>227</v>
      </c>
      <c r="B8264" t="s">
        <v>263</v>
      </c>
      <c r="C8264" s="2">
        <v>0.94289999999999996</v>
      </c>
      <c r="D8264" s="2">
        <v>3.7600000000000001E-2</v>
      </c>
      <c r="E8264" s="2">
        <v>8.8000000000000005E-3</v>
      </c>
      <c r="F8264" s="2">
        <v>1.4E-3</v>
      </c>
      <c r="G8264" s="2">
        <v>5.1999999999999998E-3</v>
      </c>
      <c r="H8264" s="2">
        <v>4.1000000000000003E-3</v>
      </c>
      <c r="J8264">
        <v>589</v>
      </c>
    </row>
    <row r="8265" spans="1:10" x14ac:dyDescent="0.35">
      <c r="A8265" t="s">
        <v>227</v>
      </c>
      <c r="B8265" t="s">
        <v>262</v>
      </c>
      <c r="C8265" s="2">
        <v>0.90939999999999999</v>
      </c>
      <c r="D8265" s="2">
        <v>5.4399999999999997E-2</v>
      </c>
      <c r="E8265" s="2">
        <v>2.46E-2</v>
      </c>
      <c r="F8265" s="2">
        <v>5.8999999999999999E-3</v>
      </c>
      <c r="G8265" s="2">
        <v>2.5999999999999999E-3</v>
      </c>
      <c r="H8265" s="2">
        <v>3.0000000000000001E-3</v>
      </c>
      <c r="J8265">
        <v>1160</v>
      </c>
    </row>
    <row r="8266" spans="1:10" x14ac:dyDescent="0.35">
      <c r="A8266" t="s">
        <v>227</v>
      </c>
      <c r="B8266" t="s">
        <v>261</v>
      </c>
      <c r="C8266" s="2">
        <v>0.91369999999999996</v>
      </c>
      <c r="D8266" s="2">
        <v>5.5300000000000002E-2</v>
      </c>
      <c r="E8266" s="2">
        <v>2.4199999999999999E-2</v>
      </c>
      <c r="F8266" s="2">
        <v>3.0000000000000001E-3</v>
      </c>
      <c r="G8266" s="2">
        <v>2.8999999999999998E-3</v>
      </c>
      <c r="H8266" s="2">
        <v>2.0000000000000001E-4</v>
      </c>
      <c r="I8266" s="2">
        <v>8.9999999999999998E-4</v>
      </c>
      <c r="J8266">
        <v>1062</v>
      </c>
    </row>
    <row r="8267" spans="1:10" x14ac:dyDescent="0.35">
      <c r="A8267" s="3" t="s">
        <v>227</v>
      </c>
      <c r="B8267" s="3" t="s">
        <v>232</v>
      </c>
      <c r="C8267" s="4">
        <v>1</v>
      </c>
      <c r="D8267" s="5"/>
      <c r="E8267" s="5"/>
      <c r="F8267" s="5"/>
      <c r="G8267" s="5"/>
      <c r="H8267" s="5"/>
      <c r="I8267" s="5"/>
      <c r="J8267" s="5" t="s">
        <v>434</v>
      </c>
    </row>
    <row r="8268" spans="1:10" x14ac:dyDescent="0.35">
      <c r="A8268" t="s">
        <v>228</v>
      </c>
      <c r="B8268" t="s">
        <v>228</v>
      </c>
      <c r="C8268" s="2">
        <v>0.91830000000000001</v>
      </c>
      <c r="D8268" s="2">
        <v>5.1200000000000002E-2</v>
      </c>
      <c r="E8268" s="2">
        <v>2.1100000000000001E-2</v>
      </c>
      <c r="F8268" s="2">
        <v>3.7000000000000002E-3</v>
      </c>
      <c r="G8268" s="2">
        <v>3.2000000000000002E-3</v>
      </c>
      <c r="H8268" s="2">
        <v>2.0999999999999999E-3</v>
      </c>
      <c r="I8268" s="2">
        <v>4.0000000000000002E-4</v>
      </c>
      <c r="J8268">
        <v>2813</v>
      </c>
    </row>
    <row r="8270" spans="1:10" x14ac:dyDescent="0.35">
      <c r="A8270" s="1" t="s">
        <v>2056</v>
      </c>
    </row>
    <row r="8271" spans="1:10" x14ac:dyDescent="0.35">
      <c r="A8271" t="s">
        <v>219</v>
      </c>
      <c r="B8271" t="s">
        <v>301</v>
      </c>
      <c r="C8271" t="s">
        <v>2046</v>
      </c>
      <c r="D8271" t="s">
        <v>2047</v>
      </c>
      <c r="E8271" t="s">
        <v>2048</v>
      </c>
      <c r="F8271" t="s">
        <v>2049</v>
      </c>
      <c r="G8271" t="s">
        <v>2050</v>
      </c>
      <c r="H8271" t="s">
        <v>277</v>
      </c>
      <c r="I8271" t="s">
        <v>282</v>
      </c>
      <c r="J8271" t="s">
        <v>226</v>
      </c>
    </row>
    <row r="8272" spans="1:10" x14ac:dyDescent="0.35">
      <c r="A8272" t="s">
        <v>227</v>
      </c>
      <c r="B8272" t="s">
        <v>248</v>
      </c>
      <c r="C8272" s="2">
        <v>0.92849999999999999</v>
      </c>
      <c r="D8272" s="2">
        <v>3.9600000000000003E-2</v>
      </c>
      <c r="E8272" s="2">
        <v>1.7600000000000001E-2</v>
      </c>
      <c r="F8272" s="2">
        <v>3.8E-3</v>
      </c>
      <c r="G8272" s="2">
        <v>6.7999999999999996E-3</v>
      </c>
      <c r="H8272" s="2">
        <v>3.3999999999999998E-3</v>
      </c>
      <c r="I8272" s="2">
        <v>2.9999999999999997E-4</v>
      </c>
      <c r="J8272">
        <v>796</v>
      </c>
    </row>
    <row r="8273" spans="1:10" x14ac:dyDescent="0.35">
      <c r="A8273" t="s">
        <v>227</v>
      </c>
      <c r="B8273" t="s">
        <v>249</v>
      </c>
      <c r="C8273" s="2">
        <v>0.90269999999999995</v>
      </c>
      <c r="D8273" s="2">
        <v>7.1199999999999999E-2</v>
      </c>
      <c r="E8273" s="2">
        <v>2.3199999999999998E-2</v>
      </c>
      <c r="F8273" s="2">
        <v>5.9999999999999995E-4</v>
      </c>
      <c r="G8273" s="2">
        <v>1.4E-3</v>
      </c>
      <c r="I8273" s="2">
        <v>1E-3</v>
      </c>
      <c r="J8273">
        <v>541</v>
      </c>
    </row>
    <row r="8274" spans="1:10" x14ac:dyDescent="0.35">
      <c r="A8274" t="s">
        <v>227</v>
      </c>
      <c r="B8274" t="s">
        <v>247</v>
      </c>
      <c r="C8274" s="2">
        <v>0.91869999999999996</v>
      </c>
      <c r="D8274" s="2">
        <v>0.05</v>
      </c>
      <c r="E8274" s="2">
        <v>2.2100000000000002E-2</v>
      </c>
      <c r="F8274" s="2">
        <v>4.7999999999999996E-3</v>
      </c>
      <c r="G8274" s="2">
        <v>2.0999999999999999E-3</v>
      </c>
      <c r="H8274" s="2">
        <v>2.0999999999999999E-3</v>
      </c>
      <c r="I8274" s="2">
        <v>2.0000000000000001E-4</v>
      </c>
      <c r="J8274">
        <v>1476</v>
      </c>
    </row>
    <row r="8275" spans="1:10" x14ac:dyDescent="0.35">
      <c r="A8275" t="s">
        <v>228</v>
      </c>
      <c r="B8275" t="s">
        <v>228</v>
      </c>
      <c r="C8275" s="2">
        <v>0.91830000000000001</v>
      </c>
      <c r="D8275" s="2">
        <v>5.1200000000000002E-2</v>
      </c>
      <c r="E8275" s="2">
        <v>2.1100000000000001E-2</v>
      </c>
      <c r="F8275" s="2">
        <v>3.7000000000000002E-3</v>
      </c>
      <c r="G8275" s="2">
        <v>3.2000000000000002E-3</v>
      </c>
      <c r="H8275" s="2">
        <v>2.0999999999999999E-3</v>
      </c>
      <c r="I8275" s="2">
        <v>4.0000000000000002E-4</v>
      </c>
      <c r="J8275">
        <v>2813</v>
      </c>
    </row>
    <row r="8277" spans="1:10" x14ac:dyDescent="0.35">
      <c r="A8277" s="1" t="s">
        <v>2057</v>
      </c>
    </row>
    <row r="8278" spans="1:10" x14ac:dyDescent="0.35">
      <c r="A8278" t="s">
        <v>219</v>
      </c>
      <c r="B8278" t="s">
        <v>301</v>
      </c>
      <c r="C8278" t="s">
        <v>2046</v>
      </c>
      <c r="D8278" t="s">
        <v>2047</v>
      </c>
      <c r="E8278" t="s">
        <v>2048</v>
      </c>
      <c r="F8278" t="s">
        <v>2049</v>
      </c>
      <c r="G8278" t="s">
        <v>2050</v>
      </c>
      <c r="H8278" t="s">
        <v>277</v>
      </c>
      <c r="I8278" t="s">
        <v>282</v>
      </c>
      <c r="J8278" t="s">
        <v>226</v>
      </c>
    </row>
    <row r="8279" spans="1:10" x14ac:dyDescent="0.35">
      <c r="A8279" t="s">
        <v>227</v>
      </c>
      <c r="B8279" t="s">
        <v>245</v>
      </c>
      <c r="C8279" s="2">
        <v>0.90049999999999997</v>
      </c>
      <c r="D8279" s="2">
        <v>6.25E-2</v>
      </c>
      <c r="E8279" s="2">
        <v>3.3000000000000002E-2</v>
      </c>
      <c r="F8279" s="2">
        <v>2.3999999999999998E-3</v>
      </c>
      <c r="G8279" s="2">
        <v>5.9999999999999995E-4</v>
      </c>
      <c r="H8279" s="2">
        <v>1E-3</v>
      </c>
      <c r="J8279">
        <v>783</v>
      </c>
    </row>
    <row r="8280" spans="1:10" x14ac:dyDescent="0.35">
      <c r="A8280" t="s">
        <v>227</v>
      </c>
      <c r="B8280" t="s">
        <v>244</v>
      </c>
      <c r="C8280" s="2">
        <v>0.92530000000000001</v>
      </c>
      <c r="D8280" s="2">
        <v>4.6800000000000001E-2</v>
      </c>
      <c r="E8280" s="2">
        <v>1.6400000000000001E-2</v>
      </c>
      <c r="F8280" s="2">
        <v>4.1999999999999997E-3</v>
      </c>
      <c r="G8280" s="2">
        <v>4.3E-3</v>
      </c>
      <c r="H8280" s="2">
        <v>2.5000000000000001E-3</v>
      </c>
      <c r="I8280" s="2">
        <v>5.0000000000000001E-4</v>
      </c>
      <c r="J8280">
        <v>2030</v>
      </c>
    </row>
    <row r="8281" spans="1:10" x14ac:dyDescent="0.35">
      <c r="A8281" t="s">
        <v>228</v>
      </c>
      <c r="B8281" t="s">
        <v>228</v>
      </c>
      <c r="C8281" s="2">
        <v>0.91830000000000001</v>
      </c>
      <c r="D8281" s="2">
        <v>5.1200000000000002E-2</v>
      </c>
      <c r="E8281" s="2">
        <v>2.1100000000000001E-2</v>
      </c>
      <c r="F8281" s="2">
        <v>3.7000000000000002E-3</v>
      </c>
      <c r="G8281" s="2">
        <v>3.2000000000000002E-3</v>
      </c>
      <c r="H8281" s="2">
        <v>2.0999999999999999E-3</v>
      </c>
      <c r="I8281" s="2">
        <v>4.0000000000000002E-4</v>
      </c>
      <c r="J8281">
        <v>2813</v>
      </c>
    </row>
    <row r="8283" spans="1:10" x14ac:dyDescent="0.35">
      <c r="A8283" s="1" t="s">
        <v>2058</v>
      </c>
    </row>
    <row r="8284" spans="1:10" x14ac:dyDescent="0.35">
      <c r="A8284" t="s">
        <v>219</v>
      </c>
      <c r="B8284" t="s">
        <v>301</v>
      </c>
      <c r="C8284" t="s">
        <v>2046</v>
      </c>
      <c r="D8284" t="s">
        <v>2047</v>
      </c>
      <c r="E8284" t="s">
        <v>2048</v>
      </c>
      <c r="F8284" t="s">
        <v>2049</v>
      </c>
      <c r="G8284" t="s">
        <v>2050</v>
      </c>
      <c r="H8284" t="s">
        <v>277</v>
      </c>
      <c r="I8284" t="s">
        <v>282</v>
      </c>
      <c r="J8284" t="s">
        <v>226</v>
      </c>
    </row>
    <row r="8285" spans="1:10" x14ac:dyDescent="0.35">
      <c r="A8285" t="s">
        <v>227</v>
      </c>
      <c r="B8285" t="s">
        <v>259</v>
      </c>
      <c r="C8285" s="2">
        <v>0.84899999999999998</v>
      </c>
      <c r="D8285" s="2">
        <v>0.13669999999999999</v>
      </c>
      <c r="E8285" s="2">
        <v>1.15E-2</v>
      </c>
      <c r="F8285" s="2">
        <v>2.8E-3</v>
      </c>
      <c r="J8285">
        <v>69</v>
      </c>
    </row>
    <row r="8286" spans="1:10" x14ac:dyDescent="0.35">
      <c r="A8286" t="s">
        <v>227</v>
      </c>
      <c r="B8286" t="s">
        <v>257</v>
      </c>
      <c r="C8286" s="2">
        <v>0.92879999999999996</v>
      </c>
      <c r="D8286" s="2">
        <v>4.7500000000000001E-2</v>
      </c>
      <c r="E8286" s="2">
        <v>1.1900000000000001E-2</v>
      </c>
      <c r="F8286" s="2">
        <v>1.0500000000000001E-2</v>
      </c>
      <c r="G8286" s="2">
        <v>8.0000000000000004E-4</v>
      </c>
      <c r="H8286" s="2">
        <v>5.0000000000000001E-4</v>
      </c>
      <c r="J8286">
        <v>405</v>
      </c>
    </row>
    <row r="8287" spans="1:10" x14ac:dyDescent="0.35">
      <c r="A8287" t="s">
        <v>227</v>
      </c>
      <c r="B8287" t="s">
        <v>256</v>
      </c>
      <c r="C8287" s="2">
        <v>0.91420000000000001</v>
      </c>
      <c r="D8287" s="2">
        <v>5.0900000000000001E-2</v>
      </c>
      <c r="E8287" s="2">
        <v>2.5899999999999999E-2</v>
      </c>
      <c r="F8287" s="2">
        <v>2.8E-3</v>
      </c>
      <c r="G8287" s="2">
        <v>4.4999999999999997E-3</v>
      </c>
      <c r="H8287" s="2">
        <v>1.4E-3</v>
      </c>
      <c r="I8287" s="2">
        <v>2.9999999999999997E-4</v>
      </c>
      <c r="J8287">
        <v>1803</v>
      </c>
    </row>
    <row r="8288" spans="1:10" x14ac:dyDescent="0.35">
      <c r="A8288" s="3" t="s">
        <v>227</v>
      </c>
      <c r="B8288" s="3" t="s">
        <v>232</v>
      </c>
      <c r="C8288" s="4">
        <v>0.95930000000000004</v>
      </c>
      <c r="D8288" s="5"/>
      <c r="E8288" s="4">
        <v>4.07E-2</v>
      </c>
      <c r="F8288" s="5"/>
      <c r="G8288" s="5"/>
      <c r="H8288" s="5"/>
      <c r="I8288" s="5"/>
      <c r="J8288" s="5" t="s">
        <v>307</v>
      </c>
    </row>
    <row r="8289" spans="1:10" x14ac:dyDescent="0.35">
      <c r="A8289" t="s">
        <v>227</v>
      </c>
      <c r="B8289" t="s">
        <v>258</v>
      </c>
      <c r="C8289" s="2">
        <v>0.93200000000000005</v>
      </c>
      <c r="D8289" s="2">
        <v>4.7800000000000002E-2</v>
      </c>
      <c r="E8289" s="2">
        <v>1.09E-2</v>
      </c>
      <c r="F8289" s="2">
        <v>2.0000000000000001E-4</v>
      </c>
      <c r="G8289" s="2">
        <v>8.9999999999999998E-4</v>
      </c>
      <c r="H8289" s="2">
        <v>7.1000000000000004E-3</v>
      </c>
      <c r="I8289" s="2">
        <v>1.1999999999999999E-3</v>
      </c>
      <c r="J8289">
        <v>525</v>
      </c>
    </row>
    <row r="8290" spans="1:10" x14ac:dyDescent="0.35">
      <c r="A8290" t="s">
        <v>228</v>
      </c>
      <c r="B8290" t="s">
        <v>228</v>
      </c>
      <c r="C8290" s="2">
        <v>0.91830000000000001</v>
      </c>
      <c r="D8290" s="2">
        <v>5.1200000000000002E-2</v>
      </c>
      <c r="E8290" s="2">
        <v>2.1100000000000001E-2</v>
      </c>
      <c r="F8290" s="2">
        <v>3.7000000000000002E-3</v>
      </c>
      <c r="G8290" s="2">
        <v>3.2000000000000002E-3</v>
      </c>
      <c r="H8290" s="2">
        <v>2.0999999999999999E-3</v>
      </c>
      <c r="I8290" s="2">
        <v>4.0000000000000002E-4</v>
      </c>
      <c r="J8290">
        <v>2813</v>
      </c>
    </row>
    <row r="8292" spans="1:10" x14ac:dyDescent="0.35">
      <c r="A8292" s="1" t="s">
        <v>2059</v>
      </c>
    </row>
    <row r="8293" spans="1:10" x14ac:dyDescent="0.35">
      <c r="A8293" t="s">
        <v>219</v>
      </c>
      <c r="B8293" t="s">
        <v>301</v>
      </c>
      <c r="C8293" t="s">
        <v>2046</v>
      </c>
      <c r="D8293" t="s">
        <v>2047</v>
      </c>
      <c r="E8293" t="s">
        <v>2048</v>
      </c>
      <c r="F8293" t="s">
        <v>2049</v>
      </c>
      <c r="G8293" t="s">
        <v>2050</v>
      </c>
      <c r="H8293" t="s">
        <v>277</v>
      </c>
      <c r="I8293" t="s">
        <v>282</v>
      </c>
      <c r="J8293" t="s">
        <v>226</v>
      </c>
    </row>
    <row r="8294" spans="1:10" x14ac:dyDescent="0.35">
      <c r="A8294" t="s">
        <v>227</v>
      </c>
      <c r="B8294" t="s">
        <v>343</v>
      </c>
      <c r="C8294" s="2">
        <v>0.92879999999999996</v>
      </c>
      <c r="D8294" s="2">
        <v>4.7500000000000001E-2</v>
      </c>
      <c r="E8294" s="2">
        <v>1.1900000000000001E-2</v>
      </c>
      <c r="F8294" s="2">
        <v>1.0500000000000001E-2</v>
      </c>
      <c r="G8294" s="2">
        <v>8.0000000000000004E-4</v>
      </c>
      <c r="H8294" s="2">
        <v>5.0000000000000001E-4</v>
      </c>
      <c r="J8294">
        <v>405</v>
      </c>
    </row>
    <row r="8295" spans="1:10" x14ac:dyDescent="0.35">
      <c r="A8295" t="s">
        <v>227</v>
      </c>
      <c r="B8295" t="s">
        <v>344</v>
      </c>
      <c r="C8295" s="2">
        <v>0.91620000000000001</v>
      </c>
      <c r="D8295" s="2">
        <v>5.1999999999999998E-2</v>
      </c>
      <c r="E8295" s="2">
        <v>2.3E-2</v>
      </c>
      <c r="F8295" s="2">
        <v>2.3E-3</v>
      </c>
      <c r="G8295" s="2">
        <v>3.7000000000000002E-3</v>
      </c>
      <c r="H8295" s="2">
        <v>2.3999999999999998E-3</v>
      </c>
      <c r="I8295" s="2">
        <v>4.0000000000000002E-4</v>
      </c>
      <c r="J8295">
        <v>2408</v>
      </c>
    </row>
    <row r="8296" spans="1:10" x14ac:dyDescent="0.35">
      <c r="A8296" t="s">
        <v>228</v>
      </c>
      <c r="B8296" t="s">
        <v>228</v>
      </c>
      <c r="C8296" s="2">
        <v>0.91830000000000001</v>
      </c>
      <c r="D8296" s="2">
        <v>5.1200000000000002E-2</v>
      </c>
      <c r="E8296" s="2">
        <v>2.1100000000000001E-2</v>
      </c>
      <c r="F8296" s="2">
        <v>3.7000000000000002E-3</v>
      </c>
      <c r="G8296" s="2">
        <v>3.2000000000000002E-3</v>
      </c>
      <c r="H8296" s="2">
        <v>2.0999999999999999E-3</v>
      </c>
      <c r="I8296" s="2">
        <v>4.0000000000000002E-4</v>
      </c>
      <c r="J8296">
        <v>2813</v>
      </c>
    </row>
    <row r="8298" spans="1:10" x14ac:dyDescent="0.35">
      <c r="A8298" s="1" t="s">
        <v>2060</v>
      </c>
    </row>
    <row r="8299" spans="1:10" x14ac:dyDescent="0.35">
      <c r="A8299" t="s">
        <v>219</v>
      </c>
      <c r="B8299" t="s">
        <v>301</v>
      </c>
      <c r="C8299" t="s">
        <v>2046</v>
      </c>
      <c r="D8299" t="s">
        <v>2047</v>
      </c>
      <c r="E8299" t="s">
        <v>2048</v>
      </c>
      <c r="F8299" t="s">
        <v>2049</v>
      </c>
      <c r="G8299" t="s">
        <v>2050</v>
      </c>
      <c r="H8299" t="s">
        <v>277</v>
      </c>
      <c r="I8299" t="s">
        <v>282</v>
      </c>
      <c r="J8299" t="s">
        <v>226</v>
      </c>
    </row>
    <row r="8300" spans="1:10" x14ac:dyDescent="0.35">
      <c r="A8300" t="s">
        <v>227</v>
      </c>
      <c r="B8300" t="s">
        <v>346</v>
      </c>
      <c r="C8300" s="2">
        <v>0.91990000000000005</v>
      </c>
      <c r="D8300" s="2">
        <v>5.04E-2</v>
      </c>
      <c r="E8300" s="2">
        <v>2.0400000000000001E-2</v>
      </c>
      <c r="F8300" s="2">
        <v>3.5999999999999999E-3</v>
      </c>
      <c r="G8300" s="2">
        <v>3.2000000000000002E-3</v>
      </c>
      <c r="H8300" s="2">
        <v>2.3E-3</v>
      </c>
      <c r="I8300" s="2">
        <v>2.0000000000000001E-4</v>
      </c>
      <c r="J8300">
        <v>1463</v>
      </c>
    </row>
    <row r="8301" spans="1:10" x14ac:dyDescent="0.35">
      <c r="A8301" t="s">
        <v>227</v>
      </c>
      <c r="B8301" t="s">
        <v>347</v>
      </c>
      <c r="C8301" s="2">
        <v>0.85409999999999997</v>
      </c>
      <c r="D8301" s="2">
        <v>9.0999999999999998E-2</v>
      </c>
      <c r="E8301" s="2">
        <v>3.2199999999999999E-2</v>
      </c>
      <c r="F8301" s="2">
        <v>6.6E-3</v>
      </c>
      <c r="G8301" s="2">
        <v>9.4000000000000004E-3</v>
      </c>
      <c r="H8301" s="2">
        <v>2E-3</v>
      </c>
      <c r="I8301" s="2">
        <v>4.7999999999999996E-3</v>
      </c>
      <c r="J8301">
        <v>585</v>
      </c>
    </row>
    <row r="8302" spans="1:10" x14ac:dyDescent="0.35">
      <c r="A8302" t="s">
        <v>227</v>
      </c>
      <c r="B8302" t="s">
        <v>348</v>
      </c>
      <c r="C8302" s="2">
        <v>0.92820000000000003</v>
      </c>
      <c r="D8302" s="2">
        <v>4.3999999999999997E-2</v>
      </c>
      <c r="E8302" s="2">
        <v>2.3E-2</v>
      </c>
      <c r="F8302" s="2">
        <v>3.5999999999999999E-3</v>
      </c>
      <c r="G8302" s="2">
        <v>1.1999999999999999E-3</v>
      </c>
      <c r="J8302">
        <v>765</v>
      </c>
    </row>
    <row r="8303" spans="1:10" x14ac:dyDescent="0.35">
      <c r="A8303" t="s">
        <v>228</v>
      </c>
      <c r="B8303" t="s">
        <v>228</v>
      </c>
      <c r="C8303" s="2">
        <v>0.91830000000000001</v>
      </c>
      <c r="D8303" s="2">
        <v>5.1200000000000002E-2</v>
      </c>
      <c r="E8303" s="2">
        <v>2.1100000000000001E-2</v>
      </c>
      <c r="F8303" s="2">
        <v>3.7000000000000002E-3</v>
      </c>
      <c r="G8303" s="2">
        <v>3.2000000000000002E-3</v>
      </c>
      <c r="H8303" s="2">
        <v>2.0999999999999999E-3</v>
      </c>
      <c r="I8303" s="2">
        <v>4.0000000000000002E-4</v>
      </c>
      <c r="J8303">
        <v>2813</v>
      </c>
    </row>
    <row r="8305" spans="1:20" x14ac:dyDescent="0.35">
      <c r="A8305" s="1" t="s">
        <v>2061</v>
      </c>
    </row>
    <row r="8306" spans="1:20" x14ac:dyDescent="0.35">
      <c r="A8306" t="s">
        <v>219</v>
      </c>
      <c r="B8306" t="s">
        <v>301</v>
      </c>
      <c r="C8306" t="s">
        <v>2046</v>
      </c>
      <c r="D8306" t="s">
        <v>2047</v>
      </c>
      <c r="E8306" t="s">
        <v>2048</v>
      </c>
      <c r="F8306" t="s">
        <v>2049</v>
      </c>
      <c r="G8306" t="s">
        <v>2050</v>
      </c>
      <c r="H8306" t="s">
        <v>277</v>
      </c>
      <c r="I8306" t="s">
        <v>282</v>
      </c>
      <c r="J8306" t="s">
        <v>226</v>
      </c>
    </row>
    <row r="8307" spans="1:20" x14ac:dyDescent="0.35">
      <c r="A8307" t="s">
        <v>227</v>
      </c>
      <c r="B8307" t="s">
        <v>251</v>
      </c>
      <c r="C8307" s="2">
        <v>0.92530000000000001</v>
      </c>
      <c r="D8307" s="2">
        <v>4.6800000000000001E-2</v>
      </c>
      <c r="E8307" s="2">
        <v>1.6400000000000001E-2</v>
      </c>
      <c r="F8307" s="2">
        <v>4.1999999999999997E-3</v>
      </c>
      <c r="G8307" s="2">
        <v>4.3E-3</v>
      </c>
      <c r="H8307" s="2">
        <v>2.5000000000000001E-3</v>
      </c>
      <c r="I8307" s="2">
        <v>5.0000000000000001E-4</v>
      </c>
      <c r="J8307">
        <v>2030</v>
      </c>
    </row>
    <row r="8308" spans="1:20" x14ac:dyDescent="0.35">
      <c r="A8308" t="s">
        <v>227</v>
      </c>
      <c r="B8308" t="s">
        <v>252</v>
      </c>
      <c r="C8308" s="2">
        <v>0.9002</v>
      </c>
      <c r="D8308" s="2">
        <v>6.2199999999999998E-2</v>
      </c>
      <c r="E8308" s="2">
        <v>3.61E-2</v>
      </c>
      <c r="F8308" s="2">
        <v>6.9999999999999999E-4</v>
      </c>
      <c r="G8308" s="2">
        <v>4.0000000000000002E-4</v>
      </c>
      <c r="H8308" s="2">
        <v>4.0000000000000002E-4</v>
      </c>
      <c r="J8308">
        <v>621</v>
      </c>
    </row>
    <row r="8309" spans="1:20" x14ac:dyDescent="0.35">
      <c r="A8309" t="s">
        <v>227</v>
      </c>
      <c r="B8309" t="s">
        <v>253</v>
      </c>
      <c r="C8309" s="2">
        <v>0.89839999999999998</v>
      </c>
      <c r="D8309" s="2">
        <v>6.5799999999999997E-2</v>
      </c>
      <c r="E8309" s="2">
        <v>2.0799999999999999E-2</v>
      </c>
      <c r="F8309" s="2">
        <v>9.7999999999999997E-3</v>
      </c>
      <c r="G8309" s="2">
        <v>1.5E-3</v>
      </c>
      <c r="H8309" s="2">
        <v>3.5999999999999999E-3</v>
      </c>
      <c r="J8309">
        <v>153</v>
      </c>
    </row>
    <row r="8310" spans="1:20" x14ac:dyDescent="0.35">
      <c r="A8310" s="3" t="s">
        <v>227</v>
      </c>
      <c r="B8310" s="3" t="s">
        <v>254</v>
      </c>
      <c r="C8310" s="4">
        <v>1</v>
      </c>
      <c r="D8310" s="5"/>
      <c r="E8310" s="5"/>
      <c r="F8310" s="5"/>
      <c r="G8310" s="5"/>
      <c r="H8310" s="5"/>
      <c r="I8310" s="5"/>
      <c r="J8310" s="5" t="s">
        <v>515</v>
      </c>
    </row>
    <row r="8311" spans="1:20" x14ac:dyDescent="0.35">
      <c r="A8311" t="s">
        <v>228</v>
      </c>
      <c r="B8311" t="s">
        <v>228</v>
      </c>
      <c r="C8311" s="2">
        <v>0.91830000000000001</v>
      </c>
      <c r="D8311" s="2">
        <v>5.1200000000000002E-2</v>
      </c>
      <c r="E8311" s="2">
        <v>2.1100000000000001E-2</v>
      </c>
      <c r="F8311" s="2">
        <v>3.7000000000000002E-3</v>
      </c>
      <c r="G8311" s="2">
        <v>3.2000000000000002E-3</v>
      </c>
      <c r="H8311" s="2">
        <v>2.0999999999999999E-3</v>
      </c>
      <c r="I8311" s="2">
        <v>4.0000000000000002E-4</v>
      </c>
      <c r="J8311">
        <v>2813</v>
      </c>
    </row>
    <row r="8313" spans="1:20" x14ac:dyDescent="0.35">
      <c r="A8313" s="1" t="s">
        <v>2062</v>
      </c>
    </row>
    <row r="8314" spans="1:20" x14ac:dyDescent="0.35">
      <c r="A8314" t="s">
        <v>219</v>
      </c>
      <c r="B8314" t="s">
        <v>2063</v>
      </c>
      <c r="C8314" t="s">
        <v>1986</v>
      </c>
      <c r="D8314" t="s">
        <v>1987</v>
      </c>
      <c r="E8314" t="s">
        <v>1990</v>
      </c>
      <c r="F8314" t="s">
        <v>1989</v>
      </c>
      <c r="G8314" t="s">
        <v>1993</v>
      </c>
      <c r="H8314" t="s">
        <v>1988</v>
      </c>
      <c r="I8314" t="s">
        <v>1984</v>
      </c>
      <c r="J8314" t="s">
        <v>1992</v>
      </c>
      <c r="K8314" t="s">
        <v>1994</v>
      </c>
      <c r="L8314" t="s">
        <v>1996</v>
      </c>
      <c r="M8314" t="s">
        <v>1991</v>
      </c>
      <c r="N8314" t="s">
        <v>1995</v>
      </c>
      <c r="O8314" t="s">
        <v>1985</v>
      </c>
      <c r="P8314" t="s">
        <v>282</v>
      </c>
      <c r="Q8314" t="s">
        <v>277</v>
      </c>
      <c r="R8314" t="s">
        <v>2064</v>
      </c>
      <c r="S8314" t="s">
        <v>226</v>
      </c>
    </row>
    <row r="8315" spans="1:20" x14ac:dyDescent="0.35">
      <c r="A8315" t="s">
        <v>227</v>
      </c>
      <c r="B8315" s="2">
        <v>0.83660000000000001</v>
      </c>
      <c r="C8315" s="2">
        <v>7.6300000000000007E-2</v>
      </c>
      <c r="D8315" s="2">
        <v>4.5499999999999999E-2</v>
      </c>
      <c r="E8315" s="2">
        <v>1.8200000000000001E-2</v>
      </c>
      <c r="F8315" s="2">
        <v>8.3000000000000001E-3</v>
      </c>
      <c r="G8315" s="2">
        <v>2.5000000000000001E-3</v>
      </c>
      <c r="H8315" s="2">
        <v>2.5000000000000001E-3</v>
      </c>
      <c r="I8315" s="2">
        <v>2.3999999999999998E-3</v>
      </c>
      <c r="J8315" s="2">
        <v>1.9E-3</v>
      </c>
      <c r="K8315" s="2">
        <v>1.4E-3</v>
      </c>
      <c r="L8315" s="2">
        <v>1E-3</v>
      </c>
      <c r="M8315" s="2">
        <v>8.9999999999999998E-4</v>
      </c>
      <c r="N8315" s="2">
        <v>8.9999999999999998E-4</v>
      </c>
      <c r="O8315" s="2">
        <v>8.0000000000000004E-4</v>
      </c>
      <c r="P8315" s="2">
        <v>4.0000000000000002E-4</v>
      </c>
      <c r="Q8315" s="2">
        <v>2.0000000000000001E-4</v>
      </c>
      <c r="R8315" s="2">
        <v>1E-4</v>
      </c>
      <c r="S8315">
        <v>2812</v>
      </c>
    </row>
    <row r="8316" spans="1:20" x14ac:dyDescent="0.35">
      <c r="A8316" t="s">
        <v>228</v>
      </c>
      <c r="B8316" s="2">
        <v>0.83660000000000001</v>
      </c>
      <c r="C8316" s="2">
        <v>7.6300000000000007E-2</v>
      </c>
      <c r="D8316" s="2">
        <v>4.5499999999999999E-2</v>
      </c>
      <c r="E8316" s="2">
        <v>1.8200000000000001E-2</v>
      </c>
      <c r="F8316" s="2">
        <v>8.3000000000000001E-3</v>
      </c>
      <c r="G8316" s="2">
        <v>2.5000000000000001E-3</v>
      </c>
      <c r="H8316" s="2">
        <v>2.5000000000000001E-3</v>
      </c>
      <c r="I8316" s="2">
        <v>2.3999999999999998E-3</v>
      </c>
      <c r="J8316" s="2">
        <v>1.9E-3</v>
      </c>
      <c r="K8316" s="2">
        <v>1.4E-3</v>
      </c>
      <c r="L8316" s="2">
        <v>1E-3</v>
      </c>
      <c r="M8316" s="2">
        <v>8.9999999999999998E-4</v>
      </c>
      <c r="N8316" s="2">
        <v>8.9999999999999998E-4</v>
      </c>
      <c r="O8316" s="2">
        <v>8.0000000000000004E-4</v>
      </c>
      <c r="P8316" s="2">
        <v>4.0000000000000002E-4</v>
      </c>
      <c r="Q8316" s="2">
        <v>2.0000000000000001E-4</v>
      </c>
      <c r="R8316" s="2">
        <v>1E-4</v>
      </c>
      <c r="S8316">
        <v>2812</v>
      </c>
    </row>
    <row r="8318" spans="1:20" x14ac:dyDescent="0.35">
      <c r="A8318" s="1" t="s">
        <v>2065</v>
      </c>
    </row>
    <row r="8319" spans="1:20" x14ac:dyDescent="0.35">
      <c r="A8319" t="s">
        <v>219</v>
      </c>
      <c r="B8319" t="s">
        <v>301</v>
      </c>
      <c r="C8319" t="s">
        <v>2063</v>
      </c>
      <c r="D8319" t="s">
        <v>1986</v>
      </c>
      <c r="E8319" t="s">
        <v>1987</v>
      </c>
      <c r="F8319" t="s">
        <v>1990</v>
      </c>
      <c r="G8319" t="s">
        <v>1989</v>
      </c>
      <c r="H8319" t="s">
        <v>1993</v>
      </c>
      <c r="I8319" t="s">
        <v>1988</v>
      </c>
      <c r="J8319" t="s">
        <v>1984</v>
      </c>
      <c r="K8319" t="s">
        <v>1992</v>
      </c>
      <c r="L8319" t="s">
        <v>1994</v>
      </c>
      <c r="M8319" t="s">
        <v>1996</v>
      </c>
      <c r="N8319" t="s">
        <v>1991</v>
      </c>
      <c r="O8319" t="s">
        <v>1995</v>
      </c>
      <c r="P8319" t="s">
        <v>1985</v>
      </c>
      <c r="Q8319" t="s">
        <v>282</v>
      </c>
      <c r="R8319" t="s">
        <v>277</v>
      </c>
      <c r="S8319" t="s">
        <v>2064</v>
      </c>
      <c r="T8319" t="s">
        <v>226</v>
      </c>
    </row>
    <row r="8320" spans="1:20" x14ac:dyDescent="0.35">
      <c r="A8320" t="s">
        <v>227</v>
      </c>
      <c r="B8320" t="s">
        <v>238</v>
      </c>
      <c r="C8320" s="2">
        <v>0.79469999999999996</v>
      </c>
      <c r="D8320" s="2">
        <v>9.4100000000000003E-2</v>
      </c>
      <c r="E8320" s="2">
        <v>5.5800000000000002E-2</v>
      </c>
      <c r="F8320" s="2">
        <v>2.3199999999999998E-2</v>
      </c>
      <c r="G8320" s="2">
        <v>1.1299999999999999E-2</v>
      </c>
      <c r="H8320" s="2">
        <v>1.9E-3</v>
      </c>
      <c r="I8320" s="2">
        <v>3.8999999999999998E-3</v>
      </c>
      <c r="J8320" s="2">
        <v>3.8999999999999998E-3</v>
      </c>
      <c r="K8320" s="2">
        <v>2.2000000000000001E-3</v>
      </c>
      <c r="L8320" s="2">
        <v>3.8999999999999998E-3</v>
      </c>
      <c r="N8320" s="2">
        <v>1E-3</v>
      </c>
      <c r="O8320" s="2">
        <v>2.2000000000000001E-3</v>
      </c>
      <c r="P8320" s="2">
        <v>1.4E-3</v>
      </c>
      <c r="R8320" s="2">
        <v>2.9999999999999997E-4</v>
      </c>
      <c r="S8320" s="2">
        <v>2.0000000000000001E-4</v>
      </c>
      <c r="T8320">
        <v>1004</v>
      </c>
    </row>
    <row r="8321" spans="1:20" x14ac:dyDescent="0.35">
      <c r="A8321" t="s">
        <v>227</v>
      </c>
      <c r="B8321" t="s">
        <v>237</v>
      </c>
      <c r="C8321" s="2">
        <v>0.86099999999999999</v>
      </c>
      <c r="D8321" s="2">
        <v>6.6000000000000003E-2</v>
      </c>
      <c r="E8321" s="2">
        <v>3.95E-2</v>
      </c>
      <c r="F8321" s="2">
        <v>1.54E-2</v>
      </c>
      <c r="G8321" s="2">
        <v>6.4999999999999997E-3</v>
      </c>
      <c r="H8321" s="2">
        <v>2.8E-3</v>
      </c>
      <c r="I8321" s="2">
        <v>1.8E-3</v>
      </c>
      <c r="J8321" s="2">
        <v>1.5E-3</v>
      </c>
      <c r="K8321" s="2">
        <v>1.6999999999999999E-3</v>
      </c>
      <c r="M8321" s="2">
        <v>1.6000000000000001E-3</v>
      </c>
      <c r="N8321" s="2">
        <v>8.9999999999999998E-4</v>
      </c>
      <c r="O8321" s="2">
        <v>2.0000000000000001E-4</v>
      </c>
      <c r="P8321" s="2">
        <v>4.0000000000000002E-4</v>
      </c>
      <c r="Q8321" s="2">
        <v>5.9999999999999995E-4</v>
      </c>
      <c r="R8321" s="2">
        <v>2.0000000000000001E-4</v>
      </c>
      <c r="T8321">
        <v>1808</v>
      </c>
    </row>
    <row r="8322" spans="1:20" x14ac:dyDescent="0.35">
      <c r="A8322" t="s">
        <v>228</v>
      </c>
      <c r="B8322" t="s">
        <v>228</v>
      </c>
      <c r="C8322" s="2">
        <v>0.83660000000000001</v>
      </c>
      <c r="D8322" s="2">
        <v>7.6300000000000007E-2</v>
      </c>
      <c r="E8322" s="2">
        <v>4.5499999999999999E-2</v>
      </c>
      <c r="F8322" s="2">
        <v>1.8200000000000001E-2</v>
      </c>
      <c r="G8322" s="2">
        <v>8.3000000000000001E-3</v>
      </c>
      <c r="H8322" s="2">
        <v>2.5000000000000001E-3</v>
      </c>
      <c r="I8322" s="2">
        <v>2.5000000000000001E-3</v>
      </c>
      <c r="J8322" s="2">
        <v>2.3999999999999998E-3</v>
      </c>
      <c r="K8322" s="2">
        <v>1.9E-3</v>
      </c>
      <c r="L8322" s="2">
        <v>1.4E-3</v>
      </c>
      <c r="M8322" s="2">
        <v>1E-3</v>
      </c>
      <c r="N8322" s="2">
        <v>8.9999999999999998E-4</v>
      </c>
      <c r="O8322" s="2">
        <v>8.9999999999999998E-4</v>
      </c>
      <c r="P8322" s="2">
        <v>8.0000000000000004E-4</v>
      </c>
      <c r="Q8322" s="2">
        <v>4.0000000000000002E-4</v>
      </c>
      <c r="R8322" s="2">
        <v>2.0000000000000001E-4</v>
      </c>
      <c r="S8322" s="2">
        <v>1E-4</v>
      </c>
      <c r="T8322">
        <v>2812</v>
      </c>
    </row>
    <row r="8324" spans="1:20" x14ac:dyDescent="0.35">
      <c r="A8324" s="1" t="s">
        <v>2066</v>
      </c>
    </row>
    <row r="8325" spans="1:20" x14ac:dyDescent="0.35">
      <c r="A8325" t="s">
        <v>219</v>
      </c>
      <c r="B8325" t="s">
        <v>301</v>
      </c>
      <c r="C8325" t="s">
        <v>2063</v>
      </c>
      <c r="D8325" t="s">
        <v>1986</v>
      </c>
      <c r="E8325" t="s">
        <v>1987</v>
      </c>
      <c r="F8325" t="s">
        <v>1990</v>
      </c>
      <c r="G8325" t="s">
        <v>1989</v>
      </c>
      <c r="H8325" t="s">
        <v>1993</v>
      </c>
      <c r="I8325" t="s">
        <v>1988</v>
      </c>
      <c r="J8325" t="s">
        <v>1984</v>
      </c>
      <c r="K8325" t="s">
        <v>1992</v>
      </c>
      <c r="L8325" t="s">
        <v>1994</v>
      </c>
      <c r="M8325" t="s">
        <v>1996</v>
      </c>
      <c r="N8325" t="s">
        <v>1991</v>
      </c>
      <c r="O8325" t="s">
        <v>1995</v>
      </c>
      <c r="P8325" t="s">
        <v>1985</v>
      </c>
      <c r="Q8325" t="s">
        <v>282</v>
      </c>
      <c r="R8325" t="s">
        <v>277</v>
      </c>
      <c r="S8325" t="s">
        <v>2064</v>
      </c>
      <c r="T8325" t="s">
        <v>226</v>
      </c>
    </row>
    <row r="8326" spans="1:20" x14ac:dyDescent="0.35">
      <c r="A8326" t="s">
        <v>227</v>
      </c>
      <c r="B8326" t="s">
        <v>235</v>
      </c>
      <c r="C8326" s="2">
        <v>0.57750000000000001</v>
      </c>
      <c r="D8326" s="2">
        <v>0.22</v>
      </c>
      <c r="E8326" s="2">
        <v>0.1129</v>
      </c>
      <c r="F8326" s="2">
        <v>4.5400000000000003E-2</v>
      </c>
      <c r="G8326" s="2">
        <v>2.1299999999999999E-2</v>
      </c>
      <c r="H8326" s="2">
        <v>2.8E-3</v>
      </c>
      <c r="I8326" s="2">
        <v>3.5999999999999999E-3</v>
      </c>
      <c r="J8326" s="2">
        <v>3.3E-3</v>
      </c>
      <c r="K8326" s="2">
        <v>4.0000000000000001E-3</v>
      </c>
      <c r="L8326" s="2">
        <v>2.9999999999999997E-4</v>
      </c>
      <c r="M8326" s="2">
        <v>3.0000000000000001E-3</v>
      </c>
      <c r="N8326" s="2">
        <v>1.5E-3</v>
      </c>
      <c r="O8326" s="2">
        <v>3.2000000000000002E-3</v>
      </c>
      <c r="P8326" s="2">
        <v>1E-4</v>
      </c>
      <c r="Q8326" s="2">
        <v>5.9999999999999995E-4</v>
      </c>
      <c r="R8326" s="2">
        <v>4.0000000000000002E-4</v>
      </c>
      <c r="S8326" s="2">
        <v>2.9999999999999997E-4</v>
      </c>
      <c r="T8326">
        <v>992</v>
      </c>
    </row>
    <row r="8327" spans="1:20" x14ac:dyDescent="0.35">
      <c r="A8327" t="s">
        <v>227</v>
      </c>
      <c r="B8327" t="s">
        <v>234</v>
      </c>
      <c r="C8327" s="2">
        <v>0.94499999999999995</v>
      </c>
      <c r="D8327" s="2">
        <v>1.6199999999999999E-2</v>
      </c>
      <c r="E8327" s="2">
        <v>1.7299999999999999E-2</v>
      </c>
      <c r="F8327" s="2">
        <v>6.8999999999999999E-3</v>
      </c>
      <c r="G8327" s="2">
        <v>2.8E-3</v>
      </c>
      <c r="H8327" s="2">
        <v>2.3999999999999998E-3</v>
      </c>
      <c r="I8327" s="2">
        <v>2.0999999999999999E-3</v>
      </c>
      <c r="J8327" s="2">
        <v>2E-3</v>
      </c>
      <c r="K8327" s="2">
        <v>1E-3</v>
      </c>
      <c r="L8327" s="2">
        <v>1.9E-3</v>
      </c>
      <c r="M8327" s="2">
        <v>2.0000000000000001E-4</v>
      </c>
      <c r="N8327" s="2">
        <v>6.9999999999999999E-4</v>
      </c>
      <c r="P8327" s="2">
        <v>1.1000000000000001E-3</v>
      </c>
      <c r="Q8327" s="2">
        <v>2.0000000000000001E-4</v>
      </c>
      <c r="R8327" s="2">
        <v>1E-4</v>
      </c>
      <c r="T8327">
        <v>1820</v>
      </c>
    </row>
    <row r="8328" spans="1:20" x14ac:dyDescent="0.35">
      <c r="A8328" t="s">
        <v>228</v>
      </c>
      <c r="B8328" t="s">
        <v>228</v>
      </c>
      <c r="C8328" s="2">
        <v>0.83660000000000001</v>
      </c>
      <c r="D8328" s="2">
        <v>7.6300000000000007E-2</v>
      </c>
      <c r="E8328" s="2">
        <v>4.5499999999999999E-2</v>
      </c>
      <c r="F8328" s="2">
        <v>1.8200000000000001E-2</v>
      </c>
      <c r="G8328" s="2">
        <v>8.3000000000000001E-3</v>
      </c>
      <c r="H8328" s="2">
        <v>2.5000000000000001E-3</v>
      </c>
      <c r="I8328" s="2">
        <v>2.5000000000000001E-3</v>
      </c>
      <c r="J8328" s="2">
        <v>2.3999999999999998E-3</v>
      </c>
      <c r="K8328" s="2">
        <v>1.9E-3</v>
      </c>
      <c r="L8328" s="2">
        <v>1.4E-3</v>
      </c>
      <c r="M8328" s="2">
        <v>1E-3</v>
      </c>
      <c r="N8328" s="2">
        <v>8.9999999999999998E-4</v>
      </c>
      <c r="O8328" s="2">
        <v>8.9999999999999998E-4</v>
      </c>
      <c r="P8328" s="2">
        <v>8.0000000000000004E-4</v>
      </c>
      <c r="Q8328" s="2">
        <v>4.0000000000000002E-4</v>
      </c>
      <c r="R8328" s="2">
        <v>2.0000000000000001E-4</v>
      </c>
      <c r="S8328" s="2">
        <v>1E-4</v>
      </c>
      <c r="T8328">
        <v>2812</v>
      </c>
    </row>
    <row r="8330" spans="1:20" x14ac:dyDescent="0.35">
      <c r="A8330" s="1" t="s">
        <v>2067</v>
      </c>
    </row>
    <row r="8331" spans="1:20" x14ac:dyDescent="0.35">
      <c r="A8331" t="s">
        <v>219</v>
      </c>
      <c r="B8331" t="s">
        <v>301</v>
      </c>
      <c r="C8331" t="s">
        <v>2063</v>
      </c>
      <c r="D8331" t="s">
        <v>1986</v>
      </c>
      <c r="E8331" t="s">
        <v>1987</v>
      </c>
      <c r="F8331" t="s">
        <v>1990</v>
      </c>
      <c r="G8331" t="s">
        <v>1989</v>
      </c>
      <c r="H8331" t="s">
        <v>1993</v>
      </c>
      <c r="I8331" t="s">
        <v>1988</v>
      </c>
      <c r="J8331" t="s">
        <v>1984</v>
      </c>
      <c r="K8331" t="s">
        <v>1992</v>
      </c>
      <c r="L8331" t="s">
        <v>1994</v>
      </c>
      <c r="M8331" t="s">
        <v>1996</v>
      </c>
      <c r="N8331" t="s">
        <v>1991</v>
      </c>
      <c r="O8331" t="s">
        <v>1995</v>
      </c>
      <c r="P8331" t="s">
        <v>1985</v>
      </c>
      <c r="Q8331" t="s">
        <v>282</v>
      </c>
      <c r="R8331" t="s">
        <v>277</v>
      </c>
      <c r="S8331" t="s">
        <v>2064</v>
      </c>
      <c r="T8331" t="s">
        <v>226</v>
      </c>
    </row>
    <row r="8332" spans="1:20" x14ac:dyDescent="0.35">
      <c r="A8332" t="s">
        <v>227</v>
      </c>
      <c r="B8332" t="s">
        <v>240</v>
      </c>
      <c r="C8332" s="2">
        <v>0.83860000000000001</v>
      </c>
      <c r="D8332" s="2">
        <v>7.7899999999999997E-2</v>
      </c>
      <c r="E8332" s="2">
        <v>4.2999999999999997E-2</v>
      </c>
      <c r="F8332" s="2">
        <v>1.7600000000000001E-2</v>
      </c>
      <c r="G8332" s="2">
        <v>8.8999999999999999E-3</v>
      </c>
      <c r="H8332" s="2">
        <v>3.8999999999999998E-3</v>
      </c>
      <c r="I8332" s="2">
        <v>1.6000000000000001E-3</v>
      </c>
      <c r="J8332" s="2">
        <v>6.9999999999999999E-4</v>
      </c>
      <c r="K8332" s="2">
        <v>1E-3</v>
      </c>
      <c r="L8332" s="2">
        <v>1.1999999999999999E-3</v>
      </c>
      <c r="M8332" s="2">
        <v>1.4E-3</v>
      </c>
      <c r="N8332" s="2">
        <v>1.1000000000000001E-3</v>
      </c>
      <c r="O8332" s="2">
        <v>1.5E-3</v>
      </c>
      <c r="P8332" s="2">
        <v>1E-3</v>
      </c>
      <c r="Q8332" s="2">
        <v>5.9999999999999995E-4</v>
      </c>
      <c r="R8332" s="2">
        <v>0</v>
      </c>
      <c r="S8332" s="2">
        <v>1E-4</v>
      </c>
      <c r="T8332">
        <v>1755</v>
      </c>
    </row>
    <row r="8333" spans="1:20" x14ac:dyDescent="0.35">
      <c r="A8333" t="s">
        <v>227</v>
      </c>
      <c r="B8333" t="s">
        <v>241</v>
      </c>
      <c r="C8333" s="2">
        <v>0.84870000000000001</v>
      </c>
      <c r="D8333" s="2">
        <v>7.46E-2</v>
      </c>
      <c r="E8333" s="2">
        <v>4.0300000000000002E-2</v>
      </c>
      <c r="F8333" s="2">
        <v>1.55E-2</v>
      </c>
      <c r="G8333" s="2">
        <v>2.2000000000000001E-3</v>
      </c>
      <c r="I8333" s="2">
        <v>4.4000000000000003E-3</v>
      </c>
      <c r="J8333" s="2">
        <v>6.3E-3</v>
      </c>
      <c r="K8333" s="2">
        <v>3.3999999999999998E-3</v>
      </c>
      <c r="L8333" s="2">
        <v>2.2000000000000001E-3</v>
      </c>
      <c r="M8333" s="2">
        <v>5.0000000000000001E-4</v>
      </c>
      <c r="N8333" s="2">
        <v>8.0000000000000004E-4</v>
      </c>
      <c r="P8333" s="2">
        <v>5.0000000000000001E-4</v>
      </c>
      <c r="R8333" s="2">
        <v>5.9999999999999995E-4</v>
      </c>
      <c r="T8333">
        <v>891</v>
      </c>
    </row>
    <row r="8334" spans="1:20" x14ac:dyDescent="0.35">
      <c r="A8334" t="s">
        <v>227</v>
      </c>
      <c r="B8334" t="s">
        <v>242</v>
      </c>
      <c r="C8334" s="2">
        <v>0.76339999999999997</v>
      </c>
      <c r="D8334" s="2">
        <v>6.88E-2</v>
      </c>
      <c r="E8334" s="2">
        <v>9.3399999999999997E-2</v>
      </c>
      <c r="F8334" s="2">
        <v>3.73E-2</v>
      </c>
      <c r="G8334" s="2">
        <v>2.92E-2</v>
      </c>
      <c r="I8334" s="2">
        <v>3.3E-3</v>
      </c>
      <c r="J8334" s="2">
        <v>1.1999999999999999E-3</v>
      </c>
      <c r="K8334" s="2">
        <v>3.3999999999999998E-3</v>
      </c>
      <c r="T8334">
        <v>166</v>
      </c>
    </row>
    <row r="8335" spans="1:20" x14ac:dyDescent="0.35">
      <c r="A8335" t="s">
        <v>228</v>
      </c>
      <c r="B8335" t="s">
        <v>228</v>
      </c>
      <c r="C8335" s="2">
        <v>0.83660000000000001</v>
      </c>
      <c r="D8335" s="2">
        <v>7.6300000000000007E-2</v>
      </c>
      <c r="E8335" s="2">
        <v>4.5499999999999999E-2</v>
      </c>
      <c r="F8335" s="2">
        <v>1.8200000000000001E-2</v>
      </c>
      <c r="G8335" s="2">
        <v>8.3000000000000001E-3</v>
      </c>
      <c r="H8335" s="2">
        <v>2.5000000000000001E-3</v>
      </c>
      <c r="I8335" s="2">
        <v>2.5000000000000001E-3</v>
      </c>
      <c r="J8335" s="2">
        <v>2.3999999999999998E-3</v>
      </c>
      <c r="K8335" s="2">
        <v>1.9E-3</v>
      </c>
      <c r="L8335" s="2">
        <v>1.4E-3</v>
      </c>
      <c r="M8335" s="2">
        <v>1E-3</v>
      </c>
      <c r="N8335" s="2">
        <v>8.9999999999999998E-4</v>
      </c>
      <c r="O8335" s="2">
        <v>8.9999999999999998E-4</v>
      </c>
      <c r="P8335" s="2">
        <v>8.0000000000000004E-4</v>
      </c>
      <c r="Q8335" s="2">
        <v>4.0000000000000002E-4</v>
      </c>
      <c r="R8335" s="2">
        <v>2.0000000000000001E-4</v>
      </c>
      <c r="S8335" s="2">
        <v>1E-4</v>
      </c>
      <c r="T8335">
        <v>2812</v>
      </c>
    </row>
    <row r="8337" spans="1:20" x14ac:dyDescent="0.35">
      <c r="A8337" s="1" t="s">
        <v>2068</v>
      </c>
    </row>
    <row r="8338" spans="1:20" x14ac:dyDescent="0.35">
      <c r="A8338" t="s">
        <v>219</v>
      </c>
      <c r="B8338" t="s">
        <v>301</v>
      </c>
      <c r="C8338" t="s">
        <v>2063</v>
      </c>
      <c r="D8338" t="s">
        <v>1986</v>
      </c>
      <c r="E8338" t="s">
        <v>1987</v>
      </c>
      <c r="F8338" t="s">
        <v>1990</v>
      </c>
      <c r="G8338" t="s">
        <v>1989</v>
      </c>
      <c r="H8338" t="s">
        <v>1993</v>
      </c>
      <c r="I8338" t="s">
        <v>1988</v>
      </c>
      <c r="J8338" t="s">
        <v>1984</v>
      </c>
      <c r="K8338" t="s">
        <v>1992</v>
      </c>
      <c r="L8338" t="s">
        <v>1994</v>
      </c>
      <c r="M8338" t="s">
        <v>1996</v>
      </c>
      <c r="N8338" t="s">
        <v>1991</v>
      </c>
      <c r="O8338" t="s">
        <v>1995</v>
      </c>
      <c r="P8338" t="s">
        <v>1985</v>
      </c>
      <c r="Q8338" t="s">
        <v>282</v>
      </c>
      <c r="R8338" t="s">
        <v>277</v>
      </c>
      <c r="S8338" t="s">
        <v>2064</v>
      </c>
      <c r="T8338" t="s">
        <v>226</v>
      </c>
    </row>
    <row r="8339" spans="1:20" x14ac:dyDescent="0.35">
      <c r="A8339" t="s">
        <v>227</v>
      </c>
      <c r="B8339" t="s">
        <v>334</v>
      </c>
      <c r="C8339" s="2">
        <v>0.70150000000000001</v>
      </c>
      <c r="D8339" s="2">
        <v>0.16950000000000001</v>
      </c>
      <c r="E8339" s="2">
        <v>5.79E-2</v>
      </c>
      <c r="F8339" s="2">
        <v>3.1800000000000002E-2</v>
      </c>
      <c r="G8339" s="2">
        <v>7.7000000000000002E-3</v>
      </c>
      <c r="H8339" s="2">
        <v>1.1299999999999999E-2</v>
      </c>
      <c r="I8339" s="2">
        <v>6.6E-3</v>
      </c>
      <c r="J8339" s="2">
        <v>4.1999999999999997E-3</v>
      </c>
      <c r="K8339" s="2">
        <v>2.0999999999999999E-3</v>
      </c>
      <c r="L8339" s="2">
        <v>3.5000000000000001E-3</v>
      </c>
      <c r="M8339" s="2">
        <v>2.0000000000000001E-4</v>
      </c>
      <c r="N8339" s="2">
        <v>5.9999999999999995E-4</v>
      </c>
      <c r="O8339" s="2">
        <v>2.0000000000000001E-4</v>
      </c>
      <c r="P8339" s="2">
        <v>6.9999999999999999E-4</v>
      </c>
      <c r="Q8339" s="2">
        <v>8.9999999999999998E-4</v>
      </c>
      <c r="R8339" s="2">
        <v>8.0000000000000004E-4</v>
      </c>
      <c r="S8339" s="2">
        <v>4.0000000000000002E-4</v>
      </c>
      <c r="T8339">
        <v>624</v>
      </c>
    </row>
    <row r="8340" spans="1:20" x14ac:dyDescent="0.35">
      <c r="A8340" t="s">
        <v>227</v>
      </c>
      <c r="B8340" t="s">
        <v>335</v>
      </c>
      <c r="C8340" s="2">
        <v>0.8962</v>
      </c>
      <c r="D8340" s="2">
        <v>3.1899999999999998E-2</v>
      </c>
      <c r="E8340" s="2">
        <v>5.4100000000000002E-2</v>
      </c>
      <c r="F8340" s="2">
        <v>1.01E-2</v>
      </c>
      <c r="G8340" s="2">
        <v>3.5000000000000001E-3</v>
      </c>
      <c r="I8340" s="2">
        <v>1.1000000000000001E-3</v>
      </c>
      <c r="J8340" s="2">
        <v>2.0999999999999999E-3</v>
      </c>
      <c r="K8340" s="2">
        <v>8.0000000000000004E-4</v>
      </c>
      <c r="N8340" s="2">
        <v>2.9999999999999997E-4</v>
      </c>
      <c r="T8340">
        <v>628</v>
      </c>
    </row>
    <row r="8341" spans="1:20" x14ac:dyDescent="0.35">
      <c r="A8341" t="s">
        <v>227</v>
      </c>
      <c r="B8341" t="s">
        <v>336</v>
      </c>
      <c r="C8341" s="2">
        <v>0.81699999999999995</v>
      </c>
      <c r="D8341" s="2">
        <v>8.0600000000000005E-2</v>
      </c>
      <c r="E8341" s="2">
        <v>5.1200000000000002E-2</v>
      </c>
      <c r="F8341" s="2">
        <v>1.4999999999999999E-2</v>
      </c>
      <c r="G8341" s="2">
        <v>8.6999999999999994E-3</v>
      </c>
      <c r="H8341" s="2">
        <v>5.0000000000000001E-4</v>
      </c>
      <c r="I8341" s="2">
        <v>2.8E-3</v>
      </c>
      <c r="J8341" s="2">
        <v>4.1000000000000003E-3</v>
      </c>
      <c r="K8341" s="2">
        <v>3.7000000000000002E-3</v>
      </c>
      <c r="L8341" s="2">
        <v>3.5999999999999999E-3</v>
      </c>
      <c r="M8341" s="2">
        <v>4.4999999999999997E-3</v>
      </c>
      <c r="N8341" s="2">
        <v>1.5E-3</v>
      </c>
      <c r="O8341" s="2">
        <v>3.5999999999999999E-3</v>
      </c>
      <c r="P8341" s="2">
        <v>3.0999999999999999E-3</v>
      </c>
      <c r="T8341">
        <v>621</v>
      </c>
    </row>
    <row r="8342" spans="1:20" x14ac:dyDescent="0.35">
      <c r="A8342" t="s">
        <v>227</v>
      </c>
      <c r="B8342" t="s">
        <v>337</v>
      </c>
      <c r="C8342" s="2">
        <v>0.87250000000000005</v>
      </c>
      <c r="D8342" s="2">
        <v>6.6699999999999995E-2</v>
      </c>
      <c r="E8342" s="2">
        <v>2.9000000000000001E-2</v>
      </c>
      <c r="F8342" s="2">
        <v>1.6799999999999999E-2</v>
      </c>
      <c r="G8342" s="2">
        <v>1.01E-2</v>
      </c>
      <c r="I8342" s="2">
        <v>1.1999999999999999E-3</v>
      </c>
      <c r="K8342" s="2">
        <v>1.4E-3</v>
      </c>
      <c r="M8342" s="2">
        <v>5.0000000000000001E-4</v>
      </c>
      <c r="N8342" s="2">
        <v>1.6000000000000001E-3</v>
      </c>
      <c r="O8342" s="2">
        <v>4.0000000000000002E-4</v>
      </c>
      <c r="T8342">
        <v>602</v>
      </c>
    </row>
    <row r="8343" spans="1:20" x14ac:dyDescent="0.35">
      <c r="A8343" t="s">
        <v>228</v>
      </c>
      <c r="B8343" t="s">
        <v>228</v>
      </c>
      <c r="C8343" s="2">
        <v>0.83660000000000001</v>
      </c>
      <c r="D8343" s="2">
        <v>7.6300000000000007E-2</v>
      </c>
      <c r="E8343" s="2">
        <v>4.5499999999999999E-2</v>
      </c>
      <c r="F8343" s="2">
        <v>1.8200000000000001E-2</v>
      </c>
      <c r="G8343" s="2">
        <v>8.3000000000000001E-3</v>
      </c>
      <c r="H8343" s="2">
        <v>2.5000000000000001E-3</v>
      </c>
      <c r="I8343" s="2">
        <v>2.5000000000000001E-3</v>
      </c>
      <c r="J8343" s="2">
        <v>2.3999999999999998E-3</v>
      </c>
      <c r="K8343" s="2">
        <v>1.9E-3</v>
      </c>
      <c r="L8343" s="2">
        <v>1.4E-3</v>
      </c>
      <c r="M8343" s="2">
        <v>1E-3</v>
      </c>
      <c r="N8343" s="2">
        <v>8.9999999999999998E-4</v>
      </c>
      <c r="O8343" s="2">
        <v>8.9999999999999998E-4</v>
      </c>
      <c r="P8343" s="2">
        <v>8.0000000000000004E-4</v>
      </c>
      <c r="Q8343" s="2">
        <v>4.0000000000000002E-4</v>
      </c>
      <c r="R8343" s="2">
        <v>2.0000000000000001E-4</v>
      </c>
      <c r="S8343" s="2">
        <v>1E-4</v>
      </c>
      <c r="T8343">
        <v>2475</v>
      </c>
    </row>
    <row r="8345" spans="1:20" x14ac:dyDescent="0.35">
      <c r="A8345" s="1" t="s">
        <v>2069</v>
      </c>
    </row>
    <row r="8346" spans="1:20" x14ac:dyDescent="0.35">
      <c r="A8346" t="s">
        <v>219</v>
      </c>
      <c r="B8346" t="s">
        <v>301</v>
      </c>
      <c r="C8346" t="s">
        <v>2063</v>
      </c>
      <c r="D8346" t="s">
        <v>1986</v>
      </c>
      <c r="E8346" t="s">
        <v>1987</v>
      </c>
      <c r="F8346" t="s">
        <v>1990</v>
      </c>
      <c r="G8346" t="s">
        <v>1989</v>
      </c>
      <c r="H8346" t="s">
        <v>1993</v>
      </c>
      <c r="I8346" t="s">
        <v>1988</v>
      </c>
      <c r="J8346" t="s">
        <v>1984</v>
      </c>
      <c r="K8346" t="s">
        <v>1992</v>
      </c>
      <c r="L8346" t="s">
        <v>1994</v>
      </c>
      <c r="M8346" t="s">
        <v>1996</v>
      </c>
      <c r="N8346" t="s">
        <v>1991</v>
      </c>
      <c r="O8346" t="s">
        <v>1995</v>
      </c>
      <c r="P8346" t="s">
        <v>1985</v>
      </c>
      <c r="Q8346" t="s">
        <v>282</v>
      </c>
      <c r="R8346" t="s">
        <v>277</v>
      </c>
      <c r="S8346" t="s">
        <v>2064</v>
      </c>
      <c r="T8346" t="s">
        <v>226</v>
      </c>
    </row>
    <row r="8347" spans="1:20" x14ac:dyDescent="0.35">
      <c r="A8347" t="s">
        <v>227</v>
      </c>
      <c r="B8347" t="s">
        <v>263</v>
      </c>
      <c r="C8347" s="2">
        <v>0.85150000000000003</v>
      </c>
      <c r="D8347" s="2">
        <v>5.7599999999999998E-2</v>
      </c>
      <c r="E8347" s="2">
        <v>4.4400000000000002E-2</v>
      </c>
      <c r="F8347" s="2">
        <v>2.1499999999999998E-2</v>
      </c>
      <c r="G8347" s="2">
        <v>1.03E-2</v>
      </c>
      <c r="H8347" s="2">
        <v>5.0000000000000001E-4</v>
      </c>
      <c r="I8347" s="2">
        <v>5.7000000000000002E-3</v>
      </c>
      <c r="J8347" s="2">
        <v>2E-3</v>
      </c>
      <c r="K8347" s="2">
        <v>2E-3</v>
      </c>
      <c r="M8347" s="2">
        <v>2.0000000000000001E-4</v>
      </c>
      <c r="N8347" s="2">
        <v>1.2999999999999999E-3</v>
      </c>
      <c r="P8347" s="2">
        <v>2.5000000000000001E-3</v>
      </c>
      <c r="R8347" s="2">
        <v>5.0000000000000001E-4</v>
      </c>
      <c r="T8347">
        <v>589</v>
      </c>
    </row>
    <row r="8348" spans="1:20" x14ac:dyDescent="0.35">
      <c r="A8348" t="s">
        <v>227</v>
      </c>
      <c r="B8348" t="s">
        <v>262</v>
      </c>
      <c r="C8348" s="2">
        <v>0.85599999999999998</v>
      </c>
      <c r="D8348" s="2">
        <v>8.7400000000000005E-2</v>
      </c>
      <c r="E8348" s="2">
        <v>2.1299999999999999E-2</v>
      </c>
      <c r="F8348" s="2">
        <v>1.12E-2</v>
      </c>
      <c r="G8348" s="2">
        <v>5.1000000000000004E-3</v>
      </c>
      <c r="H8348" s="2">
        <v>4.5999999999999999E-3</v>
      </c>
      <c r="I8348" s="2">
        <v>2.5000000000000001E-3</v>
      </c>
      <c r="J8348" s="2">
        <v>4.1999999999999997E-3</v>
      </c>
      <c r="K8348" s="2">
        <v>2.8E-3</v>
      </c>
      <c r="L8348" s="2">
        <v>2E-3</v>
      </c>
      <c r="M8348" s="2">
        <v>5.0000000000000001E-4</v>
      </c>
      <c r="N8348" s="2">
        <v>1.4E-3</v>
      </c>
      <c r="O8348" s="2">
        <v>2.9999999999999997E-4</v>
      </c>
      <c r="P8348" s="2">
        <v>5.0000000000000001E-4</v>
      </c>
      <c r="R8348" s="2">
        <v>2.9999999999999997E-4</v>
      </c>
      <c r="T8348">
        <v>1159</v>
      </c>
    </row>
    <row r="8349" spans="1:20" x14ac:dyDescent="0.35">
      <c r="A8349" t="s">
        <v>227</v>
      </c>
      <c r="B8349" t="s">
        <v>261</v>
      </c>
      <c r="C8349" s="2">
        <v>0.8135</v>
      </c>
      <c r="D8349" s="2">
        <v>7.4700000000000003E-2</v>
      </c>
      <c r="E8349" s="2">
        <v>6.7199999999999996E-2</v>
      </c>
      <c r="F8349" s="2">
        <v>2.2800000000000001E-2</v>
      </c>
      <c r="G8349" s="2">
        <v>0.01</v>
      </c>
      <c r="H8349" s="2">
        <v>1.6999999999999999E-3</v>
      </c>
      <c r="I8349" s="2">
        <v>1.1000000000000001E-3</v>
      </c>
      <c r="J8349" s="2">
        <v>1E-3</v>
      </c>
      <c r="K8349" s="2">
        <v>1E-3</v>
      </c>
      <c r="L8349" s="2">
        <v>1.6999999999999999E-3</v>
      </c>
      <c r="M8349" s="2">
        <v>1.9E-3</v>
      </c>
      <c r="N8349" s="2">
        <v>2.9999999999999997E-4</v>
      </c>
      <c r="O8349" s="2">
        <v>1.9E-3</v>
      </c>
      <c r="P8349" s="2">
        <v>2.0000000000000001E-4</v>
      </c>
      <c r="Q8349" s="2">
        <v>8.9999999999999998E-4</v>
      </c>
      <c r="S8349" s="2">
        <v>2.0000000000000001E-4</v>
      </c>
      <c r="T8349">
        <v>1062</v>
      </c>
    </row>
    <row r="8350" spans="1:20" x14ac:dyDescent="0.35">
      <c r="A8350" s="3" t="s">
        <v>227</v>
      </c>
      <c r="B8350" s="3" t="s">
        <v>232</v>
      </c>
      <c r="C8350" s="4">
        <v>0.5</v>
      </c>
      <c r="D8350" s="4">
        <v>0.5</v>
      </c>
      <c r="E8350" s="5"/>
      <c r="F8350" s="5"/>
      <c r="G8350" s="5"/>
      <c r="H8350" s="5"/>
      <c r="I8350" s="5"/>
      <c r="J8350" s="5"/>
      <c r="K8350" s="5"/>
      <c r="L8350" s="5"/>
      <c r="M8350" s="5"/>
      <c r="N8350" s="5"/>
      <c r="O8350" s="5"/>
      <c r="P8350" s="5"/>
      <c r="Q8350" s="5"/>
      <c r="R8350" s="5"/>
      <c r="S8350" s="5"/>
      <c r="T8350" s="5" t="s">
        <v>434</v>
      </c>
    </row>
    <row r="8351" spans="1:20" x14ac:dyDescent="0.35">
      <c r="A8351" t="s">
        <v>228</v>
      </c>
      <c r="B8351" t="s">
        <v>228</v>
      </c>
      <c r="C8351" s="2">
        <v>0.83660000000000001</v>
      </c>
      <c r="D8351" s="2">
        <v>7.6300000000000007E-2</v>
      </c>
      <c r="E8351" s="2">
        <v>4.5499999999999999E-2</v>
      </c>
      <c r="F8351" s="2">
        <v>1.8200000000000001E-2</v>
      </c>
      <c r="G8351" s="2">
        <v>8.3000000000000001E-3</v>
      </c>
      <c r="H8351" s="2">
        <v>2.5000000000000001E-3</v>
      </c>
      <c r="I8351" s="2">
        <v>2.5000000000000001E-3</v>
      </c>
      <c r="J8351" s="2">
        <v>2.3999999999999998E-3</v>
      </c>
      <c r="K8351" s="2">
        <v>1.9E-3</v>
      </c>
      <c r="L8351" s="2">
        <v>1.4E-3</v>
      </c>
      <c r="M8351" s="2">
        <v>1E-3</v>
      </c>
      <c r="N8351" s="2">
        <v>8.9999999999999998E-4</v>
      </c>
      <c r="O8351" s="2">
        <v>8.9999999999999998E-4</v>
      </c>
      <c r="P8351" s="2">
        <v>8.0000000000000004E-4</v>
      </c>
      <c r="Q8351" s="2">
        <v>4.0000000000000002E-4</v>
      </c>
      <c r="R8351" s="2">
        <v>2.0000000000000001E-4</v>
      </c>
      <c r="S8351" s="2">
        <v>1E-4</v>
      </c>
      <c r="T8351">
        <v>2812</v>
      </c>
    </row>
    <row r="8353" spans="1:20" x14ac:dyDescent="0.35">
      <c r="A8353" s="1" t="s">
        <v>2070</v>
      </c>
    </row>
    <row r="8354" spans="1:20" x14ac:dyDescent="0.35">
      <c r="A8354" t="s">
        <v>219</v>
      </c>
      <c r="B8354" t="s">
        <v>301</v>
      </c>
      <c r="C8354" t="s">
        <v>2063</v>
      </c>
      <c r="D8354" t="s">
        <v>1986</v>
      </c>
      <c r="E8354" t="s">
        <v>1987</v>
      </c>
      <c r="F8354" t="s">
        <v>1990</v>
      </c>
      <c r="G8354" t="s">
        <v>1989</v>
      </c>
      <c r="H8354" t="s">
        <v>1993</v>
      </c>
      <c r="I8354" t="s">
        <v>1988</v>
      </c>
      <c r="J8354" t="s">
        <v>1984</v>
      </c>
      <c r="K8354" t="s">
        <v>1992</v>
      </c>
      <c r="L8354" t="s">
        <v>1994</v>
      </c>
      <c r="M8354" t="s">
        <v>1996</v>
      </c>
      <c r="N8354" t="s">
        <v>1991</v>
      </c>
      <c r="O8354" t="s">
        <v>1995</v>
      </c>
      <c r="P8354" t="s">
        <v>1985</v>
      </c>
      <c r="Q8354" t="s">
        <v>282</v>
      </c>
      <c r="R8354" t="s">
        <v>277</v>
      </c>
      <c r="S8354" t="s">
        <v>2064</v>
      </c>
      <c r="T8354" t="s">
        <v>226</v>
      </c>
    </row>
    <row r="8355" spans="1:20" x14ac:dyDescent="0.35">
      <c r="A8355" t="s">
        <v>227</v>
      </c>
      <c r="B8355" t="s">
        <v>248</v>
      </c>
      <c r="C8355" s="2">
        <v>0.81320000000000003</v>
      </c>
      <c r="D8355" s="2">
        <v>9.8299999999999998E-2</v>
      </c>
      <c r="E8355" s="2">
        <v>4.6899999999999997E-2</v>
      </c>
      <c r="F8355" s="2">
        <v>1.3100000000000001E-2</v>
      </c>
      <c r="G8355" s="2">
        <v>8.0000000000000002E-3</v>
      </c>
      <c r="I8355" s="2">
        <v>1.6000000000000001E-3</v>
      </c>
      <c r="J8355" s="2">
        <v>5.5999999999999999E-3</v>
      </c>
      <c r="K8355" s="2">
        <v>2.8999999999999998E-3</v>
      </c>
      <c r="L8355" s="2">
        <v>2.3E-3</v>
      </c>
      <c r="M8355" s="2">
        <v>3.0999999999999999E-3</v>
      </c>
      <c r="N8355" s="2">
        <v>1.2999999999999999E-3</v>
      </c>
      <c r="O8355" s="2">
        <v>2.8E-3</v>
      </c>
      <c r="P8355" s="2">
        <v>2.0000000000000001E-4</v>
      </c>
      <c r="Q8355" s="2">
        <v>2.9999999999999997E-4</v>
      </c>
      <c r="R8355" s="2">
        <v>5.0000000000000001E-4</v>
      </c>
      <c r="T8355">
        <v>795</v>
      </c>
    </row>
    <row r="8356" spans="1:20" x14ac:dyDescent="0.35">
      <c r="A8356" t="s">
        <v>227</v>
      </c>
      <c r="B8356" t="s">
        <v>249</v>
      </c>
      <c r="C8356" s="2">
        <v>0.78</v>
      </c>
      <c r="D8356" s="2">
        <v>0.11459999999999999</v>
      </c>
      <c r="E8356" s="2">
        <v>5.2299999999999999E-2</v>
      </c>
      <c r="F8356" s="2">
        <v>1.9300000000000001E-2</v>
      </c>
      <c r="G8356" s="2">
        <v>1.03E-2</v>
      </c>
      <c r="H8356" s="2">
        <v>1.29E-2</v>
      </c>
      <c r="I8356" s="2">
        <v>1.1000000000000001E-3</v>
      </c>
      <c r="J8356" s="2">
        <v>4.0000000000000002E-4</v>
      </c>
      <c r="K8356" s="2">
        <v>3.2000000000000002E-3</v>
      </c>
      <c r="L8356" s="2">
        <v>3.7000000000000002E-3</v>
      </c>
      <c r="N8356" s="2">
        <v>6.9999999999999999E-4</v>
      </c>
      <c r="P8356" s="2">
        <v>5.0000000000000001E-4</v>
      </c>
      <c r="Q8356" s="2">
        <v>1E-3</v>
      </c>
      <c r="T8356">
        <v>541</v>
      </c>
    </row>
    <row r="8357" spans="1:20" x14ac:dyDescent="0.35">
      <c r="A8357" t="s">
        <v>227</v>
      </c>
      <c r="B8357" t="s">
        <v>247</v>
      </c>
      <c r="C8357" s="2">
        <v>0.86929999999999996</v>
      </c>
      <c r="D8357" s="2">
        <v>5.0999999999999997E-2</v>
      </c>
      <c r="E8357" s="2">
        <v>4.2299999999999997E-2</v>
      </c>
      <c r="F8357" s="2">
        <v>2.0500000000000001E-2</v>
      </c>
      <c r="G8357" s="2">
        <v>7.7000000000000002E-3</v>
      </c>
      <c r="I8357" s="2">
        <v>3.5000000000000001E-3</v>
      </c>
      <c r="J8357" s="2">
        <v>1.5E-3</v>
      </c>
      <c r="K8357" s="2">
        <v>8.9999999999999998E-4</v>
      </c>
      <c r="L8357" s="2">
        <v>2.0000000000000001E-4</v>
      </c>
      <c r="M8357" s="2">
        <v>2.9999999999999997E-4</v>
      </c>
      <c r="N8357" s="2">
        <v>8.0000000000000004E-4</v>
      </c>
      <c r="O8357" s="2">
        <v>2.9999999999999997E-4</v>
      </c>
      <c r="P8357" s="2">
        <v>1.1999999999999999E-3</v>
      </c>
      <c r="Q8357" s="2">
        <v>2.0000000000000001E-4</v>
      </c>
      <c r="R8357" s="2">
        <v>1E-4</v>
      </c>
      <c r="S8357" s="2">
        <v>2.0000000000000001E-4</v>
      </c>
      <c r="T8357">
        <v>1476</v>
      </c>
    </row>
    <row r="8358" spans="1:20" x14ac:dyDescent="0.35">
      <c r="A8358" t="s">
        <v>228</v>
      </c>
      <c r="B8358" t="s">
        <v>228</v>
      </c>
      <c r="C8358" s="2">
        <v>0.83660000000000001</v>
      </c>
      <c r="D8358" s="2">
        <v>7.6300000000000007E-2</v>
      </c>
      <c r="E8358" s="2">
        <v>4.5499999999999999E-2</v>
      </c>
      <c r="F8358" s="2">
        <v>1.8200000000000001E-2</v>
      </c>
      <c r="G8358" s="2">
        <v>8.3000000000000001E-3</v>
      </c>
      <c r="H8358" s="2">
        <v>2.5000000000000001E-3</v>
      </c>
      <c r="I8358" s="2">
        <v>2.5000000000000001E-3</v>
      </c>
      <c r="J8358" s="2">
        <v>2.3999999999999998E-3</v>
      </c>
      <c r="K8358" s="2">
        <v>1.9E-3</v>
      </c>
      <c r="L8358" s="2">
        <v>1.4E-3</v>
      </c>
      <c r="M8358" s="2">
        <v>1E-3</v>
      </c>
      <c r="N8358" s="2">
        <v>8.9999999999999998E-4</v>
      </c>
      <c r="O8358" s="2">
        <v>8.9999999999999998E-4</v>
      </c>
      <c r="P8358" s="2">
        <v>8.0000000000000004E-4</v>
      </c>
      <c r="Q8358" s="2">
        <v>4.0000000000000002E-4</v>
      </c>
      <c r="R8358" s="2">
        <v>2.0000000000000001E-4</v>
      </c>
      <c r="S8358" s="2">
        <v>1E-4</v>
      </c>
      <c r="T8358">
        <v>2812</v>
      </c>
    </row>
    <row r="8360" spans="1:20" x14ac:dyDescent="0.35">
      <c r="A8360" s="1" t="s">
        <v>2071</v>
      </c>
    </row>
    <row r="8361" spans="1:20" x14ac:dyDescent="0.35">
      <c r="A8361" t="s">
        <v>219</v>
      </c>
      <c r="B8361" t="s">
        <v>301</v>
      </c>
      <c r="C8361" t="s">
        <v>2063</v>
      </c>
      <c r="D8361" t="s">
        <v>1986</v>
      </c>
      <c r="E8361" t="s">
        <v>1987</v>
      </c>
      <c r="F8361" t="s">
        <v>1990</v>
      </c>
      <c r="G8361" t="s">
        <v>1989</v>
      </c>
      <c r="H8361" t="s">
        <v>1993</v>
      </c>
      <c r="I8361" t="s">
        <v>1988</v>
      </c>
      <c r="J8361" t="s">
        <v>1984</v>
      </c>
      <c r="K8361" t="s">
        <v>1992</v>
      </c>
      <c r="L8361" t="s">
        <v>1994</v>
      </c>
      <c r="M8361" t="s">
        <v>1996</v>
      </c>
      <c r="N8361" t="s">
        <v>1991</v>
      </c>
      <c r="O8361" t="s">
        <v>1995</v>
      </c>
      <c r="P8361" t="s">
        <v>1985</v>
      </c>
      <c r="Q8361" t="s">
        <v>282</v>
      </c>
      <c r="R8361" t="s">
        <v>277</v>
      </c>
      <c r="S8361" t="s">
        <v>2064</v>
      </c>
      <c r="T8361" t="s">
        <v>226</v>
      </c>
    </row>
    <row r="8362" spans="1:20" x14ac:dyDescent="0.35">
      <c r="A8362" t="s">
        <v>227</v>
      </c>
      <c r="B8362" t="s">
        <v>245</v>
      </c>
      <c r="C8362" s="2">
        <v>0.87829999999999997</v>
      </c>
      <c r="D8362" s="2">
        <v>4.2000000000000003E-2</v>
      </c>
      <c r="E8362" s="2">
        <v>4.0599999999999997E-2</v>
      </c>
      <c r="F8362" s="2">
        <v>1.95E-2</v>
      </c>
      <c r="G8362" s="2">
        <v>1.26E-2</v>
      </c>
      <c r="I8362" s="2">
        <v>2.3E-3</v>
      </c>
      <c r="J8362" s="2">
        <v>1.1999999999999999E-3</v>
      </c>
      <c r="K8362" s="2">
        <v>2E-3</v>
      </c>
      <c r="L8362" s="2">
        <v>2.9999999999999997E-4</v>
      </c>
      <c r="N8362" s="2">
        <v>8.9999999999999998E-4</v>
      </c>
      <c r="S8362" s="2">
        <v>2.9999999999999997E-4</v>
      </c>
      <c r="T8362">
        <v>783</v>
      </c>
    </row>
    <row r="8363" spans="1:20" x14ac:dyDescent="0.35">
      <c r="A8363" t="s">
        <v>227</v>
      </c>
      <c r="B8363" t="s">
        <v>244</v>
      </c>
      <c r="C8363" s="2">
        <v>0.82</v>
      </c>
      <c r="D8363" s="2">
        <v>0.09</v>
      </c>
      <c r="E8363" s="2">
        <v>4.7500000000000001E-2</v>
      </c>
      <c r="F8363" s="2">
        <v>1.78E-2</v>
      </c>
      <c r="G8363" s="2">
        <v>6.6E-3</v>
      </c>
      <c r="H8363" s="2">
        <v>3.5000000000000001E-3</v>
      </c>
      <c r="I8363" s="2">
        <v>2.5999999999999999E-3</v>
      </c>
      <c r="J8363" s="2">
        <v>2.8E-3</v>
      </c>
      <c r="K8363" s="2">
        <v>1.8E-3</v>
      </c>
      <c r="L8363" s="2">
        <v>1.9E-3</v>
      </c>
      <c r="M8363" s="2">
        <v>1.4E-3</v>
      </c>
      <c r="N8363" s="2">
        <v>8.9999999999999998E-4</v>
      </c>
      <c r="O8363" s="2">
        <v>1.2999999999999999E-3</v>
      </c>
      <c r="P8363" s="2">
        <v>1.1000000000000001E-3</v>
      </c>
      <c r="Q8363" s="2">
        <v>5.0000000000000001E-4</v>
      </c>
      <c r="R8363" s="2">
        <v>2.9999999999999997E-4</v>
      </c>
      <c r="T8363">
        <v>2029</v>
      </c>
    </row>
    <row r="8364" spans="1:20" x14ac:dyDescent="0.35">
      <c r="A8364" t="s">
        <v>228</v>
      </c>
      <c r="B8364" t="s">
        <v>228</v>
      </c>
      <c r="C8364" s="2">
        <v>0.83660000000000001</v>
      </c>
      <c r="D8364" s="2">
        <v>7.6300000000000007E-2</v>
      </c>
      <c r="E8364" s="2">
        <v>4.5499999999999999E-2</v>
      </c>
      <c r="F8364" s="2">
        <v>1.8200000000000001E-2</v>
      </c>
      <c r="G8364" s="2">
        <v>8.3000000000000001E-3</v>
      </c>
      <c r="H8364" s="2">
        <v>2.5000000000000001E-3</v>
      </c>
      <c r="I8364" s="2">
        <v>2.5000000000000001E-3</v>
      </c>
      <c r="J8364" s="2">
        <v>2.3999999999999998E-3</v>
      </c>
      <c r="K8364" s="2">
        <v>1.9E-3</v>
      </c>
      <c r="L8364" s="2">
        <v>1.4E-3</v>
      </c>
      <c r="M8364" s="2">
        <v>1E-3</v>
      </c>
      <c r="N8364" s="2">
        <v>8.9999999999999998E-4</v>
      </c>
      <c r="O8364" s="2">
        <v>8.9999999999999998E-4</v>
      </c>
      <c r="P8364" s="2">
        <v>8.0000000000000004E-4</v>
      </c>
      <c r="Q8364" s="2">
        <v>4.0000000000000002E-4</v>
      </c>
      <c r="R8364" s="2">
        <v>2.0000000000000001E-4</v>
      </c>
      <c r="S8364" s="2">
        <v>1E-4</v>
      </c>
      <c r="T8364">
        <v>2812</v>
      </c>
    </row>
    <row r="8366" spans="1:20" x14ac:dyDescent="0.35">
      <c r="A8366" s="1" t="s">
        <v>2072</v>
      </c>
    </row>
    <row r="8367" spans="1:20" x14ac:dyDescent="0.35">
      <c r="A8367" t="s">
        <v>219</v>
      </c>
      <c r="B8367" t="s">
        <v>301</v>
      </c>
      <c r="C8367" t="s">
        <v>2063</v>
      </c>
      <c r="D8367" t="s">
        <v>1986</v>
      </c>
      <c r="E8367" t="s">
        <v>1987</v>
      </c>
      <c r="F8367" t="s">
        <v>1990</v>
      </c>
      <c r="G8367" t="s">
        <v>1989</v>
      </c>
      <c r="H8367" t="s">
        <v>1993</v>
      </c>
      <c r="I8367" t="s">
        <v>1988</v>
      </c>
      <c r="J8367" t="s">
        <v>1984</v>
      </c>
      <c r="K8367" t="s">
        <v>1992</v>
      </c>
      <c r="L8367" t="s">
        <v>1994</v>
      </c>
      <c r="M8367" t="s">
        <v>1996</v>
      </c>
      <c r="N8367" t="s">
        <v>1991</v>
      </c>
      <c r="O8367" t="s">
        <v>1995</v>
      </c>
      <c r="P8367" t="s">
        <v>1985</v>
      </c>
      <c r="Q8367" t="s">
        <v>282</v>
      </c>
      <c r="R8367" t="s">
        <v>277</v>
      </c>
      <c r="S8367" t="s">
        <v>2064</v>
      </c>
      <c r="T8367" t="s">
        <v>226</v>
      </c>
    </row>
    <row r="8368" spans="1:20" x14ac:dyDescent="0.35">
      <c r="A8368" t="s">
        <v>227</v>
      </c>
      <c r="B8368" t="s">
        <v>259</v>
      </c>
      <c r="C8368" s="2">
        <v>0.90029999999999999</v>
      </c>
      <c r="D8368" s="2">
        <v>9.2999999999999992E-3</v>
      </c>
      <c r="E8368" s="2">
        <v>5.5999999999999999E-3</v>
      </c>
      <c r="F8368" s="2">
        <v>4.24E-2</v>
      </c>
      <c r="G8368" s="2">
        <v>5.5999999999999999E-3</v>
      </c>
      <c r="I8368" s="2">
        <v>5.1000000000000004E-3</v>
      </c>
      <c r="J8368" s="2">
        <v>1.6000000000000001E-3</v>
      </c>
      <c r="K8368" s="2">
        <v>1.04E-2</v>
      </c>
      <c r="N8368" s="2">
        <v>1.35E-2</v>
      </c>
      <c r="R8368" s="2">
        <v>6.3E-3</v>
      </c>
      <c r="T8368">
        <v>69</v>
      </c>
    </row>
    <row r="8369" spans="1:20" x14ac:dyDescent="0.35">
      <c r="A8369" t="s">
        <v>227</v>
      </c>
      <c r="B8369" t="s">
        <v>257</v>
      </c>
      <c r="C8369" s="2">
        <v>0.87609999999999999</v>
      </c>
      <c r="D8369" s="2">
        <v>3.95E-2</v>
      </c>
      <c r="E8369" s="2">
        <v>4.24E-2</v>
      </c>
      <c r="F8369" s="2">
        <v>1.2500000000000001E-2</v>
      </c>
      <c r="G8369" s="2">
        <v>2.1299999999999999E-2</v>
      </c>
      <c r="I8369" s="2">
        <v>2.3E-3</v>
      </c>
      <c r="K8369" s="2">
        <v>1.6000000000000001E-3</v>
      </c>
      <c r="L8369" s="2">
        <v>5.0000000000000001E-4</v>
      </c>
      <c r="M8369" s="2">
        <v>5.9999999999999995E-4</v>
      </c>
      <c r="N8369" s="2">
        <v>1.9E-3</v>
      </c>
      <c r="O8369" s="2">
        <v>5.0000000000000001E-4</v>
      </c>
      <c r="P8369" s="2">
        <v>8.9999999999999998E-4</v>
      </c>
      <c r="T8369">
        <v>405</v>
      </c>
    </row>
    <row r="8370" spans="1:20" x14ac:dyDescent="0.35">
      <c r="A8370" t="s">
        <v>227</v>
      </c>
      <c r="B8370" t="s">
        <v>256</v>
      </c>
      <c r="C8370" s="2">
        <v>0.80549999999999999</v>
      </c>
      <c r="D8370" s="2">
        <v>9.7799999999999998E-2</v>
      </c>
      <c r="E8370" s="2">
        <v>5.0200000000000002E-2</v>
      </c>
      <c r="F8370" s="2">
        <v>2.2700000000000001E-2</v>
      </c>
      <c r="G8370" s="2">
        <v>6.3E-3</v>
      </c>
      <c r="H8370" s="2">
        <v>3.7000000000000002E-3</v>
      </c>
      <c r="I8370" s="2">
        <v>2.8999999999999998E-3</v>
      </c>
      <c r="J8370" s="2">
        <v>2.5999999999999999E-3</v>
      </c>
      <c r="K8370" s="2">
        <v>1.9E-3</v>
      </c>
      <c r="L8370" s="2">
        <v>2E-3</v>
      </c>
      <c r="M8370" s="2">
        <v>1.4E-3</v>
      </c>
      <c r="N8370" s="2">
        <v>4.0000000000000002E-4</v>
      </c>
      <c r="O8370" s="2">
        <v>1.1000000000000001E-3</v>
      </c>
      <c r="P8370" s="2">
        <v>8.0000000000000004E-4</v>
      </c>
      <c r="Q8370" s="2">
        <v>2.9999999999999997E-4</v>
      </c>
      <c r="R8370" s="2">
        <v>1E-4</v>
      </c>
      <c r="S8370" s="2">
        <v>1E-4</v>
      </c>
      <c r="T8370">
        <v>1802</v>
      </c>
    </row>
    <row r="8371" spans="1:20" x14ac:dyDescent="0.35">
      <c r="A8371" s="3" t="s">
        <v>227</v>
      </c>
      <c r="B8371" s="3" t="s">
        <v>232</v>
      </c>
      <c r="C8371" s="4">
        <v>0.61629999999999996</v>
      </c>
      <c r="D8371" s="4">
        <v>4.3200000000000002E-2</v>
      </c>
      <c r="E8371" s="5"/>
      <c r="F8371" s="5"/>
      <c r="G8371" s="5"/>
      <c r="H8371" s="5"/>
      <c r="I8371" s="5"/>
      <c r="J8371" s="4">
        <v>0.32719999999999999</v>
      </c>
      <c r="K8371" s="5"/>
      <c r="L8371" s="5"/>
      <c r="M8371" s="5"/>
      <c r="N8371" s="5"/>
      <c r="O8371" s="5"/>
      <c r="P8371" s="4">
        <v>1.3299999999999999E-2</v>
      </c>
      <c r="Q8371" s="5"/>
      <c r="R8371" s="5"/>
      <c r="S8371" s="5"/>
      <c r="T8371" s="5" t="s">
        <v>307</v>
      </c>
    </row>
    <row r="8372" spans="1:20" x14ac:dyDescent="0.35">
      <c r="A8372" t="s">
        <v>227</v>
      </c>
      <c r="B8372" t="s">
        <v>258</v>
      </c>
      <c r="C8372" s="2">
        <v>0.92689999999999995</v>
      </c>
      <c r="D8372" s="2">
        <v>2.9700000000000001E-2</v>
      </c>
      <c r="E8372" s="2">
        <v>3.32E-2</v>
      </c>
      <c r="F8372" s="2">
        <v>2.3999999999999998E-3</v>
      </c>
      <c r="G8372" s="2">
        <v>2.5999999999999999E-3</v>
      </c>
      <c r="I8372" s="2">
        <v>1.1000000000000001E-3</v>
      </c>
      <c r="K8372" s="2">
        <v>1.2999999999999999E-3</v>
      </c>
      <c r="N8372" s="2">
        <v>8.0000000000000004E-4</v>
      </c>
      <c r="O8372" s="2">
        <v>5.9999999999999995E-4</v>
      </c>
      <c r="P8372" s="2">
        <v>2.0000000000000001E-4</v>
      </c>
      <c r="Q8372" s="2">
        <v>1.1999999999999999E-3</v>
      </c>
      <c r="T8372">
        <v>525</v>
      </c>
    </row>
    <row r="8373" spans="1:20" x14ac:dyDescent="0.35">
      <c r="A8373" t="s">
        <v>228</v>
      </c>
      <c r="B8373" t="s">
        <v>228</v>
      </c>
      <c r="C8373" s="2">
        <v>0.83660000000000001</v>
      </c>
      <c r="D8373" s="2">
        <v>7.6300000000000007E-2</v>
      </c>
      <c r="E8373" s="2">
        <v>4.5499999999999999E-2</v>
      </c>
      <c r="F8373" s="2">
        <v>1.8200000000000001E-2</v>
      </c>
      <c r="G8373" s="2">
        <v>8.3000000000000001E-3</v>
      </c>
      <c r="H8373" s="2">
        <v>2.5000000000000001E-3</v>
      </c>
      <c r="I8373" s="2">
        <v>2.5000000000000001E-3</v>
      </c>
      <c r="J8373" s="2">
        <v>2.3999999999999998E-3</v>
      </c>
      <c r="K8373" s="2">
        <v>1.9E-3</v>
      </c>
      <c r="L8373" s="2">
        <v>1.4E-3</v>
      </c>
      <c r="M8373" s="2">
        <v>1E-3</v>
      </c>
      <c r="N8373" s="2">
        <v>8.9999999999999998E-4</v>
      </c>
      <c r="O8373" s="2">
        <v>8.9999999999999998E-4</v>
      </c>
      <c r="P8373" s="2">
        <v>8.0000000000000004E-4</v>
      </c>
      <c r="Q8373" s="2">
        <v>4.0000000000000002E-4</v>
      </c>
      <c r="R8373" s="2">
        <v>2.0000000000000001E-4</v>
      </c>
      <c r="S8373" s="2">
        <v>1E-4</v>
      </c>
      <c r="T8373">
        <v>2812</v>
      </c>
    </row>
    <row r="8375" spans="1:20" x14ac:dyDescent="0.35">
      <c r="A8375" s="1" t="s">
        <v>2073</v>
      </c>
    </row>
    <row r="8376" spans="1:20" x14ac:dyDescent="0.35">
      <c r="A8376" t="s">
        <v>219</v>
      </c>
      <c r="B8376" t="s">
        <v>301</v>
      </c>
      <c r="C8376" t="s">
        <v>2063</v>
      </c>
      <c r="D8376" t="s">
        <v>1986</v>
      </c>
      <c r="E8376" t="s">
        <v>1987</v>
      </c>
      <c r="F8376" t="s">
        <v>1990</v>
      </c>
      <c r="G8376" t="s">
        <v>1989</v>
      </c>
      <c r="H8376" t="s">
        <v>1993</v>
      </c>
      <c r="I8376" t="s">
        <v>1988</v>
      </c>
      <c r="J8376" t="s">
        <v>1984</v>
      </c>
      <c r="K8376" t="s">
        <v>1992</v>
      </c>
      <c r="L8376" t="s">
        <v>1994</v>
      </c>
      <c r="M8376" t="s">
        <v>1996</v>
      </c>
      <c r="N8376" t="s">
        <v>1991</v>
      </c>
      <c r="O8376" t="s">
        <v>1995</v>
      </c>
      <c r="P8376" t="s">
        <v>1985</v>
      </c>
      <c r="Q8376" t="s">
        <v>282</v>
      </c>
      <c r="R8376" t="s">
        <v>277</v>
      </c>
      <c r="S8376" t="s">
        <v>2064</v>
      </c>
      <c r="T8376" t="s">
        <v>226</v>
      </c>
    </row>
    <row r="8377" spans="1:20" x14ac:dyDescent="0.35">
      <c r="A8377" t="s">
        <v>227</v>
      </c>
      <c r="B8377" t="s">
        <v>343</v>
      </c>
      <c r="C8377" s="2">
        <v>0.87609999999999999</v>
      </c>
      <c r="D8377" s="2">
        <v>3.95E-2</v>
      </c>
      <c r="E8377" s="2">
        <v>4.24E-2</v>
      </c>
      <c r="F8377" s="2">
        <v>1.2500000000000001E-2</v>
      </c>
      <c r="G8377" s="2">
        <v>2.1299999999999999E-2</v>
      </c>
      <c r="I8377" s="2">
        <v>2.3E-3</v>
      </c>
      <c r="K8377" s="2">
        <v>1.6000000000000001E-3</v>
      </c>
      <c r="L8377" s="2">
        <v>5.0000000000000001E-4</v>
      </c>
      <c r="M8377" s="2">
        <v>5.9999999999999995E-4</v>
      </c>
      <c r="N8377" s="2">
        <v>1.9E-3</v>
      </c>
      <c r="O8377" s="2">
        <v>5.0000000000000001E-4</v>
      </c>
      <c r="P8377" s="2">
        <v>8.9999999999999998E-4</v>
      </c>
      <c r="T8377">
        <v>405</v>
      </c>
    </row>
    <row r="8378" spans="1:20" x14ac:dyDescent="0.35">
      <c r="A8378" t="s">
        <v>227</v>
      </c>
      <c r="B8378" t="s">
        <v>344</v>
      </c>
      <c r="C8378" s="2">
        <v>0.82850000000000001</v>
      </c>
      <c r="D8378" s="2">
        <v>8.3799999999999999E-2</v>
      </c>
      <c r="E8378" s="2">
        <v>4.6100000000000002E-2</v>
      </c>
      <c r="F8378" s="2">
        <v>1.9400000000000001E-2</v>
      </c>
      <c r="G8378" s="2">
        <v>5.5999999999999999E-3</v>
      </c>
      <c r="H8378" s="2">
        <v>3.0000000000000001E-3</v>
      </c>
      <c r="I8378" s="2">
        <v>2.5999999999999999E-3</v>
      </c>
      <c r="J8378" s="2">
        <v>2.8999999999999998E-3</v>
      </c>
      <c r="K8378" s="2">
        <v>1.9E-3</v>
      </c>
      <c r="L8378" s="2">
        <v>1.6000000000000001E-3</v>
      </c>
      <c r="M8378" s="2">
        <v>1.1000000000000001E-3</v>
      </c>
      <c r="N8378" s="2">
        <v>6.9999999999999999E-4</v>
      </c>
      <c r="O8378" s="2">
        <v>1E-3</v>
      </c>
      <c r="P8378" s="2">
        <v>6.9999999999999999E-4</v>
      </c>
      <c r="Q8378" s="2">
        <v>4.0000000000000002E-4</v>
      </c>
      <c r="R8378" s="2">
        <v>2.0000000000000001E-4</v>
      </c>
      <c r="S8378" s="2">
        <v>1E-4</v>
      </c>
      <c r="T8378">
        <v>2407</v>
      </c>
    </row>
    <row r="8379" spans="1:20" x14ac:dyDescent="0.35">
      <c r="A8379" t="s">
        <v>228</v>
      </c>
      <c r="B8379" t="s">
        <v>228</v>
      </c>
      <c r="C8379" s="2">
        <v>0.83660000000000001</v>
      </c>
      <c r="D8379" s="2">
        <v>7.6300000000000007E-2</v>
      </c>
      <c r="E8379" s="2">
        <v>4.5499999999999999E-2</v>
      </c>
      <c r="F8379" s="2">
        <v>1.8200000000000001E-2</v>
      </c>
      <c r="G8379" s="2">
        <v>8.3000000000000001E-3</v>
      </c>
      <c r="H8379" s="2">
        <v>2.5000000000000001E-3</v>
      </c>
      <c r="I8379" s="2">
        <v>2.5000000000000001E-3</v>
      </c>
      <c r="J8379" s="2">
        <v>2.3999999999999998E-3</v>
      </c>
      <c r="K8379" s="2">
        <v>1.9E-3</v>
      </c>
      <c r="L8379" s="2">
        <v>1.4E-3</v>
      </c>
      <c r="M8379" s="2">
        <v>1E-3</v>
      </c>
      <c r="N8379" s="2">
        <v>8.9999999999999998E-4</v>
      </c>
      <c r="O8379" s="2">
        <v>8.9999999999999998E-4</v>
      </c>
      <c r="P8379" s="2">
        <v>8.0000000000000004E-4</v>
      </c>
      <c r="Q8379" s="2">
        <v>4.0000000000000002E-4</v>
      </c>
      <c r="R8379" s="2">
        <v>2.0000000000000001E-4</v>
      </c>
      <c r="S8379" s="2">
        <v>1E-4</v>
      </c>
      <c r="T8379">
        <v>2812</v>
      </c>
    </row>
    <row r="8381" spans="1:20" x14ac:dyDescent="0.35">
      <c r="A8381" s="1" t="s">
        <v>2074</v>
      </c>
    </row>
    <row r="8382" spans="1:20" x14ac:dyDescent="0.35">
      <c r="A8382" t="s">
        <v>219</v>
      </c>
      <c r="B8382" t="s">
        <v>301</v>
      </c>
      <c r="C8382" t="s">
        <v>2063</v>
      </c>
      <c r="D8382" t="s">
        <v>1986</v>
      </c>
      <c r="E8382" t="s">
        <v>1987</v>
      </c>
      <c r="F8382" t="s">
        <v>1990</v>
      </c>
      <c r="G8382" t="s">
        <v>1989</v>
      </c>
      <c r="H8382" t="s">
        <v>1993</v>
      </c>
      <c r="I8382" t="s">
        <v>1988</v>
      </c>
      <c r="J8382" t="s">
        <v>1984</v>
      </c>
      <c r="K8382" t="s">
        <v>1992</v>
      </c>
      <c r="L8382" t="s">
        <v>1994</v>
      </c>
      <c r="M8382" t="s">
        <v>1996</v>
      </c>
      <c r="N8382" t="s">
        <v>1991</v>
      </c>
      <c r="O8382" t="s">
        <v>1995</v>
      </c>
      <c r="P8382" t="s">
        <v>1985</v>
      </c>
      <c r="Q8382" t="s">
        <v>282</v>
      </c>
      <c r="R8382" t="s">
        <v>277</v>
      </c>
      <c r="S8382" t="s">
        <v>2064</v>
      </c>
      <c r="T8382" t="s">
        <v>226</v>
      </c>
    </row>
    <row r="8383" spans="1:20" x14ac:dyDescent="0.35">
      <c r="A8383" t="s">
        <v>227</v>
      </c>
      <c r="B8383" t="s">
        <v>346</v>
      </c>
      <c r="C8383" s="2">
        <v>0.83040000000000003</v>
      </c>
      <c r="D8383" s="2">
        <v>8.2100000000000006E-2</v>
      </c>
      <c r="E8383" s="2">
        <v>4.8099999999999997E-2</v>
      </c>
      <c r="F8383" s="2">
        <v>1.9599999999999999E-2</v>
      </c>
      <c r="G8383" s="2">
        <v>7.7000000000000002E-3</v>
      </c>
      <c r="H8383" s="2">
        <v>2.7000000000000001E-3</v>
      </c>
      <c r="I8383" s="2">
        <v>1.6999999999999999E-3</v>
      </c>
      <c r="J8383" s="2">
        <v>1.6999999999999999E-3</v>
      </c>
      <c r="K8383" s="2">
        <v>1.1000000000000001E-3</v>
      </c>
      <c r="L8383" s="2">
        <v>1.6000000000000001E-3</v>
      </c>
      <c r="M8383" s="2">
        <v>1E-3</v>
      </c>
      <c r="N8383" s="2">
        <v>2.9999999999999997E-4</v>
      </c>
      <c r="O8383" s="2">
        <v>8.9999999999999998E-4</v>
      </c>
      <c r="P8383" s="2">
        <v>5.9999999999999995E-4</v>
      </c>
      <c r="Q8383" s="2">
        <v>2.0000000000000001E-4</v>
      </c>
      <c r="R8383" s="2">
        <v>1E-4</v>
      </c>
      <c r="S8383" s="2">
        <v>1E-4</v>
      </c>
      <c r="T8383">
        <v>1463</v>
      </c>
    </row>
    <row r="8384" spans="1:20" x14ac:dyDescent="0.35">
      <c r="A8384" t="s">
        <v>227</v>
      </c>
      <c r="B8384" t="s">
        <v>347</v>
      </c>
      <c r="C8384" s="2">
        <v>0.78400000000000003</v>
      </c>
      <c r="D8384" s="2">
        <v>7.5999999999999998E-2</v>
      </c>
      <c r="E8384" s="2">
        <v>3.1399999999999997E-2</v>
      </c>
      <c r="F8384" s="2">
        <v>2.41E-2</v>
      </c>
      <c r="G8384" s="2">
        <v>2.1600000000000001E-2</v>
      </c>
      <c r="H8384" s="2">
        <v>2.8999999999999998E-3</v>
      </c>
      <c r="I8384" s="2">
        <v>1.0999999999999999E-2</v>
      </c>
      <c r="J8384" s="2">
        <v>9.5999999999999992E-3</v>
      </c>
      <c r="K8384" s="2">
        <v>1.2500000000000001E-2</v>
      </c>
      <c r="L8384" s="2">
        <v>2.3E-3</v>
      </c>
      <c r="M8384" s="2">
        <v>5.1999999999999998E-3</v>
      </c>
      <c r="N8384" s="2">
        <v>7.0000000000000001E-3</v>
      </c>
      <c r="O8384" s="2">
        <v>2.5999999999999999E-3</v>
      </c>
      <c r="P8384" s="2">
        <v>1.4E-3</v>
      </c>
      <c r="Q8384" s="2">
        <v>4.7999999999999996E-3</v>
      </c>
      <c r="R8384" s="2">
        <v>3.5999999999999999E-3</v>
      </c>
      <c r="T8384">
        <v>585</v>
      </c>
    </row>
    <row r="8385" spans="1:20" x14ac:dyDescent="0.35">
      <c r="A8385" t="s">
        <v>227</v>
      </c>
      <c r="B8385" t="s">
        <v>348</v>
      </c>
      <c r="C8385" s="2">
        <v>0.91200000000000003</v>
      </c>
      <c r="D8385" s="2">
        <v>2.4199999999999999E-2</v>
      </c>
      <c r="E8385" s="2">
        <v>2.7699999999999999E-2</v>
      </c>
      <c r="F8385" s="2">
        <v>4.1000000000000003E-3</v>
      </c>
      <c r="G8385" s="2">
        <v>8.0000000000000002E-3</v>
      </c>
      <c r="I8385" s="2">
        <v>6.7000000000000002E-3</v>
      </c>
      <c r="J8385" s="2">
        <v>5.8999999999999999E-3</v>
      </c>
      <c r="K8385" s="2">
        <v>4.7000000000000002E-3</v>
      </c>
      <c r="N8385" s="2">
        <v>4.1000000000000003E-3</v>
      </c>
      <c r="O8385" s="2">
        <v>5.0000000000000001E-4</v>
      </c>
      <c r="P8385" s="2">
        <v>2.0999999999999999E-3</v>
      </c>
      <c r="T8385">
        <v>764</v>
      </c>
    </row>
    <row r="8386" spans="1:20" x14ac:dyDescent="0.35">
      <c r="A8386" t="s">
        <v>228</v>
      </c>
      <c r="B8386" t="s">
        <v>228</v>
      </c>
      <c r="C8386" s="2">
        <v>0.83660000000000001</v>
      </c>
      <c r="D8386" s="2">
        <v>7.6300000000000007E-2</v>
      </c>
      <c r="E8386" s="2">
        <v>4.5499999999999999E-2</v>
      </c>
      <c r="F8386" s="2">
        <v>1.8200000000000001E-2</v>
      </c>
      <c r="G8386" s="2">
        <v>8.3000000000000001E-3</v>
      </c>
      <c r="H8386" s="2">
        <v>2.5000000000000001E-3</v>
      </c>
      <c r="I8386" s="2">
        <v>2.5000000000000001E-3</v>
      </c>
      <c r="J8386" s="2">
        <v>2.3999999999999998E-3</v>
      </c>
      <c r="K8386" s="2">
        <v>1.9E-3</v>
      </c>
      <c r="L8386" s="2">
        <v>1.4E-3</v>
      </c>
      <c r="M8386" s="2">
        <v>1E-3</v>
      </c>
      <c r="N8386" s="2">
        <v>8.9999999999999998E-4</v>
      </c>
      <c r="O8386" s="2">
        <v>8.9999999999999998E-4</v>
      </c>
      <c r="P8386" s="2">
        <v>8.0000000000000004E-4</v>
      </c>
      <c r="Q8386" s="2">
        <v>4.0000000000000002E-4</v>
      </c>
      <c r="R8386" s="2">
        <v>2.0000000000000001E-4</v>
      </c>
      <c r="S8386" s="2">
        <v>1E-4</v>
      </c>
      <c r="T8386">
        <v>2812</v>
      </c>
    </row>
    <row r="8388" spans="1:20" x14ac:dyDescent="0.35">
      <c r="A8388" s="1" t="s">
        <v>2075</v>
      </c>
    </row>
    <row r="8389" spans="1:20" x14ac:dyDescent="0.35">
      <c r="A8389" t="s">
        <v>219</v>
      </c>
      <c r="B8389" t="s">
        <v>301</v>
      </c>
      <c r="C8389" t="s">
        <v>2063</v>
      </c>
      <c r="D8389" t="s">
        <v>1986</v>
      </c>
      <c r="E8389" t="s">
        <v>1987</v>
      </c>
      <c r="F8389" t="s">
        <v>1990</v>
      </c>
      <c r="G8389" t="s">
        <v>1989</v>
      </c>
      <c r="H8389" t="s">
        <v>1993</v>
      </c>
      <c r="I8389" t="s">
        <v>1988</v>
      </c>
      <c r="J8389" t="s">
        <v>1984</v>
      </c>
      <c r="K8389" t="s">
        <v>1992</v>
      </c>
      <c r="L8389" t="s">
        <v>1994</v>
      </c>
      <c r="M8389" t="s">
        <v>1996</v>
      </c>
      <c r="N8389" t="s">
        <v>1991</v>
      </c>
      <c r="O8389" t="s">
        <v>1995</v>
      </c>
      <c r="P8389" t="s">
        <v>1985</v>
      </c>
      <c r="Q8389" t="s">
        <v>282</v>
      </c>
      <c r="R8389" t="s">
        <v>277</v>
      </c>
      <c r="S8389" t="s">
        <v>2064</v>
      </c>
      <c r="T8389" t="s">
        <v>226</v>
      </c>
    </row>
    <row r="8390" spans="1:20" x14ac:dyDescent="0.35">
      <c r="A8390" t="s">
        <v>227</v>
      </c>
      <c r="B8390" t="s">
        <v>251</v>
      </c>
      <c r="C8390" s="2">
        <v>0.82</v>
      </c>
      <c r="D8390" s="2">
        <v>0.09</v>
      </c>
      <c r="E8390" s="2">
        <v>4.7500000000000001E-2</v>
      </c>
      <c r="F8390" s="2">
        <v>1.78E-2</v>
      </c>
      <c r="G8390" s="2">
        <v>6.6E-3</v>
      </c>
      <c r="H8390" s="2">
        <v>3.5000000000000001E-3</v>
      </c>
      <c r="I8390" s="2">
        <v>2.5999999999999999E-3</v>
      </c>
      <c r="J8390" s="2">
        <v>2.8E-3</v>
      </c>
      <c r="K8390" s="2">
        <v>1.8E-3</v>
      </c>
      <c r="L8390" s="2">
        <v>1.9E-3</v>
      </c>
      <c r="M8390" s="2">
        <v>1.4E-3</v>
      </c>
      <c r="N8390" s="2">
        <v>8.9999999999999998E-4</v>
      </c>
      <c r="O8390" s="2">
        <v>1.2999999999999999E-3</v>
      </c>
      <c r="P8390" s="2">
        <v>1.1000000000000001E-3</v>
      </c>
      <c r="Q8390" s="2">
        <v>5.0000000000000001E-4</v>
      </c>
      <c r="R8390" s="2">
        <v>2.9999999999999997E-4</v>
      </c>
      <c r="T8390">
        <v>2029</v>
      </c>
    </row>
    <row r="8391" spans="1:20" x14ac:dyDescent="0.35">
      <c r="A8391" t="s">
        <v>227</v>
      </c>
      <c r="B8391" t="s">
        <v>252</v>
      </c>
      <c r="C8391" s="2">
        <v>0.87050000000000005</v>
      </c>
      <c r="D8391" s="2">
        <v>4.4699999999999997E-2</v>
      </c>
      <c r="E8391" s="2">
        <v>4.3900000000000002E-2</v>
      </c>
      <c r="F8391" s="2">
        <v>2.3E-2</v>
      </c>
      <c r="G8391" s="2">
        <v>1.06E-2</v>
      </c>
      <c r="I8391" s="2">
        <v>2.5999999999999999E-3</v>
      </c>
      <c r="J8391" s="2">
        <v>1.1999999999999999E-3</v>
      </c>
      <c r="K8391" s="2">
        <v>2.5000000000000001E-3</v>
      </c>
      <c r="L8391" s="2">
        <v>4.0000000000000002E-4</v>
      </c>
      <c r="N8391" s="2">
        <v>2.0000000000000001E-4</v>
      </c>
      <c r="S8391" s="2">
        <v>4.0000000000000002E-4</v>
      </c>
      <c r="T8391">
        <v>621</v>
      </c>
    </row>
    <row r="8392" spans="1:20" x14ac:dyDescent="0.35">
      <c r="A8392" t="s">
        <v>227</v>
      </c>
      <c r="B8392" t="s">
        <v>253</v>
      </c>
      <c r="C8392" s="2">
        <v>0.91020000000000001</v>
      </c>
      <c r="D8392" s="2">
        <v>3.1699999999999999E-2</v>
      </c>
      <c r="E8392" s="2">
        <v>2.7199999999999998E-2</v>
      </c>
      <c r="F8392" s="2">
        <v>4.7000000000000002E-3</v>
      </c>
      <c r="G8392" s="2">
        <v>1.9400000000000001E-2</v>
      </c>
      <c r="I8392" s="2">
        <v>1.5E-3</v>
      </c>
      <c r="J8392" s="2">
        <v>1.5E-3</v>
      </c>
      <c r="N8392" s="2">
        <v>3.7000000000000002E-3</v>
      </c>
      <c r="T8392">
        <v>153</v>
      </c>
    </row>
    <row r="8393" spans="1:20" x14ac:dyDescent="0.35">
      <c r="A8393" s="3" t="s">
        <v>227</v>
      </c>
      <c r="B8393" s="3" t="s">
        <v>254</v>
      </c>
      <c r="C8393" s="4">
        <v>0.94199999999999995</v>
      </c>
      <c r="D8393" s="5"/>
      <c r="E8393" s="5"/>
      <c r="F8393" s="5"/>
      <c r="G8393" s="4">
        <v>5.8000000000000003E-2</v>
      </c>
      <c r="H8393" s="5"/>
      <c r="I8393" s="5"/>
      <c r="J8393" s="5"/>
      <c r="K8393" s="5"/>
      <c r="L8393" s="5"/>
      <c r="M8393" s="5"/>
      <c r="N8393" s="5"/>
      <c r="O8393" s="5"/>
      <c r="P8393" s="5"/>
      <c r="Q8393" s="5"/>
      <c r="R8393" s="5"/>
      <c r="S8393" s="5"/>
      <c r="T8393" s="5" t="s">
        <v>515</v>
      </c>
    </row>
    <row r="8394" spans="1:20" x14ac:dyDescent="0.35">
      <c r="A8394" t="s">
        <v>228</v>
      </c>
      <c r="B8394" t="s">
        <v>228</v>
      </c>
      <c r="C8394" s="2">
        <v>0.83660000000000001</v>
      </c>
      <c r="D8394" s="2">
        <v>7.6300000000000007E-2</v>
      </c>
      <c r="E8394" s="2">
        <v>4.5499999999999999E-2</v>
      </c>
      <c r="F8394" s="2">
        <v>1.8200000000000001E-2</v>
      </c>
      <c r="G8394" s="2">
        <v>8.3000000000000001E-3</v>
      </c>
      <c r="H8394" s="2">
        <v>2.5000000000000001E-3</v>
      </c>
      <c r="I8394" s="2">
        <v>2.5000000000000001E-3</v>
      </c>
      <c r="J8394" s="2">
        <v>2.3999999999999998E-3</v>
      </c>
      <c r="K8394" s="2">
        <v>1.9E-3</v>
      </c>
      <c r="L8394" s="2">
        <v>1.4E-3</v>
      </c>
      <c r="M8394" s="2">
        <v>1E-3</v>
      </c>
      <c r="N8394" s="2">
        <v>8.9999999999999998E-4</v>
      </c>
      <c r="O8394" s="2">
        <v>8.9999999999999998E-4</v>
      </c>
      <c r="P8394" s="2">
        <v>8.0000000000000004E-4</v>
      </c>
      <c r="Q8394" s="2">
        <v>4.0000000000000002E-4</v>
      </c>
      <c r="R8394" s="2">
        <v>2.0000000000000001E-4</v>
      </c>
      <c r="S8394" s="2">
        <v>1E-4</v>
      </c>
      <c r="T8394">
        <v>2812</v>
      </c>
    </row>
    <row r="8396" spans="1:20" x14ac:dyDescent="0.35">
      <c r="A8396" s="1" t="s">
        <v>2076</v>
      </c>
    </row>
    <row r="8397" spans="1:20" x14ac:dyDescent="0.35">
      <c r="A8397" t="s">
        <v>219</v>
      </c>
      <c r="B8397" t="s">
        <v>2046</v>
      </c>
      <c r="C8397" t="s">
        <v>2047</v>
      </c>
      <c r="D8397" t="s">
        <v>2048</v>
      </c>
      <c r="E8397" t="s">
        <v>2049</v>
      </c>
      <c r="F8397" t="s">
        <v>2050</v>
      </c>
      <c r="G8397" t="s">
        <v>277</v>
      </c>
      <c r="H8397" t="s">
        <v>282</v>
      </c>
      <c r="I8397" t="s">
        <v>226</v>
      </c>
    </row>
    <row r="8398" spans="1:20" x14ac:dyDescent="0.35">
      <c r="A8398" t="s">
        <v>227</v>
      </c>
      <c r="B8398" s="2">
        <v>0.87270000000000003</v>
      </c>
      <c r="C8398" s="2">
        <v>0.08</v>
      </c>
      <c r="D8398" s="2">
        <v>3.3500000000000002E-2</v>
      </c>
      <c r="E8398" s="2">
        <v>7.1999999999999998E-3</v>
      </c>
      <c r="F8398" s="2">
        <v>4.3E-3</v>
      </c>
      <c r="G8398" s="2">
        <v>2E-3</v>
      </c>
      <c r="H8398" s="2">
        <v>4.0000000000000002E-4</v>
      </c>
      <c r="I8398">
        <v>2813</v>
      </c>
    </row>
    <row r="8399" spans="1:20" x14ac:dyDescent="0.35">
      <c r="A8399" t="s">
        <v>228</v>
      </c>
      <c r="B8399" s="2">
        <v>0.87270000000000003</v>
      </c>
      <c r="C8399" s="2">
        <v>0.08</v>
      </c>
      <c r="D8399" s="2">
        <v>3.3500000000000002E-2</v>
      </c>
      <c r="E8399" s="2">
        <v>7.1999999999999998E-3</v>
      </c>
      <c r="F8399" s="2">
        <v>4.3E-3</v>
      </c>
      <c r="G8399" s="2">
        <v>2E-3</v>
      </c>
      <c r="H8399" s="2">
        <v>4.0000000000000002E-4</v>
      </c>
      <c r="I8399">
        <v>2813</v>
      </c>
    </row>
    <row r="8401" spans="1:10" x14ac:dyDescent="0.35">
      <c r="A8401" s="1" t="s">
        <v>2077</v>
      </c>
    </row>
    <row r="8402" spans="1:10" x14ac:dyDescent="0.35">
      <c r="A8402" t="s">
        <v>219</v>
      </c>
      <c r="B8402" t="s">
        <v>301</v>
      </c>
      <c r="C8402" t="s">
        <v>2046</v>
      </c>
      <c r="D8402" t="s">
        <v>2047</v>
      </c>
      <c r="E8402" t="s">
        <v>2048</v>
      </c>
      <c r="F8402" t="s">
        <v>2049</v>
      </c>
      <c r="G8402" t="s">
        <v>2050</v>
      </c>
      <c r="H8402" t="s">
        <v>277</v>
      </c>
      <c r="I8402" t="s">
        <v>282</v>
      </c>
      <c r="J8402" t="s">
        <v>226</v>
      </c>
    </row>
    <row r="8403" spans="1:10" x14ac:dyDescent="0.35">
      <c r="A8403" t="s">
        <v>227</v>
      </c>
      <c r="B8403" t="s">
        <v>238</v>
      </c>
      <c r="C8403" s="2">
        <v>0.85740000000000005</v>
      </c>
      <c r="D8403" s="2">
        <v>8.7800000000000003E-2</v>
      </c>
      <c r="E8403" s="2">
        <v>3.2099999999999997E-2</v>
      </c>
      <c r="F8403" s="2">
        <v>1.38E-2</v>
      </c>
      <c r="G8403" s="2">
        <v>6.4999999999999997E-3</v>
      </c>
      <c r="H8403" s="2">
        <v>2.3E-3</v>
      </c>
      <c r="J8403">
        <v>1005</v>
      </c>
    </row>
    <row r="8404" spans="1:10" x14ac:dyDescent="0.35">
      <c r="A8404" t="s">
        <v>227</v>
      </c>
      <c r="B8404" t="s">
        <v>237</v>
      </c>
      <c r="C8404" s="2">
        <v>0.88160000000000005</v>
      </c>
      <c r="D8404" s="2">
        <v>7.5499999999999998E-2</v>
      </c>
      <c r="E8404" s="2">
        <v>3.4299999999999997E-2</v>
      </c>
      <c r="F8404" s="2">
        <v>3.3999999999999998E-3</v>
      </c>
      <c r="G8404" s="2">
        <v>2.8999999999999998E-3</v>
      </c>
      <c r="H8404" s="2">
        <v>1.8E-3</v>
      </c>
      <c r="I8404" s="2">
        <v>5.9999999999999995E-4</v>
      </c>
      <c r="J8404">
        <v>1808</v>
      </c>
    </row>
    <row r="8405" spans="1:10" x14ac:dyDescent="0.35">
      <c r="A8405" t="s">
        <v>228</v>
      </c>
      <c r="B8405" t="s">
        <v>228</v>
      </c>
      <c r="C8405" s="2">
        <v>0.87270000000000003</v>
      </c>
      <c r="D8405" s="2">
        <v>0.08</v>
      </c>
      <c r="E8405" s="2">
        <v>3.3500000000000002E-2</v>
      </c>
      <c r="F8405" s="2">
        <v>7.1999999999999998E-3</v>
      </c>
      <c r="G8405" s="2">
        <v>4.3E-3</v>
      </c>
      <c r="H8405" s="2">
        <v>2E-3</v>
      </c>
      <c r="I8405" s="2">
        <v>4.0000000000000002E-4</v>
      </c>
      <c r="J8405">
        <v>2813</v>
      </c>
    </row>
    <row r="8407" spans="1:10" x14ac:dyDescent="0.35">
      <c r="A8407" s="1" t="s">
        <v>2078</v>
      </c>
    </row>
    <row r="8408" spans="1:10" x14ac:dyDescent="0.35">
      <c r="A8408" t="s">
        <v>219</v>
      </c>
      <c r="B8408" t="s">
        <v>301</v>
      </c>
      <c r="C8408" t="s">
        <v>2046</v>
      </c>
      <c r="D8408" t="s">
        <v>2047</v>
      </c>
      <c r="E8408" t="s">
        <v>2048</v>
      </c>
      <c r="F8408" t="s">
        <v>2049</v>
      </c>
      <c r="G8408" t="s">
        <v>2050</v>
      </c>
      <c r="H8408" t="s">
        <v>277</v>
      </c>
      <c r="I8408" t="s">
        <v>282</v>
      </c>
      <c r="J8408" t="s">
        <v>226</v>
      </c>
    </row>
    <row r="8409" spans="1:10" x14ac:dyDescent="0.35">
      <c r="A8409" t="s">
        <v>227</v>
      </c>
      <c r="B8409" t="s">
        <v>235</v>
      </c>
      <c r="C8409" s="2">
        <v>0.86380000000000001</v>
      </c>
      <c r="D8409" s="2">
        <v>7.8200000000000006E-2</v>
      </c>
      <c r="E8409" s="2">
        <v>4.48E-2</v>
      </c>
      <c r="F8409" s="2">
        <v>7.7999999999999996E-3</v>
      </c>
      <c r="G8409" s="2">
        <v>4.0000000000000001E-3</v>
      </c>
      <c r="H8409" s="2">
        <v>5.9999999999999995E-4</v>
      </c>
      <c r="I8409" s="2">
        <v>5.9999999999999995E-4</v>
      </c>
      <c r="J8409">
        <v>992</v>
      </c>
    </row>
    <row r="8410" spans="1:10" x14ac:dyDescent="0.35">
      <c r="A8410" t="s">
        <v>227</v>
      </c>
      <c r="B8410" t="s">
        <v>234</v>
      </c>
      <c r="C8410" s="2">
        <v>0.87639999999999996</v>
      </c>
      <c r="D8410" s="2">
        <v>8.0799999999999997E-2</v>
      </c>
      <c r="E8410" s="2">
        <v>2.87E-2</v>
      </c>
      <c r="F8410" s="2">
        <v>7.0000000000000001E-3</v>
      </c>
      <c r="G8410" s="2">
        <v>4.4000000000000003E-3</v>
      </c>
      <c r="H8410" s="2">
        <v>2.5000000000000001E-3</v>
      </c>
      <c r="I8410" s="2">
        <v>2.0000000000000001E-4</v>
      </c>
      <c r="J8410">
        <v>1821</v>
      </c>
    </row>
    <row r="8411" spans="1:10" x14ac:dyDescent="0.35">
      <c r="A8411" t="s">
        <v>228</v>
      </c>
      <c r="B8411" t="s">
        <v>228</v>
      </c>
      <c r="C8411" s="2">
        <v>0.87270000000000003</v>
      </c>
      <c r="D8411" s="2">
        <v>0.08</v>
      </c>
      <c r="E8411" s="2">
        <v>3.3500000000000002E-2</v>
      </c>
      <c r="F8411" s="2">
        <v>7.1999999999999998E-3</v>
      </c>
      <c r="G8411" s="2">
        <v>4.3E-3</v>
      </c>
      <c r="H8411" s="2">
        <v>2E-3</v>
      </c>
      <c r="I8411" s="2">
        <v>4.0000000000000002E-4</v>
      </c>
      <c r="J8411">
        <v>2813</v>
      </c>
    </row>
    <row r="8413" spans="1:10" x14ac:dyDescent="0.35">
      <c r="A8413" s="1" t="s">
        <v>2079</v>
      </c>
    </row>
    <row r="8414" spans="1:10" x14ac:dyDescent="0.35">
      <c r="A8414" t="s">
        <v>219</v>
      </c>
      <c r="B8414" t="s">
        <v>301</v>
      </c>
      <c r="C8414" t="s">
        <v>2046</v>
      </c>
      <c r="D8414" t="s">
        <v>2047</v>
      </c>
      <c r="E8414" t="s">
        <v>2048</v>
      </c>
      <c r="F8414" t="s">
        <v>2049</v>
      </c>
      <c r="G8414" t="s">
        <v>2050</v>
      </c>
      <c r="H8414" t="s">
        <v>277</v>
      </c>
      <c r="I8414" t="s">
        <v>282</v>
      </c>
      <c r="J8414" t="s">
        <v>226</v>
      </c>
    </row>
    <row r="8415" spans="1:10" x14ac:dyDescent="0.35">
      <c r="A8415" t="s">
        <v>227</v>
      </c>
      <c r="B8415" t="s">
        <v>240</v>
      </c>
      <c r="C8415" s="2">
        <v>0.876</v>
      </c>
      <c r="D8415" s="2">
        <v>7.4800000000000005E-2</v>
      </c>
      <c r="E8415" s="2">
        <v>3.4799999999999998E-2</v>
      </c>
      <c r="F8415" s="2">
        <v>8.8000000000000005E-3</v>
      </c>
      <c r="G8415" s="2">
        <v>2.0999999999999999E-3</v>
      </c>
      <c r="H8415" s="2">
        <v>3.0000000000000001E-3</v>
      </c>
      <c r="I8415" s="2">
        <v>5.9999999999999995E-4</v>
      </c>
      <c r="J8415">
        <v>1756</v>
      </c>
    </row>
    <row r="8416" spans="1:10" x14ac:dyDescent="0.35">
      <c r="A8416" t="s">
        <v>227</v>
      </c>
      <c r="B8416" t="s">
        <v>241</v>
      </c>
      <c r="C8416" s="2">
        <v>0.87319999999999998</v>
      </c>
      <c r="D8416" s="2">
        <v>8.6900000000000005E-2</v>
      </c>
      <c r="E8416" s="2">
        <v>2.76E-2</v>
      </c>
      <c r="F8416" s="2">
        <v>4.5999999999999999E-3</v>
      </c>
      <c r="G8416" s="2">
        <v>7.4000000000000003E-3</v>
      </c>
      <c r="H8416" s="2">
        <v>2.9999999999999997E-4</v>
      </c>
      <c r="J8416">
        <v>891</v>
      </c>
    </row>
    <row r="8417" spans="1:10" x14ac:dyDescent="0.35">
      <c r="A8417" t="s">
        <v>227</v>
      </c>
      <c r="B8417" t="s">
        <v>242</v>
      </c>
      <c r="C8417" s="2">
        <v>0.83809999999999996</v>
      </c>
      <c r="D8417" s="2">
        <v>0.1003</v>
      </c>
      <c r="E8417" s="2">
        <v>4.7E-2</v>
      </c>
      <c r="F8417" s="2">
        <v>3.5999999999999999E-3</v>
      </c>
      <c r="G8417" s="2">
        <v>1.11E-2</v>
      </c>
      <c r="J8417">
        <v>166</v>
      </c>
    </row>
    <row r="8418" spans="1:10" x14ac:dyDescent="0.35">
      <c r="A8418" t="s">
        <v>228</v>
      </c>
      <c r="B8418" t="s">
        <v>228</v>
      </c>
      <c r="C8418" s="2">
        <v>0.87270000000000003</v>
      </c>
      <c r="D8418" s="2">
        <v>0.08</v>
      </c>
      <c r="E8418" s="2">
        <v>3.3500000000000002E-2</v>
      </c>
      <c r="F8418" s="2">
        <v>7.1999999999999998E-3</v>
      </c>
      <c r="G8418" s="2">
        <v>4.3E-3</v>
      </c>
      <c r="H8418" s="2">
        <v>2E-3</v>
      </c>
      <c r="I8418" s="2">
        <v>4.0000000000000002E-4</v>
      </c>
      <c r="J8418">
        <v>2813</v>
      </c>
    </row>
    <row r="8420" spans="1:10" x14ac:dyDescent="0.35">
      <c r="A8420" s="1" t="s">
        <v>2080</v>
      </c>
    </row>
    <row r="8421" spans="1:10" x14ac:dyDescent="0.35">
      <c r="A8421" t="s">
        <v>219</v>
      </c>
      <c r="B8421" t="s">
        <v>301</v>
      </c>
      <c r="C8421" t="s">
        <v>2046</v>
      </c>
      <c r="D8421" t="s">
        <v>2047</v>
      </c>
      <c r="E8421" t="s">
        <v>2048</v>
      </c>
      <c r="F8421" t="s">
        <v>2049</v>
      </c>
      <c r="G8421" t="s">
        <v>2050</v>
      </c>
      <c r="H8421" t="s">
        <v>277</v>
      </c>
      <c r="I8421" t="s">
        <v>282</v>
      </c>
      <c r="J8421" t="s">
        <v>226</v>
      </c>
    </row>
    <row r="8422" spans="1:10" x14ac:dyDescent="0.35">
      <c r="A8422" t="s">
        <v>227</v>
      </c>
      <c r="B8422" t="s">
        <v>334</v>
      </c>
      <c r="C8422" s="2">
        <v>0.82889999999999997</v>
      </c>
      <c r="D8422" s="2">
        <v>8.4000000000000005E-2</v>
      </c>
      <c r="E8422" s="2">
        <v>6.3500000000000001E-2</v>
      </c>
      <c r="F8422" s="2">
        <v>1.15E-2</v>
      </c>
      <c r="G8422" s="2">
        <v>1.11E-2</v>
      </c>
      <c r="I8422" s="2">
        <v>8.9999999999999998E-4</v>
      </c>
      <c r="J8422">
        <v>625</v>
      </c>
    </row>
    <row r="8423" spans="1:10" x14ac:dyDescent="0.35">
      <c r="A8423" t="s">
        <v>227</v>
      </c>
      <c r="B8423" t="s">
        <v>335</v>
      </c>
      <c r="C8423" s="2">
        <v>0.88829999999999998</v>
      </c>
      <c r="D8423" s="2">
        <v>7.5700000000000003E-2</v>
      </c>
      <c r="E8423" s="2">
        <v>2.1899999999999999E-2</v>
      </c>
      <c r="F8423" s="2">
        <v>8.6E-3</v>
      </c>
      <c r="G8423" s="2">
        <v>2.7000000000000001E-3</v>
      </c>
      <c r="H8423" s="2">
        <v>2.8999999999999998E-3</v>
      </c>
      <c r="J8423">
        <v>628</v>
      </c>
    </row>
    <row r="8424" spans="1:10" x14ac:dyDescent="0.35">
      <c r="A8424" t="s">
        <v>227</v>
      </c>
      <c r="B8424" t="s">
        <v>336</v>
      </c>
      <c r="C8424" s="2">
        <v>0.88759999999999994</v>
      </c>
      <c r="D8424" s="2">
        <v>7.5700000000000003E-2</v>
      </c>
      <c r="E8424" s="2">
        <v>2.5999999999999999E-2</v>
      </c>
      <c r="F8424" s="2">
        <v>8.6E-3</v>
      </c>
      <c r="G8424" s="2">
        <v>1.1999999999999999E-3</v>
      </c>
      <c r="H8424" s="2">
        <v>8.9999999999999998E-4</v>
      </c>
      <c r="J8424">
        <v>621</v>
      </c>
    </row>
    <row r="8425" spans="1:10" x14ac:dyDescent="0.35">
      <c r="A8425" t="s">
        <v>227</v>
      </c>
      <c r="B8425" t="s">
        <v>337</v>
      </c>
      <c r="C8425" s="2">
        <v>0.8659</v>
      </c>
      <c r="D8425" s="2">
        <v>0.09</v>
      </c>
      <c r="E8425" s="2">
        <v>3.7400000000000003E-2</v>
      </c>
      <c r="F8425" s="2">
        <v>1.9E-3</v>
      </c>
      <c r="G8425" s="2">
        <v>8.0000000000000004E-4</v>
      </c>
      <c r="H8425" s="2">
        <v>4.1000000000000003E-3</v>
      </c>
      <c r="J8425">
        <v>602</v>
      </c>
    </row>
    <row r="8426" spans="1:10" x14ac:dyDescent="0.35">
      <c r="A8426" t="s">
        <v>228</v>
      </c>
      <c r="B8426" t="s">
        <v>228</v>
      </c>
      <c r="C8426" s="2">
        <v>0.87270000000000003</v>
      </c>
      <c r="D8426" s="2">
        <v>0.08</v>
      </c>
      <c r="E8426" s="2">
        <v>3.3500000000000002E-2</v>
      </c>
      <c r="F8426" s="2">
        <v>7.1999999999999998E-3</v>
      </c>
      <c r="G8426" s="2">
        <v>4.3E-3</v>
      </c>
      <c r="H8426" s="2">
        <v>2E-3</v>
      </c>
      <c r="I8426" s="2">
        <v>4.0000000000000002E-4</v>
      </c>
      <c r="J8426">
        <v>2476</v>
      </c>
    </row>
    <row r="8428" spans="1:10" x14ac:dyDescent="0.35">
      <c r="A8428" s="1" t="s">
        <v>2081</v>
      </c>
    </row>
    <row r="8429" spans="1:10" x14ac:dyDescent="0.35">
      <c r="A8429" t="s">
        <v>219</v>
      </c>
      <c r="B8429" t="s">
        <v>301</v>
      </c>
      <c r="C8429" t="s">
        <v>2046</v>
      </c>
      <c r="D8429" t="s">
        <v>2047</v>
      </c>
      <c r="E8429" t="s">
        <v>2048</v>
      </c>
      <c r="F8429" t="s">
        <v>2049</v>
      </c>
      <c r="G8429" t="s">
        <v>2050</v>
      </c>
      <c r="H8429" t="s">
        <v>277</v>
      </c>
      <c r="I8429" t="s">
        <v>282</v>
      </c>
      <c r="J8429" t="s">
        <v>226</v>
      </c>
    </row>
    <row r="8430" spans="1:10" x14ac:dyDescent="0.35">
      <c r="A8430" t="s">
        <v>227</v>
      </c>
      <c r="B8430" t="s">
        <v>263</v>
      </c>
      <c r="C8430" s="2">
        <v>0.89910000000000001</v>
      </c>
      <c r="D8430" s="2">
        <v>6.7900000000000002E-2</v>
      </c>
      <c r="E8430" s="2">
        <v>1.77E-2</v>
      </c>
      <c r="F8430" s="2">
        <v>1.43E-2</v>
      </c>
      <c r="G8430" s="2">
        <v>1.1000000000000001E-3</v>
      </c>
      <c r="J8430">
        <v>589</v>
      </c>
    </row>
    <row r="8431" spans="1:10" x14ac:dyDescent="0.35">
      <c r="A8431" t="s">
        <v>227</v>
      </c>
      <c r="B8431" t="s">
        <v>262</v>
      </c>
      <c r="C8431" s="2">
        <v>0.8679</v>
      </c>
      <c r="D8431" s="2">
        <v>8.0699999999999994E-2</v>
      </c>
      <c r="E8431" s="2">
        <v>3.7100000000000001E-2</v>
      </c>
      <c r="F8431" s="2">
        <v>7.7000000000000002E-3</v>
      </c>
      <c r="G8431" s="2">
        <v>6.4000000000000003E-3</v>
      </c>
      <c r="H8431" s="2">
        <v>2.9999999999999997E-4</v>
      </c>
      <c r="J8431">
        <v>1160</v>
      </c>
    </row>
    <row r="8432" spans="1:10" x14ac:dyDescent="0.35">
      <c r="A8432" t="s">
        <v>227</v>
      </c>
      <c r="B8432" t="s">
        <v>261</v>
      </c>
      <c r="C8432" s="2">
        <v>0.86350000000000005</v>
      </c>
      <c r="D8432" s="2">
        <v>8.5599999999999996E-2</v>
      </c>
      <c r="E8432" s="2">
        <v>3.8199999999999998E-2</v>
      </c>
      <c r="F8432" s="2">
        <v>3.3999999999999998E-3</v>
      </c>
      <c r="G8432" s="2">
        <v>4.0000000000000001E-3</v>
      </c>
      <c r="H8432" s="2">
        <v>4.4999999999999997E-3</v>
      </c>
      <c r="I8432" s="2">
        <v>8.9999999999999998E-4</v>
      </c>
      <c r="J8432">
        <v>1062</v>
      </c>
    </row>
    <row r="8433" spans="1:10" x14ac:dyDescent="0.35">
      <c r="A8433" s="3" t="s">
        <v>227</v>
      </c>
      <c r="B8433" s="3" t="s">
        <v>232</v>
      </c>
      <c r="C8433" s="4">
        <v>1</v>
      </c>
      <c r="D8433" s="5"/>
      <c r="E8433" s="5"/>
      <c r="F8433" s="5"/>
      <c r="G8433" s="5"/>
      <c r="H8433" s="5"/>
      <c r="I8433" s="5"/>
      <c r="J8433" s="5" t="s">
        <v>434</v>
      </c>
    </row>
    <row r="8434" spans="1:10" x14ac:dyDescent="0.35">
      <c r="A8434" t="s">
        <v>228</v>
      </c>
      <c r="B8434" t="s">
        <v>228</v>
      </c>
      <c r="C8434" s="2">
        <v>0.87270000000000003</v>
      </c>
      <c r="D8434" s="2">
        <v>0.08</v>
      </c>
      <c r="E8434" s="2">
        <v>3.3500000000000002E-2</v>
      </c>
      <c r="F8434" s="2">
        <v>7.1999999999999998E-3</v>
      </c>
      <c r="G8434" s="2">
        <v>4.3E-3</v>
      </c>
      <c r="H8434" s="2">
        <v>2E-3</v>
      </c>
      <c r="I8434" s="2">
        <v>4.0000000000000002E-4</v>
      </c>
      <c r="J8434">
        <v>2813</v>
      </c>
    </row>
    <row r="8436" spans="1:10" x14ac:dyDescent="0.35">
      <c r="A8436" s="1" t="s">
        <v>2082</v>
      </c>
    </row>
    <row r="8437" spans="1:10" x14ac:dyDescent="0.35">
      <c r="A8437" t="s">
        <v>219</v>
      </c>
      <c r="B8437" t="s">
        <v>301</v>
      </c>
      <c r="C8437" t="s">
        <v>2046</v>
      </c>
      <c r="D8437" t="s">
        <v>2047</v>
      </c>
      <c r="E8437" t="s">
        <v>2048</v>
      </c>
      <c r="F8437" t="s">
        <v>2049</v>
      </c>
      <c r="G8437" t="s">
        <v>2050</v>
      </c>
      <c r="H8437" t="s">
        <v>277</v>
      </c>
      <c r="I8437" t="s">
        <v>282</v>
      </c>
      <c r="J8437" t="s">
        <v>226</v>
      </c>
    </row>
    <row r="8438" spans="1:10" x14ac:dyDescent="0.35">
      <c r="A8438" t="s">
        <v>227</v>
      </c>
      <c r="B8438" t="s">
        <v>248</v>
      </c>
      <c r="C8438" s="2">
        <v>0.90339999999999998</v>
      </c>
      <c r="D8438" s="2">
        <v>5.6800000000000003E-2</v>
      </c>
      <c r="E8438" s="2">
        <v>2.58E-2</v>
      </c>
      <c r="F8438" s="2">
        <v>8.2000000000000007E-3</v>
      </c>
      <c r="G8438" s="2">
        <v>5.1999999999999998E-3</v>
      </c>
      <c r="H8438" s="2">
        <v>2.9999999999999997E-4</v>
      </c>
      <c r="I8438" s="2">
        <v>2.9999999999999997E-4</v>
      </c>
      <c r="J8438">
        <v>796</v>
      </c>
    </row>
    <row r="8439" spans="1:10" x14ac:dyDescent="0.35">
      <c r="A8439" t="s">
        <v>227</v>
      </c>
      <c r="B8439" t="s">
        <v>249</v>
      </c>
      <c r="C8439" s="2">
        <v>0.84379999999999999</v>
      </c>
      <c r="D8439" s="2">
        <v>9.8799999999999999E-2</v>
      </c>
      <c r="E8439" s="2">
        <v>4.1000000000000002E-2</v>
      </c>
      <c r="F8439" s="2">
        <v>6.7000000000000002E-3</v>
      </c>
      <c r="G8439" s="2">
        <v>8.6999999999999994E-3</v>
      </c>
      <c r="I8439" s="2">
        <v>1E-3</v>
      </c>
      <c r="J8439">
        <v>541</v>
      </c>
    </row>
    <row r="8440" spans="1:10" x14ac:dyDescent="0.35">
      <c r="A8440" t="s">
        <v>227</v>
      </c>
      <c r="B8440" t="s">
        <v>247</v>
      </c>
      <c r="C8440" s="2">
        <v>0.86729999999999996</v>
      </c>
      <c r="D8440" s="2">
        <v>8.5199999999999998E-2</v>
      </c>
      <c r="E8440" s="2">
        <v>3.4700000000000002E-2</v>
      </c>
      <c r="F8440" s="2">
        <v>6.8999999999999999E-3</v>
      </c>
      <c r="G8440" s="2">
        <v>2.2000000000000001E-3</v>
      </c>
      <c r="H8440" s="2">
        <v>3.5999999999999999E-3</v>
      </c>
      <c r="I8440" s="2">
        <v>2.0000000000000001E-4</v>
      </c>
      <c r="J8440">
        <v>1476</v>
      </c>
    </row>
    <row r="8441" spans="1:10" x14ac:dyDescent="0.35">
      <c r="A8441" t="s">
        <v>228</v>
      </c>
      <c r="B8441" t="s">
        <v>228</v>
      </c>
      <c r="C8441" s="2">
        <v>0.87270000000000003</v>
      </c>
      <c r="D8441" s="2">
        <v>0.08</v>
      </c>
      <c r="E8441" s="2">
        <v>3.3500000000000002E-2</v>
      </c>
      <c r="F8441" s="2">
        <v>7.1999999999999998E-3</v>
      </c>
      <c r="G8441" s="2">
        <v>4.3E-3</v>
      </c>
      <c r="H8441" s="2">
        <v>2E-3</v>
      </c>
      <c r="I8441" s="2">
        <v>4.0000000000000002E-4</v>
      </c>
      <c r="J8441">
        <v>2813</v>
      </c>
    </row>
    <row r="8443" spans="1:10" x14ac:dyDescent="0.35">
      <c r="A8443" s="1" t="s">
        <v>2083</v>
      </c>
    </row>
    <row r="8444" spans="1:10" x14ac:dyDescent="0.35">
      <c r="A8444" t="s">
        <v>219</v>
      </c>
      <c r="B8444" t="s">
        <v>301</v>
      </c>
      <c r="C8444" t="s">
        <v>2046</v>
      </c>
      <c r="D8444" t="s">
        <v>2047</v>
      </c>
      <c r="E8444" t="s">
        <v>2048</v>
      </c>
      <c r="F8444" t="s">
        <v>2049</v>
      </c>
      <c r="G8444" t="s">
        <v>2050</v>
      </c>
      <c r="H8444" t="s">
        <v>277</v>
      </c>
      <c r="I8444" t="s">
        <v>282</v>
      </c>
      <c r="J8444" t="s">
        <v>226</v>
      </c>
    </row>
    <row r="8445" spans="1:10" x14ac:dyDescent="0.35">
      <c r="A8445" t="s">
        <v>227</v>
      </c>
      <c r="B8445" t="s">
        <v>245</v>
      </c>
      <c r="C8445" s="2">
        <v>0.81530000000000002</v>
      </c>
      <c r="D8445" s="2">
        <v>0.11119999999999999</v>
      </c>
      <c r="E8445" s="2">
        <v>5.62E-2</v>
      </c>
      <c r="F8445" s="2">
        <v>6.4000000000000003E-3</v>
      </c>
      <c r="G8445" s="2">
        <v>4.4999999999999997E-3</v>
      </c>
      <c r="H8445" s="2">
        <v>6.3E-3</v>
      </c>
      <c r="J8445">
        <v>783</v>
      </c>
    </row>
    <row r="8446" spans="1:10" x14ac:dyDescent="0.35">
      <c r="A8446" t="s">
        <v>227</v>
      </c>
      <c r="B8446" t="s">
        <v>244</v>
      </c>
      <c r="C8446" s="2">
        <v>0.89539999999999997</v>
      </c>
      <c r="D8446" s="2">
        <v>6.7699999999999996E-2</v>
      </c>
      <c r="E8446" s="2">
        <v>2.4500000000000001E-2</v>
      </c>
      <c r="F8446" s="2">
        <v>7.4999999999999997E-3</v>
      </c>
      <c r="G8446" s="2">
        <v>4.1999999999999997E-3</v>
      </c>
      <c r="H8446" s="2">
        <v>2.9999999999999997E-4</v>
      </c>
      <c r="I8446" s="2">
        <v>5.0000000000000001E-4</v>
      </c>
      <c r="J8446">
        <v>2030</v>
      </c>
    </row>
    <row r="8447" spans="1:10" x14ac:dyDescent="0.35">
      <c r="A8447" t="s">
        <v>228</v>
      </c>
      <c r="B8447" t="s">
        <v>228</v>
      </c>
      <c r="C8447" s="2">
        <v>0.87270000000000003</v>
      </c>
      <c r="D8447" s="2">
        <v>0.08</v>
      </c>
      <c r="E8447" s="2">
        <v>3.3500000000000002E-2</v>
      </c>
      <c r="F8447" s="2">
        <v>7.1999999999999998E-3</v>
      </c>
      <c r="G8447" s="2">
        <v>4.3E-3</v>
      </c>
      <c r="H8447" s="2">
        <v>2E-3</v>
      </c>
      <c r="I8447" s="2">
        <v>4.0000000000000002E-4</v>
      </c>
      <c r="J8447">
        <v>2813</v>
      </c>
    </row>
    <row r="8449" spans="1:10" x14ac:dyDescent="0.35">
      <c r="A8449" s="1" t="s">
        <v>2084</v>
      </c>
    </row>
    <row r="8450" spans="1:10" x14ac:dyDescent="0.35">
      <c r="A8450" t="s">
        <v>219</v>
      </c>
      <c r="B8450" t="s">
        <v>301</v>
      </c>
      <c r="C8450" t="s">
        <v>2046</v>
      </c>
      <c r="D8450" t="s">
        <v>2047</v>
      </c>
      <c r="E8450" t="s">
        <v>2048</v>
      </c>
      <c r="F8450" t="s">
        <v>2049</v>
      </c>
      <c r="G8450" t="s">
        <v>2050</v>
      </c>
      <c r="H8450" t="s">
        <v>277</v>
      </c>
      <c r="I8450" t="s">
        <v>282</v>
      </c>
      <c r="J8450" t="s">
        <v>226</v>
      </c>
    </row>
    <row r="8451" spans="1:10" x14ac:dyDescent="0.35">
      <c r="A8451" t="s">
        <v>227</v>
      </c>
      <c r="B8451" t="s">
        <v>259</v>
      </c>
      <c r="C8451" s="2">
        <v>0.86240000000000006</v>
      </c>
      <c r="D8451" s="2">
        <v>7.22E-2</v>
      </c>
      <c r="E8451" s="2">
        <v>6.0600000000000001E-2</v>
      </c>
      <c r="G8451" s="2">
        <v>4.7999999999999996E-3</v>
      </c>
      <c r="J8451">
        <v>69</v>
      </c>
    </row>
    <row r="8452" spans="1:10" x14ac:dyDescent="0.35">
      <c r="A8452" t="s">
        <v>227</v>
      </c>
      <c r="B8452" t="s">
        <v>257</v>
      </c>
      <c r="C8452" s="2">
        <v>0.83779999999999999</v>
      </c>
      <c r="D8452" s="2">
        <v>0.1172</v>
      </c>
      <c r="E8452" s="2">
        <v>2.9899999999999999E-2</v>
      </c>
      <c r="F8452" s="2">
        <v>8.3999999999999995E-3</v>
      </c>
      <c r="G8452" s="2">
        <v>5.5999999999999999E-3</v>
      </c>
      <c r="H8452" s="2">
        <v>1.1000000000000001E-3</v>
      </c>
      <c r="J8452">
        <v>405</v>
      </c>
    </row>
    <row r="8453" spans="1:10" x14ac:dyDescent="0.35">
      <c r="A8453" t="s">
        <v>227</v>
      </c>
      <c r="B8453" t="s">
        <v>256</v>
      </c>
      <c r="C8453" s="2">
        <v>0.88690000000000002</v>
      </c>
      <c r="D8453" s="2">
        <v>6.6600000000000006E-2</v>
      </c>
      <c r="E8453" s="2">
        <v>3.4299999999999997E-2</v>
      </c>
      <c r="F8453" s="2">
        <v>7.1999999999999998E-3</v>
      </c>
      <c r="G8453" s="2">
        <v>4.5999999999999999E-3</v>
      </c>
      <c r="H8453" s="2">
        <v>1E-4</v>
      </c>
      <c r="I8453" s="2">
        <v>2.9999999999999997E-4</v>
      </c>
      <c r="J8453">
        <v>1803</v>
      </c>
    </row>
    <row r="8454" spans="1:10" x14ac:dyDescent="0.35">
      <c r="A8454" s="3" t="s">
        <v>227</v>
      </c>
      <c r="B8454" s="3" t="s">
        <v>232</v>
      </c>
      <c r="C8454" s="4">
        <v>0.95930000000000004</v>
      </c>
      <c r="D8454" s="5"/>
      <c r="E8454" s="4">
        <v>4.07E-2</v>
      </c>
      <c r="F8454" s="5"/>
      <c r="G8454" s="5"/>
      <c r="H8454" s="5"/>
      <c r="I8454" s="5"/>
      <c r="J8454" s="5" t="s">
        <v>307</v>
      </c>
    </row>
    <row r="8455" spans="1:10" x14ac:dyDescent="0.35">
      <c r="A8455" t="s">
        <v>227</v>
      </c>
      <c r="B8455" t="s">
        <v>258</v>
      </c>
      <c r="C8455" s="2">
        <v>0.84840000000000004</v>
      </c>
      <c r="D8455" s="2">
        <v>9.9900000000000003E-2</v>
      </c>
      <c r="E8455" s="2">
        <v>3.0800000000000001E-2</v>
      </c>
      <c r="F8455" s="2">
        <v>7.1000000000000004E-3</v>
      </c>
      <c r="G8455" s="2">
        <v>1.1000000000000001E-3</v>
      </c>
      <c r="H8455" s="2">
        <v>1.1599999999999999E-2</v>
      </c>
      <c r="I8455" s="2">
        <v>1.1999999999999999E-3</v>
      </c>
      <c r="J8455">
        <v>525</v>
      </c>
    </row>
    <row r="8456" spans="1:10" x14ac:dyDescent="0.35">
      <c r="A8456" t="s">
        <v>228</v>
      </c>
      <c r="B8456" t="s">
        <v>228</v>
      </c>
      <c r="C8456" s="2">
        <v>0.87270000000000003</v>
      </c>
      <c r="D8456" s="2">
        <v>0.08</v>
      </c>
      <c r="E8456" s="2">
        <v>3.3500000000000002E-2</v>
      </c>
      <c r="F8456" s="2">
        <v>7.1999999999999998E-3</v>
      </c>
      <c r="G8456" s="2">
        <v>4.3E-3</v>
      </c>
      <c r="H8456" s="2">
        <v>2E-3</v>
      </c>
      <c r="I8456" s="2">
        <v>4.0000000000000002E-4</v>
      </c>
      <c r="J8456">
        <v>2813</v>
      </c>
    </row>
    <row r="8458" spans="1:10" x14ac:dyDescent="0.35">
      <c r="A8458" s="1" t="s">
        <v>2085</v>
      </c>
    </row>
    <row r="8459" spans="1:10" x14ac:dyDescent="0.35">
      <c r="A8459" t="s">
        <v>219</v>
      </c>
      <c r="B8459" t="s">
        <v>301</v>
      </c>
      <c r="C8459" t="s">
        <v>2046</v>
      </c>
      <c r="D8459" t="s">
        <v>2047</v>
      </c>
      <c r="E8459" t="s">
        <v>2048</v>
      </c>
      <c r="F8459" t="s">
        <v>2049</v>
      </c>
      <c r="G8459" t="s">
        <v>2050</v>
      </c>
      <c r="H8459" t="s">
        <v>277</v>
      </c>
      <c r="I8459" t="s">
        <v>282</v>
      </c>
      <c r="J8459" t="s">
        <v>226</v>
      </c>
    </row>
    <row r="8460" spans="1:10" x14ac:dyDescent="0.35">
      <c r="A8460" t="s">
        <v>227</v>
      </c>
      <c r="B8460" t="s">
        <v>343</v>
      </c>
      <c r="C8460" s="2">
        <v>0.83779999999999999</v>
      </c>
      <c r="D8460" s="2">
        <v>0.1172</v>
      </c>
      <c r="E8460" s="2">
        <v>2.9899999999999999E-2</v>
      </c>
      <c r="F8460" s="2">
        <v>8.3999999999999995E-3</v>
      </c>
      <c r="G8460" s="2">
        <v>5.5999999999999999E-3</v>
      </c>
      <c r="H8460" s="2">
        <v>1.1000000000000001E-3</v>
      </c>
      <c r="J8460">
        <v>405</v>
      </c>
    </row>
    <row r="8461" spans="1:10" x14ac:dyDescent="0.35">
      <c r="A8461" t="s">
        <v>227</v>
      </c>
      <c r="B8461" t="s">
        <v>344</v>
      </c>
      <c r="C8461" s="2">
        <v>0.87980000000000003</v>
      </c>
      <c r="D8461" s="2">
        <v>7.2499999999999995E-2</v>
      </c>
      <c r="E8461" s="2">
        <v>3.4200000000000001E-2</v>
      </c>
      <c r="F8461" s="2">
        <v>7.0000000000000001E-3</v>
      </c>
      <c r="G8461" s="2">
        <v>4.0000000000000001E-3</v>
      </c>
      <c r="H8461" s="2">
        <v>2.2000000000000001E-3</v>
      </c>
      <c r="I8461" s="2">
        <v>4.0000000000000002E-4</v>
      </c>
      <c r="J8461">
        <v>2408</v>
      </c>
    </row>
    <row r="8462" spans="1:10" x14ac:dyDescent="0.35">
      <c r="A8462" t="s">
        <v>228</v>
      </c>
      <c r="B8462" t="s">
        <v>228</v>
      </c>
      <c r="C8462" s="2">
        <v>0.87270000000000003</v>
      </c>
      <c r="D8462" s="2">
        <v>0.08</v>
      </c>
      <c r="E8462" s="2">
        <v>3.3500000000000002E-2</v>
      </c>
      <c r="F8462" s="2">
        <v>7.1999999999999998E-3</v>
      </c>
      <c r="G8462" s="2">
        <v>4.3E-3</v>
      </c>
      <c r="H8462" s="2">
        <v>2E-3</v>
      </c>
      <c r="I8462" s="2">
        <v>4.0000000000000002E-4</v>
      </c>
      <c r="J8462">
        <v>2813</v>
      </c>
    </row>
    <row r="8464" spans="1:10" x14ac:dyDescent="0.35">
      <c r="A8464" s="1" t="s">
        <v>2086</v>
      </c>
    </row>
    <row r="8465" spans="1:10" x14ac:dyDescent="0.35">
      <c r="A8465" t="s">
        <v>219</v>
      </c>
      <c r="B8465" t="s">
        <v>301</v>
      </c>
      <c r="C8465" t="s">
        <v>2046</v>
      </c>
      <c r="D8465" t="s">
        <v>2047</v>
      </c>
      <c r="E8465" t="s">
        <v>2048</v>
      </c>
      <c r="F8465" t="s">
        <v>2049</v>
      </c>
      <c r="G8465" t="s">
        <v>2050</v>
      </c>
      <c r="H8465" t="s">
        <v>277</v>
      </c>
      <c r="I8465" t="s">
        <v>282</v>
      </c>
      <c r="J8465" t="s">
        <v>226</v>
      </c>
    </row>
    <row r="8466" spans="1:10" x14ac:dyDescent="0.35">
      <c r="A8466" t="s">
        <v>227</v>
      </c>
      <c r="B8466" t="s">
        <v>346</v>
      </c>
      <c r="C8466" s="2">
        <v>0.87870000000000004</v>
      </c>
      <c r="D8466" s="2">
        <v>7.8799999999999995E-2</v>
      </c>
      <c r="E8466" s="2">
        <v>2.9600000000000001E-2</v>
      </c>
      <c r="F8466" s="2">
        <v>6.4000000000000003E-3</v>
      </c>
      <c r="G8466" s="2">
        <v>4.3E-3</v>
      </c>
      <c r="H8466" s="2">
        <v>2.0999999999999999E-3</v>
      </c>
      <c r="I8466" s="2">
        <v>2.0000000000000001E-4</v>
      </c>
      <c r="J8466">
        <v>1463</v>
      </c>
    </row>
    <row r="8467" spans="1:10" x14ac:dyDescent="0.35">
      <c r="A8467" t="s">
        <v>227</v>
      </c>
      <c r="B8467" t="s">
        <v>347</v>
      </c>
      <c r="C8467" s="2">
        <v>0.79239999999999999</v>
      </c>
      <c r="D8467" s="2">
        <v>9.6600000000000005E-2</v>
      </c>
      <c r="E8467" s="2">
        <v>8.0199999999999994E-2</v>
      </c>
      <c r="F8467" s="2">
        <v>1.66E-2</v>
      </c>
      <c r="G8467" s="2">
        <v>6.7999999999999996E-3</v>
      </c>
      <c r="H8467" s="2">
        <v>2.5999999999999999E-3</v>
      </c>
      <c r="I8467" s="2">
        <v>4.7999999999999996E-3</v>
      </c>
      <c r="J8467">
        <v>585</v>
      </c>
    </row>
    <row r="8468" spans="1:10" x14ac:dyDescent="0.35">
      <c r="A8468" t="s">
        <v>227</v>
      </c>
      <c r="B8468" t="s">
        <v>348</v>
      </c>
      <c r="C8468" s="2">
        <v>0.8488</v>
      </c>
      <c r="D8468" s="2">
        <v>8.4900000000000003E-2</v>
      </c>
      <c r="E8468" s="2">
        <v>5.1200000000000002E-2</v>
      </c>
      <c r="F8468" s="2">
        <v>1.12E-2</v>
      </c>
      <c r="G8468" s="2">
        <v>3.0000000000000001E-3</v>
      </c>
      <c r="H8468" s="2">
        <v>1E-3</v>
      </c>
      <c r="J8468">
        <v>765</v>
      </c>
    </row>
    <row r="8469" spans="1:10" x14ac:dyDescent="0.35">
      <c r="A8469" t="s">
        <v>228</v>
      </c>
      <c r="B8469" t="s">
        <v>228</v>
      </c>
      <c r="C8469" s="2">
        <v>0.87270000000000003</v>
      </c>
      <c r="D8469" s="2">
        <v>0.08</v>
      </c>
      <c r="E8469" s="2">
        <v>3.3500000000000002E-2</v>
      </c>
      <c r="F8469" s="2">
        <v>7.1999999999999998E-3</v>
      </c>
      <c r="G8469" s="2">
        <v>4.3E-3</v>
      </c>
      <c r="H8469" s="2">
        <v>2E-3</v>
      </c>
      <c r="I8469" s="2">
        <v>4.0000000000000002E-4</v>
      </c>
      <c r="J8469">
        <v>2813</v>
      </c>
    </row>
    <row r="8471" spans="1:10" x14ac:dyDescent="0.35">
      <c r="A8471" s="1" t="s">
        <v>2087</v>
      </c>
    </row>
    <row r="8472" spans="1:10" x14ac:dyDescent="0.35">
      <c r="A8472" t="s">
        <v>219</v>
      </c>
      <c r="B8472" t="s">
        <v>301</v>
      </c>
      <c r="C8472" t="s">
        <v>2046</v>
      </c>
      <c r="D8472" t="s">
        <v>2047</v>
      </c>
      <c r="E8472" t="s">
        <v>2048</v>
      </c>
      <c r="F8472" t="s">
        <v>2049</v>
      </c>
      <c r="G8472" t="s">
        <v>2050</v>
      </c>
      <c r="H8472" t="s">
        <v>277</v>
      </c>
      <c r="I8472" t="s">
        <v>282</v>
      </c>
      <c r="J8472" t="s">
        <v>226</v>
      </c>
    </row>
    <row r="8473" spans="1:10" x14ac:dyDescent="0.35">
      <c r="A8473" t="s">
        <v>227</v>
      </c>
      <c r="B8473" t="s">
        <v>251</v>
      </c>
      <c r="C8473" s="2">
        <v>0.89539999999999997</v>
      </c>
      <c r="D8473" s="2">
        <v>6.7699999999999996E-2</v>
      </c>
      <c r="E8473" s="2">
        <v>2.4500000000000001E-2</v>
      </c>
      <c r="F8473" s="2">
        <v>7.4999999999999997E-3</v>
      </c>
      <c r="G8473" s="2">
        <v>4.1999999999999997E-3</v>
      </c>
      <c r="H8473" s="2">
        <v>2.9999999999999997E-4</v>
      </c>
      <c r="I8473" s="2">
        <v>5.0000000000000001E-4</v>
      </c>
      <c r="J8473">
        <v>2030</v>
      </c>
    </row>
    <row r="8474" spans="1:10" x14ac:dyDescent="0.35">
      <c r="A8474" t="s">
        <v>227</v>
      </c>
      <c r="B8474" t="s">
        <v>252</v>
      </c>
      <c r="C8474" s="2">
        <v>0.80389999999999995</v>
      </c>
      <c r="D8474" s="2">
        <v>0.11749999999999999</v>
      </c>
      <c r="E8474" s="2">
        <v>6.0100000000000001E-2</v>
      </c>
      <c r="F8474" s="2">
        <v>5.3E-3</v>
      </c>
      <c r="G8474" s="2">
        <v>5.3E-3</v>
      </c>
      <c r="H8474" s="2">
        <v>7.7999999999999996E-3</v>
      </c>
      <c r="J8474">
        <v>621</v>
      </c>
    </row>
    <row r="8475" spans="1:10" x14ac:dyDescent="0.35">
      <c r="A8475" t="s">
        <v>227</v>
      </c>
      <c r="B8475" t="s">
        <v>253</v>
      </c>
      <c r="C8475" s="2">
        <v>0.871</v>
      </c>
      <c r="D8475" s="2">
        <v>7.4999999999999997E-2</v>
      </c>
      <c r="E8475" s="2">
        <v>4.1099999999999998E-2</v>
      </c>
      <c r="F8475" s="2">
        <v>1.14E-2</v>
      </c>
      <c r="G8475" s="2">
        <v>1.5E-3</v>
      </c>
      <c r="J8475">
        <v>153</v>
      </c>
    </row>
    <row r="8476" spans="1:10" x14ac:dyDescent="0.35">
      <c r="A8476" s="3" t="s">
        <v>227</v>
      </c>
      <c r="B8476" s="3" t="s">
        <v>254</v>
      </c>
      <c r="C8476" s="4">
        <v>0.64829999999999999</v>
      </c>
      <c r="D8476" s="4">
        <v>0.35170000000000001</v>
      </c>
      <c r="E8476" s="5"/>
      <c r="F8476" s="5"/>
      <c r="G8476" s="5"/>
      <c r="H8476" s="5"/>
      <c r="I8476" s="5"/>
      <c r="J8476" s="5" t="s">
        <v>515</v>
      </c>
    </row>
    <row r="8477" spans="1:10" x14ac:dyDescent="0.35">
      <c r="A8477" t="s">
        <v>228</v>
      </c>
      <c r="B8477" t="s">
        <v>228</v>
      </c>
      <c r="C8477" s="2">
        <v>0.87270000000000003</v>
      </c>
      <c r="D8477" s="2">
        <v>0.08</v>
      </c>
      <c r="E8477" s="2">
        <v>3.3500000000000002E-2</v>
      </c>
      <c r="F8477" s="2">
        <v>7.1999999999999998E-3</v>
      </c>
      <c r="G8477" s="2">
        <v>4.3E-3</v>
      </c>
      <c r="H8477" s="2">
        <v>2E-3</v>
      </c>
      <c r="I8477" s="2">
        <v>4.0000000000000002E-4</v>
      </c>
      <c r="J8477">
        <v>2813</v>
      </c>
    </row>
    <row r="8479" spans="1:10" x14ac:dyDescent="0.35">
      <c r="A8479" s="1" t="s">
        <v>2088</v>
      </c>
    </row>
    <row r="8480" spans="1:10" x14ac:dyDescent="0.35">
      <c r="A8480" t="s">
        <v>219</v>
      </c>
      <c r="B8480" t="s">
        <v>299</v>
      </c>
      <c r="C8480" t="s">
        <v>298</v>
      </c>
      <c r="D8480" t="s">
        <v>282</v>
      </c>
      <c r="E8480" t="s">
        <v>226</v>
      </c>
    </row>
    <row r="8481" spans="1:6" x14ac:dyDescent="0.35">
      <c r="A8481" t="s">
        <v>227</v>
      </c>
      <c r="B8481" s="2">
        <v>0.97899999999999998</v>
      </c>
      <c r="C8481" s="2">
        <v>1.7999999999999999E-2</v>
      </c>
      <c r="D8481" s="2">
        <v>2.8999999999999998E-3</v>
      </c>
      <c r="E8481">
        <v>2813</v>
      </c>
    </row>
    <row r="8482" spans="1:6" x14ac:dyDescent="0.35">
      <c r="A8482" t="s">
        <v>228</v>
      </c>
      <c r="B8482" s="2">
        <v>0.97899999999999998</v>
      </c>
      <c r="C8482" s="2">
        <v>1.7999999999999999E-2</v>
      </c>
      <c r="D8482" s="2">
        <v>2.8999999999999998E-3</v>
      </c>
      <c r="E8482">
        <v>2813</v>
      </c>
    </row>
    <row r="8484" spans="1:6" x14ac:dyDescent="0.35">
      <c r="A8484" s="1" t="s">
        <v>2089</v>
      </c>
    </row>
    <row r="8485" spans="1:6" x14ac:dyDescent="0.35">
      <c r="A8485" t="s">
        <v>219</v>
      </c>
      <c r="B8485" t="s">
        <v>301</v>
      </c>
      <c r="C8485" t="s">
        <v>299</v>
      </c>
      <c r="D8485" t="s">
        <v>298</v>
      </c>
      <c r="E8485" t="s">
        <v>282</v>
      </c>
      <c r="F8485" t="s">
        <v>226</v>
      </c>
    </row>
    <row r="8486" spans="1:6" x14ac:dyDescent="0.35">
      <c r="A8486" t="s">
        <v>227</v>
      </c>
      <c r="B8486" t="s">
        <v>238</v>
      </c>
      <c r="C8486" s="2">
        <v>0.96160000000000001</v>
      </c>
      <c r="D8486" s="2">
        <v>3.6299999999999999E-2</v>
      </c>
      <c r="E8486" s="2">
        <v>2.0999999999999999E-3</v>
      </c>
      <c r="F8486">
        <v>1005</v>
      </c>
    </row>
    <row r="8487" spans="1:6" x14ac:dyDescent="0.35">
      <c r="A8487" t="s">
        <v>227</v>
      </c>
      <c r="B8487" t="s">
        <v>237</v>
      </c>
      <c r="C8487" s="2">
        <v>0.98919999999999997</v>
      </c>
      <c r="D8487" s="2">
        <v>7.4000000000000003E-3</v>
      </c>
      <c r="E8487" s="2">
        <v>3.3999999999999998E-3</v>
      </c>
      <c r="F8487">
        <v>1808</v>
      </c>
    </row>
    <row r="8488" spans="1:6" x14ac:dyDescent="0.35">
      <c r="A8488" t="s">
        <v>228</v>
      </c>
      <c r="B8488" t="s">
        <v>228</v>
      </c>
      <c r="C8488" s="2">
        <v>0.97899999999999998</v>
      </c>
      <c r="D8488" s="2">
        <v>1.7999999999999999E-2</v>
      </c>
      <c r="E8488" s="2">
        <v>2.8999999999999998E-3</v>
      </c>
      <c r="F8488">
        <v>2813</v>
      </c>
    </row>
    <row r="8490" spans="1:6" x14ac:dyDescent="0.35">
      <c r="A8490" s="1" t="s">
        <v>2090</v>
      </c>
    </row>
    <row r="8491" spans="1:6" x14ac:dyDescent="0.35">
      <c r="A8491" t="s">
        <v>219</v>
      </c>
      <c r="B8491" t="s">
        <v>301</v>
      </c>
      <c r="C8491" t="s">
        <v>299</v>
      </c>
      <c r="D8491" t="s">
        <v>298</v>
      </c>
      <c r="E8491" t="s">
        <v>282</v>
      </c>
      <c r="F8491" t="s">
        <v>226</v>
      </c>
    </row>
    <row r="8492" spans="1:6" x14ac:dyDescent="0.35">
      <c r="A8492" t="s">
        <v>227</v>
      </c>
      <c r="B8492" t="s">
        <v>235</v>
      </c>
      <c r="C8492" s="2">
        <v>0.96550000000000002</v>
      </c>
      <c r="D8492" s="2">
        <v>3.09E-2</v>
      </c>
      <c r="E8492" s="2">
        <v>3.5999999999999999E-3</v>
      </c>
      <c r="F8492">
        <v>992</v>
      </c>
    </row>
    <row r="8493" spans="1:6" x14ac:dyDescent="0.35">
      <c r="A8493" t="s">
        <v>227</v>
      </c>
      <c r="B8493" t="s">
        <v>234</v>
      </c>
      <c r="C8493" s="2">
        <v>0.98470000000000002</v>
      </c>
      <c r="D8493" s="2">
        <v>1.2699999999999999E-2</v>
      </c>
      <c r="E8493" s="2">
        <v>2.7000000000000001E-3</v>
      </c>
      <c r="F8493">
        <v>1821</v>
      </c>
    </row>
    <row r="8494" spans="1:6" x14ac:dyDescent="0.35">
      <c r="A8494" t="s">
        <v>228</v>
      </c>
      <c r="B8494" t="s">
        <v>228</v>
      </c>
      <c r="C8494" s="2">
        <v>0.97899999999999998</v>
      </c>
      <c r="D8494" s="2">
        <v>1.7999999999999999E-2</v>
      </c>
      <c r="E8494" s="2">
        <v>2.8999999999999998E-3</v>
      </c>
      <c r="F8494">
        <v>2813</v>
      </c>
    </row>
    <row r="8496" spans="1:6" x14ac:dyDescent="0.35">
      <c r="A8496" s="1" t="s">
        <v>2091</v>
      </c>
    </row>
    <row r="8497" spans="1:6" x14ac:dyDescent="0.35">
      <c r="A8497" t="s">
        <v>219</v>
      </c>
      <c r="B8497" t="s">
        <v>301</v>
      </c>
      <c r="C8497" t="s">
        <v>299</v>
      </c>
      <c r="D8497" t="s">
        <v>298</v>
      </c>
      <c r="E8497" t="s">
        <v>282</v>
      </c>
      <c r="F8497" t="s">
        <v>226</v>
      </c>
    </row>
    <row r="8498" spans="1:6" x14ac:dyDescent="0.35">
      <c r="A8498" t="s">
        <v>227</v>
      </c>
      <c r="B8498" t="s">
        <v>240</v>
      </c>
      <c r="C8498" s="2">
        <v>0.97940000000000005</v>
      </c>
      <c r="D8498" s="2">
        <v>1.8599999999999998E-2</v>
      </c>
      <c r="E8498" s="2">
        <v>2E-3</v>
      </c>
      <c r="F8498">
        <v>1756</v>
      </c>
    </row>
    <row r="8499" spans="1:6" x14ac:dyDescent="0.35">
      <c r="A8499" t="s">
        <v>227</v>
      </c>
      <c r="B8499" t="s">
        <v>241</v>
      </c>
      <c r="C8499" s="2">
        <v>0.97419999999999995</v>
      </c>
      <c r="D8499" s="2">
        <v>2.01E-2</v>
      </c>
      <c r="E8499" s="2">
        <v>5.7000000000000002E-3</v>
      </c>
      <c r="F8499">
        <v>891</v>
      </c>
    </row>
    <row r="8500" spans="1:6" x14ac:dyDescent="0.35">
      <c r="A8500" t="s">
        <v>227</v>
      </c>
      <c r="B8500" t="s">
        <v>242</v>
      </c>
      <c r="C8500" s="2">
        <v>0.99629999999999996</v>
      </c>
      <c r="D8500" s="2">
        <v>3.7000000000000002E-3</v>
      </c>
      <c r="F8500">
        <v>166</v>
      </c>
    </row>
    <row r="8501" spans="1:6" x14ac:dyDescent="0.35">
      <c r="A8501" t="s">
        <v>228</v>
      </c>
      <c r="B8501" t="s">
        <v>228</v>
      </c>
      <c r="C8501" s="2">
        <v>0.97899999999999998</v>
      </c>
      <c r="D8501" s="2">
        <v>1.7999999999999999E-2</v>
      </c>
      <c r="E8501" s="2">
        <v>2.8999999999999998E-3</v>
      </c>
      <c r="F8501">
        <v>2813</v>
      </c>
    </row>
    <row r="8503" spans="1:6" x14ac:dyDescent="0.35">
      <c r="A8503" s="1" t="s">
        <v>2092</v>
      </c>
    </row>
    <row r="8504" spans="1:6" x14ac:dyDescent="0.35">
      <c r="A8504" t="s">
        <v>219</v>
      </c>
      <c r="B8504" t="s">
        <v>301</v>
      </c>
      <c r="C8504" t="s">
        <v>299</v>
      </c>
      <c r="D8504" t="s">
        <v>298</v>
      </c>
      <c r="E8504" t="s">
        <v>282</v>
      </c>
      <c r="F8504" t="s">
        <v>226</v>
      </c>
    </row>
    <row r="8505" spans="1:6" x14ac:dyDescent="0.35">
      <c r="A8505" t="s">
        <v>227</v>
      </c>
      <c r="B8505" t="s">
        <v>334</v>
      </c>
      <c r="C8505" s="2">
        <v>0.94930000000000003</v>
      </c>
      <c r="D8505" s="2">
        <v>3.85E-2</v>
      </c>
      <c r="E8505" s="2">
        <v>1.2200000000000001E-2</v>
      </c>
      <c r="F8505">
        <v>625</v>
      </c>
    </row>
    <row r="8506" spans="1:6" x14ac:dyDescent="0.35">
      <c r="A8506" t="s">
        <v>227</v>
      </c>
      <c r="B8506" t="s">
        <v>335</v>
      </c>
      <c r="C8506" s="2">
        <v>0.98540000000000005</v>
      </c>
      <c r="D8506" s="2">
        <v>1.46E-2</v>
      </c>
      <c r="F8506">
        <v>628</v>
      </c>
    </row>
    <row r="8507" spans="1:6" x14ac:dyDescent="0.35">
      <c r="A8507" t="s">
        <v>227</v>
      </c>
      <c r="B8507" t="s">
        <v>336</v>
      </c>
      <c r="C8507" s="2">
        <v>0.9778</v>
      </c>
      <c r="D8507" s="2">
        <v>2.1899999999999999E-2</v>
      </c>
      <c r="E8507" s="2">
        <v>4.0000000000000002E-4</v>
      </c>
      <c r="F8507">
        <v>621</v>
      </c>
    </row>
    <row r="8508" spans="1:6" x14ac:dyDescent="0.35">
      <c r="A8508" t="s">
        <v>227</v>
      </c>
      <c r="B8508" t="s">
        <v>337</v>
      </c>
      <c r="C8508" s="2">
        <v>0.99780000000000002</v>
      </c>
      <c r="D8508" s="2">
        <v>1.6999999999999999E-3</v>
      </c>
      <c r="E8508" s="2">
        <v>5.0000000000000001E-4</v>
      </c>
      <c r="F8508">
        <v>602</v>
      </c>
    </row>
    <row r="8509" spans="1:6" x14ac:dyDescent="0.35">
      <c r="A8509" t="s">
        <v>228</v>
      </c>
      <c r="B8509" t="s">
        <v>228</v>
      </c>
      <c r="C8509" s="2">
        <v>0.97899999999999998</v>
      </c>
      <c r="D8509" s="2">
        <v>1.7999999999999999E-2</v>
      </c>
      <c r="E8509" s="2">
        <v>2.8999999999999998E-3</v>
      </c>
      <c r="F8509">
        <v>2476</v>
      </c>
    </row>
    <row r="8511" spans="1:6" x14ac:dyDescent="0.35">
      <c r="A8511" s="1" t="s">
        <v>2093</v>
      </c>
    </row>
    <row r="8512" spans="1:6" x14ac:dyDescent="0.35">
      <c r="A8512" t="s">
        <v>219</v>
      </c>
      <c r="B8512" t="s">
        <v>301</v>
      </c>
      <c r="C8512" t="s">
        <v>299</v>
      </c>
      <c r="D8512" t="s">
        <v>298</v>
      </c>
      <c r="E8512" t="s">
        <v>282</v>
      </c>
      <c r="F8512" t="s">
        <v>226</v>
      </c>
    </row>
    <row r="8513" spans="1:6" x14ac:dyDescent="0.35">
      <c r="A8513" t="s">
        <v>227</v>
      </c>
      <c r="B8513" t="s">
        <v>263</v>
      </c>
      <c r="C8513" s="2">
        <v>0.97989999999999999</v>
      </c>
      <c r="D8513" s="2">
        <v>2.01E-2</v>
      </c>
      <c r="F8513">
        <v>589</v>
      </c>
    </row>
    <row r="8514" spans="1:6" x14ac:dyDescent="0.35">
      <c r="A8514" t="s">
        <v>227</v>
      </c>
      <c r="B8514" t="s">
        <v>262</v>
      </c>
      <c r="C8514" s="2">
        <v>0.97919999999999996</v>
      </c>
      <c r="D8514" s="2">
        <v>1.6199999999999999E-2</v>
      </c>
      <c r="E8514" s="2">
        <v>4.5999999999999999E-3</v>
      </c>
      <c r="F8514">
        <v>1160</v>
      </c>
    </row>
    <row r="8515" spans="1:6" x14ac:dyDescent="0.35">
      <c r="A8515" t="s">
        <v>227</v>
      </c>
      <c r="B8515" t="s">
        <v>261</v>
      </c>
      <c r="C8515" s="2">
        <v>0.97829999999999995</v>
      </c>
      <c r="D8515" s="2">
        <v>1.8700000000000001E-2</v>
      </c>
      <c r="E8515" s="2">
        <v>3.0000000000000001E-3</v>
      </c>
      <c r="F8515">
        <v>1062</v>
      </c>
    </row>
    <row r="8516" spans="1:6" x14ac:dyDescent="0.35">
      <c r="A8516" s="3" t="s">
        <v>227</v>
      </c>
      <c r="B8516" s="3" t="s">
        <v>232</v>
      </c>
      <c r="C8516" s="4">
        <v>1</v>
      </c>
      <c r="D8516" s="5"/>
      <c r="E8516" s="5"/>
      <c r="F8516" s="5" t="s">
        <v>434</v>
      </c>
    </row>
    <row r="8517" spans="1:6" x14ac:dyDescent="0.35">
      <c r="A8517" t="s">
        <v>228</v>
      </c>
      <c r="B8517" t="s">
        <v>228</v>
      </c>
      <c r="C8517" s="2">
        <v>0.97899999999999998</v>
      </c>
      <c r="D8517" s="2">
        <v>1.7999999999999999E-2</v>
      </c>
      <c r="E8517" s="2">
        <v>2.8999999999999998E-3</v>
      </c>
      <c r="F8517">
        <v>2813</v>
      </c>
    </row>
    <row r="8519" spans="1:6" x14ac:dyDescent="0.35">
      <c r="A8519" s="1" t="s">
        <v>2094</v>
      </c>
    </row>
    <row r="8520" spans="1:6" x14ac:dyDescent="0.35">
      <c r="A8520" t="s">
        <v>219</v>
      </c>
      <c r="B8520" t="s">
        <v>301</v>
      </c>
      <c r="C8520" t="s">
        <v>299</v>
      </c>
      <c r="D8520" t="s">
        <v>298</v>
      </c>
      <c r="E8520" t="s">
        <v>282</v>
      </c>
      <c r="F8520" t="s">
        <v>226</v>
      </c>
    </row>
    <row r="8521" spans="1:6" x14ac:dyDescent="0.35">
      <c r="A8521" t="s">
        <v>227</v>
      </c>
      <c r="B8521" t="s">
        <v>248</v>
      </c>
      <c r="C8521" s="2">
        <v>0.96799999999999997</v>
      </c>
      <c r="D8521" s="2">
        <v>2.5399999999999999E-2</v>
      </c>
      <c r="E8521" s="2">
        <v>6.6E-3</v>
      </c>
      <c r="F8521">
        <v>796</v>
      </c>
    </row>
    <row r="8522" spans="1:6" x14ac:dyDescent="0.35">
      <c r="A8522" t="s">
        <v>227</v>
      </c>
      <c r="B8522" t="s">
        <v>249</v>
      </c>
      <c r="C8522" s="2">
        <v>0.98399999999999999</v>
      </c>
      <c r="D8522" s="2">
        <v>1.4999999999999999E-2</v>
      </c>
      <c r="E8522" s="2">
        <v>1E-3</v>
      </c>
      <c r="F8522">
        <v>541</v>
      </c>
    </row>
    <row r="8523" spans="1:6" x14ac:dyDescent="0.35">
      <c r="A8523" t="s">
        <v>227</v>
      </c>
      <c r="B8523" t="s">
        <v>247</v>
      </c>
      <c r="C8523" s="2">
        <v>0.9829</v>
      </c>
      <c r="D8523" s="2">
        <v>1.54E-2</v>
      </c>
      <c r="E8523" s="2">
        <v>1.6999999999999999E-3</v>
      </c>
      <c r="F8523">
        <v>1476</v>
      </c>
    </row>
    <row r="8524" spans="1:6" x14ac:dyDescent="0.35">
      <c r="A8524" t="s">
        <v>228</v>
      </c>
      <c r="B8524" t="s">
        <v>228</v>
      </c>
      <c r="C8524" s="2">
        <v>0.97899999999999998</v>
      </c>
      <c r="D8524" s="2">
        <v>1.7999999999999999E-2</v>
      </c>
      <c r="E8524" s="2">
        <v>2.8999999999999998E-3</v>
      </c>
      <c r="F8524">
        <v>2813</v>
      </c>
    </row>
    <row r="8526" spans="1:6" x14ac:dyDescent="0.35">
      <c r="A8526" s="1" t="s">
        <v>2095</v>
      </c>
    </row>
    <row r="8527" spans="1:6" x14ac:dyDescent="0.35">
      <c r="A8527" t="s">
        <v>219</v>
      </c>
      <c r="B8527" t="s">
        <v>301</v>
      </c>
      <c r="C8527" t="s">
        <v>299</v>
      </c>
      <c r="D8527" t="s">
        <v>298</v>
      </c>
      <c r="E8527" t="s">
        <v>282</v>
      </c>
      <c r="F8527" t="s">
        <v>226</v>
      </c>
    </row>
    <row r="8528" spans="1:6" x14ac:dyDescent="0.35">
      <c r="A8528" t="s">
        <v>227</v>
      </c>
      <c r="B8528" t="s">
        <v>245</v>
      </c>
      <c r="C8528" s="2">
        <v>0.98670000000000002</v>
      </c>
      <c r="D8528" s="2">
        <v>1.32E-2</v>
      </c>
      <c r="E8528" s="2">
        <v>1E-4</v>
      </c>
      <c r="F8528">
        <v>783</v>
      </c>
    </row>
    <row r="8529" spans="1:6" x14ac:dyDescent="0.35">
      <c r="A8529" t="s">
        <v>227</v>
      </c>
      <c r="B8529" t="s">
        <v>244</v>
      </c>
      <c r="C8529" s="2">
        <v>0.97599999999999998</v>
      </c>
      <c r="D8529" s="2">
        <v>0.02</v>
      </c>
      <c r="E8529" s="2">
        <v>4.1000000000000003E-3</v>
      </c>
      <c r="F8529">
        <v>2030</v>
      </c>
    </row>
    <row r="8530" spans="1:6" x14ac:dyDescent="0.35">
      <c r="A8530" t="s">
        <v>228</v>
      </c>
      <c r="B8530" t="s">
        <v>228</v>
      </c>
      <c r="C8530" s="2">
        <v>0.97899999999999998</v>
      </c>
      <c r="D8530" s="2">
        <v>1.7999999999999999E-2</v>
      </c>
      <c r="E8530" s="2">
        <v>2.8999999999999998E-3</v>
      </c>
      <c r="F8530">
        <v>2813</v>
      </c>
    </row>
    <row r="8532" spans="1:6" x14ac:dyDescent="0.35">
      <c r="A8532" s="1" t="s">
        <v>2096</v>
      </c>
    </row>
    <row r="8533" spans="1:6" x14ac:dyDescent="0.35">
      <c r="A8533" t="s">
        <v>219</v>
      </c>
      <c r="B8533" t="s">
        <v>301</v>
      </c>
      <c r="C8533" t="s">
        <v>299</v>
      </c>
      <c r="D8533" t="s">
        <v>298</v>
      </c>
      <c r="E8533" t="s">
        <v>282</v>
      </c>
      <c r="F8533" t="s">
        <v>226</v>
      </c>
    </row>
    <row r="8534" spans="1:6" x14ac:dyDescent="0.35">
      <c r="A8534" t="s">
        <v>227</v>
      </c>
      <c r="B8534" t="s">
        <v>259</v>
      </c>
      <c r="C8534" s="2">
        <v>0.95760000000000001</v>
      </c>
      <c r="E8534" s="2">
        <v>4.24E-2</v>
      </c>
      <c r="F8534">
        <v>69</v>
      </c>
    </row>
    <row r="8535" spans="1:6" x14ac:dyDescent="0.35">
      <c r="A8535" t="s">
        <v>227</v>
      </c>
      <c r="B8535" t="s">
        <v>257</v>
      </c>
      <c r="C8535" s="2">
        <v>0.97970000000000002</v>
      </c>
      <c r="D8535" s="2">
        <v>2.0299999999999999E-2</v>
      </c>
      <c r="F8535">
        <v>405</v>
      </c>
    </row>
    <row r="8536" spans="1:6" x14ac:dyDescent="0.35">
      <c r="A8536" t="s">
        <v>227</v>
      </c>
      <c r="B8536" t="s">
        <v>256</v>
      </c>
      <c r="C8536" s="2">
        <v>0.97719999999999996</v>
      </c>
      <c r="D8536" s="2">
        <v>1.9699999999999999E-2</v>
      </c>
      <c r="E8536" s="2">
        <v>3.0999999999999999E-3</v>
      </c>
      <c r="F8536">
        <v>1803</v>
      </c>
    </row>
    <row r="8537" spans="1:6" x14ac:dyDescent="0.35">
      <c r="A8537" s="3" t="s">
        <v>227</v>
      </c>
      <c r="B8537" s="3" t="s">
        <v>232</v>
      </c>
      <c r="C8537" s="4">
        <v>1</v>
      </c>
      <c r="D8537" s="5"/>
      <c r="E8537" s="5"/>
      <c r="F8537" s="5" t="s">
        <v>307</v>
      </c>
    </row>
    <row r="8538" spans="1:6" x14ac:dyDescent="0.35">
      <c r="A8538" t="s">
        <v>227</v>
      </c>
      <c r="B8538" t="s">
        <v>258</v>
      </c>
      <c r="C8538" s="2">
        <v>0.98839999999999995</v>
      </c>
      <c r="D8538" s="2">
        <v>1.04E-2</v>
      </c>
      <c r="E8538" s="2">
        <v>1.1999999999999999E-3</v>
      </c>
      <c r="F8538">
        <v>525</v>
      </c>
    </row>
    <row r="8539" spans="1:6" x14ac:dyDescent="0.35">
      <c r="A8539" t="s">
        <v>228</v>
      </c>
      <c r="B8539" t="s">
        <v>228</v>
      </c>
      <c r="C8539" s="2">
        <v>0.97899999999999998</v>
      </c>
      <c r="D8539" s="2">
        <v>1.7999999999999999E-2</v>
      </c>
      <c r="E8539" s="2">
        <v>2.8999999999999998E-3</v>
      </c>
      <c r="F8539">
        <v>2813</v>
      </c>
    </row>
    <row r="8541" spans="1:6" x14ac:dyDescent="0.35">
      <c r="A8541" s="1" t="s">
        <v>2097</v>
      </c>
    </row>
    <row r="8542" spans="1:6" x14ac:dyDescent="0.35">
      <c r="A8542" t="s">
        <v>219</v>
      </c>
      <c r="B8542" t="s">
        <v>301</v>
      </c>
      <c r="C8542" t="s">
        <v>299</v>
      </c>
      <c r="D8542" t="s">
        <v>298</v>
      </c>
      <c r="E8542" t="s">
        <v>282</v>
      </c>
      <c r="F8542" t="s">
        <v>226</v>
      </c>
    </row>
    <row r="8543" spans="1:6" x14ac:dyDescent="0.35">
      <c r="A8543" t="s">
        <v>227</v>
      </c>
      <c r="B8543" t="s">
        <v>343</v>
      </c>
      <c r="C8543" s="2">
        <v>0.97970000000000002</v>
      </c>
      <c r="D8543" s="2">
        <v>2.0299999999999999E-2</v>
      </c>
      <c r="F8543">
        <v>405</v>
      </c>
    </row>
    <row r="8544" spans="1:6" x14ac:dyDescent="0.35">
      <c r="A8544" t="s">
        <v>227</v>
      </c>
      <c r="B8544" t="s">
        <v>344</v>
      </c>
      <c r="C8544" s="2">
        <v>0.97889999999999999</v>
      </c>
      <c r="D8544" s="2">
        <v>1.7600000000000001E-2</v>
      </c>
      <c r="E8544" s="2">
        <v>3.5000000000000001E-3</v>
      </c>
      <c r="F8544">
        <v>2408</v>
      </c>
    </row>
    <row r="8545" spans="1:6" x14ac:dyDescent="0.35">
      <c r="A8545" t="s">
        <v>228</v>
      </c>
      <c r="B8545" t="s">
        <v>228</v>
      </c>
      <c r="C8545" s="2">
        <v>0.97899999999999998</v>
      </c>
      <c r="D8545" s="2">
        <v>1.7999999999999999E-2</v>
      </c>
      <c r="E8545" s="2">
        <v>2.8999999999999998E-3</v>
      </c>
      <c r="F8545">
        <v>2813</v>
      </c>
    </row>
    <row r="8547" spans="1:6" x14ac:dyDescent="0.35">
      <c r="A8547" s="1" t="s">
        <v>2098</v>
      </c>
    </row>
    <row r="8548" spans="1:6" x14ac:dyDescent="0.35">
      <c r="A8548" t="s">
        <v>219</v>
      </c>
      <c r="B8548" t="s">
        <v>301</v>
      </c>
      <c r="C8548" t="s">
        <v>299</v>
      </c>
      <c r="D8548" t="s">
        <v>298</v>
      </c>
      <c r="E8548" t="s">
        <v>282</v>
      </c>
      <c r="F8548" t="s">
        <v>226</v>
      </c>
    </row>
    <row r="8549" spans="1:6" x14ac:dyDescent="0.35">
      <c r="A8549" t="s">
        <v>227</v>
      </c>
      <c r="B8549" t="s">
        <v>346</v>
      </c>
      <c r="C8549" s="2">
        <v>0.97860000000000003</v>
      </c>
      <c r="D8549" s="2">
        <v>1.83E-2</v>
      </c>
      <c r="E8549" s="2">
        <v>3.0000000000000001E-3</v>
      </c>
      <c r="F8549">
        <v>1463</v>
      </c>
    </row>
    <row r="8550" spans="1:6" x14ac:dyDescent="0.35">
      <c r="A8550" t="s">
        <v>227</v>
      </c>
      <c r="B8550" t="s">
        <v>347</v>
      </c>
      <c r="C8550" s="2">
        <v>0.96630000000000005</v>
      </c>
      <c r="D8550" s="2">
        <v>2.5600000000000001E-2</v>
      </c>
      <c r="E8550" s="2">
        <v>8.0999999999999996E-3</v>
      </c>
      <c r="F8550">
        <v>585</v>
      </c>
    </row>
    <row r="8551" spans="1:6" x14ac:dyDescent="0.35">
      <c r="A8551" t="s">
        <v>227</v>
      </c>
      <c r="B8551" t="s">
        <v>348</v>
      </c>
      <c r="C8551" s="2">
        <v>0.98709999999999998</v>
      </c>
      <c r="D8551" s="2">
        <v>1.29E-2</v>
      </c>
      <c r="F8551">
        <v>765</v>
      </c>
    </row>
    <row r="8552" spans="1:6" x14ac:dyDescent="0.35">
      <c r="A8552" t="s">
        <v>228</v>
      </c>
      <c r="B8552" t="s">
        <v>228</v>
      </c>
      <c r="C8552" s="2">
        <v>0.97899999999999998</v>
      </c>
      <c r="D8552" s="2">
        <v>1.7999999999999999E-2</v>
      </c>
      <c r="E8552" s="2">
        <v>2.8999999999999998E-3</v>
      </c>
      <c r="F8552">
        <v>2813</v>
      </c>
    </row>
    <row r="8554" spans="1:6" x14ac:dyDescent="0.35">
      <c r="A8554" s="1" t="s">
        <v>2099</v>
      </c>
    </row>
    <row r="8555" spans="1:6" x14ac:dyDescent="0.35">
      <c r="A8555" t="s">
        <v>219</v>
      </c>
      <c r="B8555" t="s">
        <v>301</v>
      </c>
      <c r="C8555" t="s">
        <v>299</v>
      </c>
      <c r="D8555" t="s">
        <v>298</v>
      </c>
      <c r="E8555" t="s">
        <v>282</v>
      </c>
      <c r="F8555" t="s">
        <v>226</v>
      </c>
    </row>
    <row r="8556" spans="1:6" x14ac:dyDescent="0.35">
      <c r="A8556" t="s">
        <v>227</v>
      </c>
      <c r="B8556" t="s">
        <v>251</v>
      </c>
      <c r="C8556" s="2">
        <v>0.97599999999999998</v>
      </c>
      <c r="D8556" s="2">
        <v>0.02</v>
      </c>
      <c r="E8556" s="2">
        <v>4.1000000000000003E-3</v>
      </c>
      <c r="F8556">
        <v>2030</v>
      </c>
    </row>
    <row r="8557" spans="1:6" x14ac:dyDescent="0.35">
      <c r="A8557" t="s">
        <v>227</v>
      </c>
      <c r="B8557" t="s">
        <v>252</v>
      </c>
      <c r="C8557" s="2">
        <v>0.99199999999999999</v>
      </c>
      <c r="D8557" s="2">
        <v>7.9000000000000008E-3</v>
      </c>
      <c r="E8557" s="2">
        <v>1E-4</v>
      </c>
      <c r="F8557">
        <v>621</v>
      </c>
    </row>
    <row r="8558" spans="1:6" x14ac:dyDescent="0.35">
      <c r="A8558" t="s">
        <v>227</v>
      </c>
      <c r="B8558" t="s">
        <v>253</v>
      </c>
      <c r="C8558" s="2">
        <v>0.96330000000000005</v>
      </c>
      <c r="D8558" s="2">
        <v>3.6700000000000003E-2</v>
      </c>
      <c r="F8558">
        <v>153</v>
      </c>
    </row>
    <row r="8559" spans="1:6" x14ac:dyDescent="0.35">
      <c r="A8559" s="3" t="s">
        <v>227</v>
      </c>
      <c r="B8559" s="3" t="s">
        <v>254</v>
      </c>
      <c r="C8559" s="4">
        <v>1</v>
      </c>
      <c r="D8559" s="5"/>
      <c r="E8559" s="5"/>
      <c r="F8559" s="5" t="s">
        <v>515</v>
      </c>
    </row>
    <row r="8560" spans="1:6" x14ac:dyDescent="0.35">
      <c r="A8560" t="s">
        <v>228</v>
      </c>
      <c r="B8560" t="s">
        <v>228</v>
      </c>
      <c r="C8560" s="2">
        <v>0.97899999999999998</v>
      </c>
      <c r="D8560" s="2">
        <v>1.7999999999999999E-2</v>
      </c>
      <c r="E8560" s="2">
        <v>2.8999999999999998E-3</v>
      </c>
      <c r="F8560">
        <v>2813</v>
      </c>
    </row>
    <row r="8562" spans="1:9" x14ac:dyDescent="0.35">
      <c r="A8562" s="1" t="s">
        <v>2100</v>
      </c>
    </row>
    <row r="8563" spans="1:9" x14ac:dyDescent="0.35">
      <c r="A8563" t="s">
        <v>219</v>
      </c>
      <c r="B8563" t="s">
        <v>2101</v>
      </c>
      <c r="C8563" t="s">
        <v>2102</v>
      </c>
      <c r="D8563" t="s">
        <v>2103</v>
      </c>
      <c r="E8563" t="s">
        <v>2104</v>
      </c>
      <c r="F8563" t="s">
        <v>282</v>
      </c>
      <c r="G8563" t="s">
        <v>277</v>
      </c>
      <c r="H8563" t="s">
        <v>226</v>
      </c>
    </row>
    <row r="8564" spans="1:9" x14ac:dyDescent="0.35">
      <c r="A8564" t="s">
        <v>227</v>
      </c>
      <c r="B8564" s="2">
        <v>0.93879999999999997</v>
      </c>
      <c r="C8564" s="2">
        <v>3.1399999999999997E-2</v>
      </c>
      <c r="D8564" s="2">
        <v>2.69E-2</v>
      </c>
      <c r="E8564" s="2">
        <v>2.3999999999999998E-3</v>
      </c>
      <c r="F8564" s="2">
        <v>4.0000000000000002E-4</v>
      </c>
      <c r="G8564" s="2">
        <v>0</v>
      </c>
      <c r="H8564">
        <v>2813</v>
      </c>
    </row>
    <row r="8565" spans="1:9" x14ac:dyDescent="0.35">
      <c r="A8565" t="s">
        <v>228</v>
      </c>
      <c r="B8565" s="2">
        <v>0.93879999999999997</v>
      </c>
      <c r="C8565" s="2">
        <v>3.1399999999999997E-2</v>
      </c>
      <c r="D8565" s="2">
        <v>2.69E-2</v>
      </c>
      <c r="E8565" s="2">
        <v>2.3999999999999998E-3</v>
      </c>
      <c r="F8565" s="2">
        <v>4.0000000000000002E-4</v>
      </c>
      <c r="G8565" s="2">
        <v>0</v>
      </c>
      <c r="H8565">
        <v>2813</v>
      </c>
    </row>
    <row r="8567" spans="1:9" x14ac:dyDescent="0.35">
      <c r="A8567" s="1" t="s">
        <v>2105</v>
      </c>
    </row>
    <row r="8568" spans="1:9" x14ac:dyDescent="0.35">
      <c r="A8568" t="s">
        <v>219</v>
      </c>
      <c r="B8568" t="s">
        <v>301</v>
      </c>
      <c r="C8568" t="s">
        <v>2101</v>
      </c>
      <c r="D8568" t="s">
        <v>2102</v>
      </c>
      <c r="E8568" t="s">
        <v>2103</v>
      </c>
      <c r="F8568" t="s">
        <v>2104</v>
      </c>
      <c r="G8568" t="s">
        <v>282</v>
      </c>
      <c r="H8568" t="s">
        <v>277</v>
      </c>
      <c r="I8568" t="s">
        <v>226</v>
      </c>
    </row>
    <row r="8569" spans="1:9" x14ac:dyDescent="0.35">
      <c r="A8569" t="s">
        <v>227</v>
      </c>
      <c r="B8569" t="s">
        <v>238</v>
      </c>
      <c r="C8569" s="2">
        <v>0.91279999999999994</v>
      </c>
      <c r="D8569" s="2">
        <v>4.7E-2</v>
      </c>
      <c r="E8569" s="2">
        <v>3.8100000000000002E-2</v>
      </c>
      <c r="F8569" s="2">
        <v>2E-3</v>
      </c>
      <c r="H8569" s="2">
        <v>1E-4</v>
      </c>
      <c r="I8569">
        <v>1005</v>
      </c>
    </row>
    <row r="8570" spans="1:9" x14ac:dyDescent="0.35">
      <c r="A8570" t="s">
        <v>227</v>
      </c>
      <c r="B8570" t="s">
        <v>237</v>
      </c>
      <c r="C8570" s="2">
        <v>0.95399999999999996</v>
      </c>
      <c r="D8570" s="2">
        <v>2.23E-2</v>
      </c>
      <c r="E8570" s="2">
        <v>2.0400000000000001E-2</v>
      </c>
      <c r="F8570" s="2">
        <v>2.5999999999999999E-3</v>
      </c>
      <c r="G8570" s="2">
        <v>5.9999999999999995E-4</v>
      </c>
      <c r="I8570">
        <v>1808</v>
      </c>
    </row>
    <row r="8571" spans="1:9" x14ac:dyDescent="0.35">
      <c r="A8571" t="s">
        <v>228</v>
      </c>
      <c r="B8571" t="s">
        <v>228</v>
      </c>
      <c r="C8571" s="2">
        <v>0.93879999999999997</v>
      </c>
      <c r="D8571" s="2">
        <v>3.1399999999999997E-2</v>
      </c>
      <c r="E8571" s="2">
        <v>2.69E-2</v>
      </c>
      <c r="F8571" s="2">
        <v>2.3999999999999998E-3</v>
      </c>
      <c r="G8571" s="2">
        <v>4.0000000000000002E-4</v>
      </c>
      <c r="H8571" s="2">
        <v>0</v>
      </c>
      <c r="I8571">
        <v>2813</v>
      </c>
    </row>
    <row r="8573" spans="1:9" x14ac:dyDescent="0.35">
      <c r="A8573" s="1" t="s">
        <v>2106</v>
      </c>
    </row>
    <row r="8574" spans="1:9" x14ac:dyDescent="0.35">
      <c r="A8574" t="s">
        <v>219</v>
      </c>
      <c r="B8574" t="s">
        <v>301</v>
      </c>
      <c r="C8574" t="s">
        <v>2101</v>
      </c>
      <c r="D8574" t="s">
        <v>2102</v>
      </c>
      <c r="E8574" t="s">
        <v>2103</v>
      </c>
      <c r="F8574" t="s">
        <v>2104</v>
      </c>
      <c r="G8574" t="s">
        <v>282</v>
      </c>
      <c r="H8574" t="s">
        <v>277</v>
      </c>
      <c r="I8574" t="s">
        <v>226</v>
      </c>
    </row>
    <row r="8575" spans="1:9" x14ac:dyDescent="0.35">
      <c r="A8575" t="s">
        <v>227</v>
      </c>
      <c r="B8575" t="s">
        <v>235</v>
      </c>
      <c r="C8575" s="2">
        <v>0.83309999999999995</v>
      </c>
      <c r="D8575" s="2">
        <v>9.0399999999999994E-2</v>
      </c>
      <c r="E8575" s="2">
        <v>7.0099999999999996E-2</v>
      </c>
      <c r="F8575" s="2">
        <v>5.7000000000000002E-3</v>
      </c>
      <c r="G8575" s="2">
        <v>5.9999999999999995E-4</v>
      </c>
      <c r="H8575" s="2">
        <v>1E-4</v>
      </c>
      <c r="I8575">
        <v>992</v>
      </c>
    </row>
    <row r="8576" spans="1:9" x14ac:dyDescent="0.35">
      <c r="A8576" t="s">
        <v>227</v>
      </c>
      <c r="B8576" t="s">
        <v>234</v>
      </c>
      <c r="C8576" s="2">
        <v>0.98309999999999997</v>
      </c>
      <c r="D8576" s="2">
        <v>6.7000000000000002E-3</v>
      </c>
      <c r="E8576" s="2">
        <v>8.8999999999999999E-3</v>
      </c>
      <c r="F8576" s="2">
        <v>1.1000000000000001E-3</v>
      </c>
      <c r="G8576" s="2">
        <v>2.0000000000000001E-4</v>
      </c>
      <c r="I8576">
        <v>1821</v>
      </c>
    </row>
    <row r="8577" spans="1:9" x14ac:dyDescent="0.35">
      <c r="A8577" t="s">
        <v>228</v>
      </c>
      <c r="B8577" t="s">
        <v>228</v>
      </c>
      <c r="C8577" s="2">
        <v>0.93879999999999997</v>
      </c>
      <c r="D8577" s="2">
        <v>3.1399999999999997E-2</v>
      </c>
      <c r="E8577" s="2">
        <v>2.69E-2</v>
      </c>
      <c r="F8577" s="2">
        <v>2.3999999999999998E-3</v>
      </c>
      <c r="G8577" s="2">
        <v>4.0000000000000002E-4</v>
      </c>
      <c r="H8577" s="2">
        <v>0</v>
      </c>
      <c r="I8577">
        <v>2813</v>
      </c>
    </row>
    <row r="8579" spans="1:9" x14ac:dyDescent="0.35">
      <c r="A8579" s="1" t="s">
        <v>2107</v>
      </c>
    </row>
    <row r="8580" spans="1:9" x14ac:dyDescent="0.35">
      <c r="A8580" t="s">
        <v>219</v>
      </c>
      <c r="B8580" t="s">
        <v>301</v>
      </c>
      <c r="C8580" t="s">
        <v>2101</v>
      </c>
      <c r="D8580" t="s">
        <v>2102</v>
      </c>
      <c r="E8580" t="s">
        <v>2103</v>
      </c>
      <c r="F8580" t="s">
        <v>2104</v>
      </c>
      <c r="G8580" t="s">
        <v>282</v>
      </c>
      <c r="H8580" t="s">
        <v>277</v>
      </c>
      <c r="I8580" t="s">
        <v>226</v>
      </c>
    </row>
    <row r="8581" spans="1:9" x14ac:dyDescent="0.35">
      <c r="A8581" t="s">
        <v>227</v>
      </c>
      <c r="B8581" t="s">
        <v>240</v>
      </c>
      <c r="C8581" s="2">
        <v>0.95320000000000005</v>
      </c>
      <c r="D8581" s="2">
        <v>2.2599999999999999E-2</v>
      </c>
      <c r="E8581" s="2">
        <v>2.0799999999999999E-2</v>
      </c>
      <c r="F8581" s="2">
        <v>2.8E-3</v>
      </c>
      <c r="G8581" s="2">
        <v>5.9999999999999995E-4</v>
      </c>
      <c r="H8581" s="2">
        <v>0</v>
      </c>
      <c r="I8581">
        <v>1756</v>
      </c>
    </row>
    <row r="8582" spans="1:9" x14ac:dyDescent="0.35">
      <c r="A8582" t="s">
        <v>227</v>
      </c>
      <c r="B8582" t="s">
        <v>241</v>
      </c>
      <c r="C8582" s="2">
        <v>0.91469999999999996</v>
      </c>
      <c r="D8582" s="2">
        <v>5.0099999999999999E-2</v>
      </c>
      <c r="E8582" s="2">
        <v>3.3000000000000002E-2</v>
      </c>
      <c r="F8582" s="2">
        <v>2.2000000000000001E-3</v>
      </c>
      <c r="I8582">
        <v>891</v>
      </c>
    </row>
    <row r="8583" spans="1:9" x14ac:dyDescent="0.35">
      <c r="A8583" t="s">
        <v>227</v>
      </c>
      <c r="B8583" t="s">
        <v>242</v>
      </c>
      <c r="C8583" s="2">
        <v>0.90710000000000002</v>
      </c>
      <c r="D8583" s="2">
        <v>3.3300000000000003E-2</v>
      </c>
      <c r="E8583" s="2">
        <v>5.96E-2</v>
      </c>
      <c r="I8583">
        <v>166</v>
      </c>
    </row>
    <row r="8584" spans="1:9" x14ac:dyDescent="0.35">
      <c r="A8584" t="s">
        <v>228</v>
      </c>
      <c r="B8584" t="s">
        <v>228</v>
      </c>
      <c r="C8584" s="2">
        <v>0.93879999999999997</v>
      </c>
      <c r="D8584" s="2">
        <v>3.1399999999999997E-2</v>
      </c>
      <c r="E8584" s="2">
        <v>2.69E-2</v>
      </c>
      <c r="F8584" s="2">
        <v>2.3999999999999998E-3</v>
      </c>
      <c r="G8584" s="2">
        <v>4.0000000000000002E-4</v>
      </c>
      <c r="H8584" s="2">
        <v>0</v>
      </c>
      <c r="I8584">
        <v>2813</v>
      </c>
    </row>
    <row r="8586" spans="1:9" x14ac:dyDescent="0.35">
      <c r="A8586" s="1" t="s">
        <v>2108</v>
      </c>
    </row>
    <row r="8587" spans="1:9" x14ac:dyDescent="0.35">
      <c r="A8587" t="s">
        <v>219</v>
      </c>
      <c r="B8587" t="s">
        <v>301</v>
      </c>
      <c r="C8587" t="s">
        <v>2101</v>
      </c>
      <c r="D8587" t="s">
        <v>2102</v>
      </c>
      <c r="E8587" t="s">
        <v>2103</v>
      </c>
      <c r="F8587" t="s">
        <v>2104</v>
      </c>
      <c r="G8587" t="s">
        <v>282</v>
      </c>
      <c r="H8587" t="s">
        <v>277</v>
      </c>
      <c r="I8587" t="s">
        <v>226</v>
      </c>
    </row>
    <row r="8588" spans="1:9" x14ac:dyDescent="0.35">
      <c r="A8588" t="s">
        <v>227</v>
      </c>
      <c r="B8588" t="s">
        <v>334</v>
      </c>
      <c r="C8588" s="2">
        <v>0.8478</v>
      </c>
      <c r="D8588" s="2">
        <v>7.3999999999999996E-2</v>
      </c>
      <c r="E8588" s="2">
        <v>6.6299999999999998E-2</v>
      </c>
      <c r="F8588" s="2">
        <v>1.0999999999999999E-2</v>
      </c>
      <c r="G8588" s="2">
        <v>8.9999999999999998E-4</v>
      </c>
      <c r="I8588">
        <v>625</v>
      </c>
    </row>
    <row r="8589" spans="1:9" x14ac:dyDescent="0.35">
      <c r="A8589" t="s">
        <v>227</v>
      </c>
      <c r="B8589" t="s">
        <v>335</v>
      </c>
      <c r="C8589" s="2">
        <v>0.97840000000000005</v>
      </c>
      <c r="D8589" s="2">
        <v>1.12E-2</v>
      </c>
      <c r="E8589" s="2">
        <v>1.04E-2</v>
      </c>
      <c r="I8589">
        <v>628</v>
      </c>
    </row>
    <row r="8590" spans="1:9" x14ac:dyDescent="0.35">
      <c r="A8590" t="s">
        <v>227</v>
      </c>
      <c r="B8590" t="s">
        <v>336</v>
      </c>
      <c r="C8590" s="2">
        <v>0.9234</v>
      </c>
      <c r="D8590" s="2">
        <v>4.0300000000000002E-2</v>
      </c>
      <c r="E8590" s="2">
        <v>3.6200000000000003E-2</v>
      </c>
      <c r="H8590" s="2">
        <v>1E-4</v>
      </c>
      <c r="I8590">
        <v>621</v>
      </c>
    </row>
    <row r="8591" spans="1:9" x14ac:dyDescent="0.35">
      <c r="A8591" t="s">
        <v>227</v>
      </c>
      <c r="B8591" t="s">
        <v>337</v>
      </c>
      <c r="C8591" s="2">
        <v>0.97870000000000001</v>
      </c>
      <c r="D8591" s="2">
        <v>1.12E-2</v>
      </c>
      <c r="E8591" s="2">
        <v>0.01</v>
      </c>
      <c r="I8591">
        <v>602</v>
      </c>
    </row>
    <row r="8592" spans="1:9" x14ac:dyDescent="0.35">
      <c r="A8592" t="s">
        <v>228</v>
      </c>
      <c r="B8592" t="s">
        <v>228</v>
      </c>
      <c r="C8592" s="2">
        <v>0.93879999999999997</v>
      </c>
      <c r="D8592" s="2">
        <v>3.1399999999999997E-2</v>
      </c>
      <c r="E8592" s="2">
        <v>2.69E-2</v>
      </c>
      <c r="F8592" s="2">
        <v>2.3999999999999998E-3</v>
      </c>
      <c r="G8592" s="2">
        <v>4.0000000000000002E-4</v>
      </c>
      <c r="H8592" s="2">
        <v>0</v>
      </c>
      <c r="I8592">
        <v>2476</v>
      </c>
    </row>
    <row r="8594" spans="1:9" x14ac:dyDescent="0.35">
      <c r="A8594" s="1" t="s">
        <v>2109</v>
      </c>
    </row>
    <row r="8595" spans="1:9" x14ac:dyDescent="0.35">
      <c r="A8595" t="s">
        <v>219</v>
      </c>
      <c r="B8595" t="s">
        <v>301</v>
      </c>
      <c r="C8595" t="s">
        <v>2101</v>
      </c>
      <c r="D8595" t="s">
        <v>2102</v>
      </c>
      <c r="E8595" t="s">
        <v>2103</v>
      </c>
      <c r="F8595" t="s">
        <v>2104</v>
      </c>
      <c r="G8595" t="s">
        <v>282</v>
      </c>
      <c r="H8595" t="s">
        <v>277</v>
      </c>
      <c r="I8595" t="s">
        <v>226</v>
      </c>
    </row>
    <row r="8596" spans="1:9" x14ac:dyDescent="0.35">
      <c r="A8596" t="s">
        <v>227</v>
      </c>
      <c r="B8596" t="s">
        <v>263</v>
      </c>
      <c r="C8596" s="2">
        <v>0.93810000000000004</v>
      </c>
      <c r="D8596" s="2">
        <v>4.1500000000000002E-2</v>
      </c>
      <c r="E8596" s="2">
        <v>2.0400000000000001E-2</v>
      </c>
      <c r="I8596">
        <v>589</v>
      </c>
    </row>
    <row r="8597" spans="1:9" x14ac:dyDescent="0.35">
      <c r="A8597" t="s">
        <v>227</v>
      </c>
      <c r="B8597" t="s">
        <v>262</v>
      </c>
      <c r="C8597" s="2">
        <v>0.92589999999999995</v>
      </c>
      <c r="D8597" s="2">
        <v>3.3700000000000001E-2</v>
      </c>
      <c r="E8597" s="2">
        <v>3.4099999999999998E-2</v>
      </c>
      <c r="F8597" s="2">
        <v>6.3E-3</v>
      </c>
      <c r="I8597">
        <v>1160</v>
      </c>
    </row>
    <row r="8598" spans="1:9" x14ac:dyDescent="0.35">
      <c r="A8598" t="s">
        <v>227</v>
      </c>
      <c r="B8598" t="s">
        <v>261</v>
      </c>
      <c r="C8598" s="2">
        <v>0.95169999999999999</v>
      </c>
      <c r="D8598" s="2">
        <v>2.3099999999999999E-2</v>
      </c>
      <c r="E8598" s="2">
        <v>2.4E-2</v>
      </c>
      <c r="F8598" s="2">
        <v>2.9999999999999997E-4</v>
      </c>
      <c r="G8598" s="2">
        <v>8.9999999999999998E-4</v>
      </c>
      <c r="H8598" s="2">
        <v>1E-4</v>
      </c>
      <c r="I8598">
        <v>1062</v>
      </c>
    </row>
    <row r="8599" spans="1:9" x14ac:dyDescent="0.35">
      <c r="A8599" s="3" t="s">
        <v>227</v>
      </c>
      <c r="B8599" s="3" t="s">
        <v>232</v>
      </c>
      <c r="C8599" s="4">
        <v>0.5</v>
      </c>
      <c r="D8599" s="4">
        <v>0.5</v>
      </c>
      <c r="E8599" s="5"/>
      <c r="F8599" s="5"/>
      <c r="G8599" s="5"/>
      <c r="H8599" s="5"/>
      <c r="I8599" s="5" t="s">
        <v>434</v>
      </c>
    </row>
    <row r="8600" spans="1:9" x14ac:dyDescent="0.35">
      <c r="A8600" t="s">
        <v>228</v>
      </c>
      <c r="B8600" t="s">
        <v>228</v>
      </c>
      <c r="C8600" s="2">
        <v>0.93879999999999997</v>
      </c>
      <c r="D8600" s="2">
        <v>3.1399999999999997E-2</v>
      </c>
      <c r="E8600" s="2">
        <v>2.69E-2</v>
      </c>
      <c r="F8600" s="2">
        <v>2.3999999999999998E-3</v>
      </c>
      <c r="G8600" s="2">
        <v>4.0000000000000002E-4</v>
      </c>
      <c r="H8600" s="2">
        <v>0</v>
      </c>
      <c r="I8600">
        <v>2813</v>
      </c>
    </row>
    <row r="8602" spans="1:9" x14ac:dyDescent="0.35">
      <c r="A8602" s="1" t="s">
        <v>2110</v>
      </c>
    </row>
    <row r="8603" spans="1:9" x14ac:dyDescent="0.35">
      <c r="A8603" t="s">
        <v>219</v>
      </c>
      <c r="B8603" t="s">
        <v>301</v>
      </c>
      <c r="C8603" t="s">
        <v>2101</v>
      </c>
      <c r="D8603" t="s">
        <v>2102</v>
      </c>
      <c r="E8603" t="s">
        <v>2103</v>
      </c>
      <c r="F8603" t="s">
        <v>2104</v>
      </c>
      <c r="G8603" t="s">
        <v>282</v>
      </c>
      <c r="H8603" t="s">
        <v>277</v>
      </c>
      <c r="I8603" t="s">
        <v>226</v>
      </c>
    </row>
    <row r="8604" spans="1:9" x14ac:dyDescent="0.35">
      <c r="A8604" t="s">
        <v>227</v>
      </c>
      <c r="B8604" t="s">
        <v>248</v>
      </c>
      <c r="C8604" s="2">
        <v>0.89649999999999996</v>
      </c>
      <c r="D8604" s="2">
        <v>5.91E-2</v>
      </c>
      <c r="E8604" s="2">
        <v>4.1700000000000001E-2</v>
      </c>
      <c r="F8604" s="2">
        <v>2.3E-3</v>
      </c>
      <c r="G8604" s="2">
        <v>2.9999999999999997E-4</v>
      </c>
      <c r="I8604">
        <v>796</v>
      </c>
    </row>
    <row r="8605" spans="1:9" x14ac:dyDescent="0.35">
      <c r="A8605" t="s">
        <v>227</v>
      </c>
      <c r="B8605" t="s">
        <v>249</v>
      </c>
      <c r="C8605" s="2">
        <v>0.91690000000000005</v>
      </c>
      <c r="D8605" s="2">
        <v>3.7100000000000001E-2</v>
      </c>
      <c r="E8605" s="2">
        <v>3.5700000000000003E-2</v>
      </c>
      <c r="F8605" s="2">
        <v>9.1999999999999998E-3</v>
      </c>
      <c r="G8605" s="2">
        <v>1E-3</v>
      </c>
      <c r="H8605" s="2">
        <v>1E-4</v>
      </c>
      <c r="I8605">
        <v>541</v>
      </c>
    </row>
    <row r="8606" spans="1:9" x14ac:dyDescent="0.35">
      <c r="A8606" t="s">
        <v>227</v>
      </c>
      <c r="B8606" t="s">
        <v>247</v>
      </c>
      <c r="C8606" s="2">
        <v>0.96870000000000001</v>
      </c>
      <c r="D8606" s="2">
        <v>1.4999999999999999E-2</v>
      </c>
      <c r="E8606" s="2">
        <v>1.61E-2</v>
      </c>
      <c r="G8606" s="2">
        <v>2.0000000000000001E-4</v>
      </c>
      <c r="I8606">
        <v>1476</v>
      </c>
    </row>
    <row r="8607" spans="1:9" x14ac:dyDescent="0.35">
      <c r="A8607" t="s">
        <v>228</v>
      </c>
      <c r="B8607" t="s">
        <v>228</v>
      </c>
      <c r="C8607" s="2">
        <v>0.93879999999999997</v>
      </c>
      <c r="D8607" s="2">
        <v>3.1399999999999997E-2</v>
      </c>
      <c r="E8607" s="2">
        <v>2.69E-2</v>
      </c>
      <c r="F8607" s="2">
        <v>2.3999999999999998E-3</v>
      </c>
      <c r="G8607" s="2">
        <v>4.0000000000000002E-4</v>
      </c>
      <c r="H8607" s="2">
        <v>0</v>
      </c>
      <c r="I8607">
        <v>2813</v>
      </c>
    </row>
    <row r="8609" spans="1:9" x14ac:dyDescent="0.35">
      <c r="A8609" s="1" t="s">
        <v>2111</v>
      </c>
    </row>
    <row r="8610" spans="1:9" x14ac:dyDescent="0.35">
      <c r="A8610" t="s">
        <v>219</v>
      </c>
      <c r="B8610" t="s">
        <v>301</v>
      </c>
      <c r="C8610" t="s">
        <v>2101</v>
      </c>
      <c r="D8610" t="s">
        <v>2102</v>
      </c>
      <c r="E8610" t="s">
        <v>2103</v>
      </c>
      <c r="F8610" t="s">
        <v>2104</v>
      </c>
      <c r="G8610" t="s">
        <v>282</v>
      </c>
      <c r="H8610" t="s">
        <v>277</v>
      </c>
      <c r="I8610" t="s">
        <v>226</v>
      </c>
    </row>
    <row r="8611" spans="1:9" x14ac:dyDescent="0.35">
      <c r="A8611" t="s">
        <v>227</v>
      </c>
      <c r="B8611" t="s">
        <v>245</v>
      </c>
      <c r="C8611" s="2">
        <v>0.96779999999999999</v>
      </c>
      <c r="D8611" s="2">
        <v>1.1299999999999999E-2</v>
      </c>
      <c r="E8611" s="2">
        <v>2.0899999999999998E-2</v>
      </c>
      <c r="I8611">
        <v>783</v>
      </c>
    </row>
    <row r="8612" spans="1:9" x14ac:dyDescent="0.35">
      <c r="A8612" t="s">
        <v>227</v>
      </c>
      <c r="B8612" t="s">
        <v>244</v>
      </c>
      <c r="C8612" s="2">
        <v>0.9274</v>
      </c>
      <c r="D8612" s="2">
        <v>3.9399999999999998E-2</v>
      </c>
      <c r="E8612" s="2">
        <v>2.93E-2</v>
      </c>
      <c r="F8612" s="2">
        <v>3.3999999999999998E-3</v>
      </c>
      <c r="G8612" s="2">
        <v>5.0000000000000001E-4</v>
      </c>
      <c r="H8612" s="2">
        <v>0</v>
      </c>
      <c r="I8612">
        <v>2030</v>
      </c>
    </row>
    <row r="8613" spans="1:9" x14ac:dyDescent="0.35">
      <c r="A8613" t="s">
        <v>228</v>
      </c>
      <c r="B8613" t="s">
        <v>228</v>
      </c>
      <c r="C8613" s="2">
        <v>0.93879999999999997</v>
      </c>
      <c r="D8613" s="2">
        <v>3.1399999999999997E-2</v>
      </c>
      <c r="E8613" s="2">
        <v>2.69E-2</v>
      </c>
      <c r="F8613" s="2">
        <v>2.3999999999999998E-3</v>
      </c>
      <c r="G8613" s="2">
        <v>4.0000000000000002E-4</v>
      </c>
      <c r="H8613" s="2">
        <v>0</v>
      </c>
      <c r="I8613">
        <v>2813</v>
      </c>
    </row>
    <row r="8615" spans="1:9" x14ac:dyDescent="0.35">
      <c r="A8615" s="1" t="s">
        <v>2112</v>
      </c>
    </row>
    <row r="8616" spans="1:9" x14ac:dyDescent="0.35">
      <c r="A8616" t="s">
        <v>219</v>
      </c>
      <c r="B8616" t="s">
        <v>301</v>
      </c>
      <c r="C8616" t="s">
        <v>2101</v>
      </c>
      <c r="D8616" t="s">
        <v>2102</v>
      </c>
      <c r="E8616" t="s">
        <v>2103</v>
      </c>
      <c r="F8616" t="s">
        <v>2104</v>
      </c>
      <c r="G8616" t="s">
        <v>282</v>
      </c>
      <c r="H8616" t="s">
        <v>277</v>
      </c>
      <c r="I8616" t="s">
        <v>226</v>
      </c>
    </row>
    <row r="8617" spans="1:9" x14ac:dyDescent="0.35">
      <c r="A8617" t="s">
        <v>227</v>
      </c>
      <c r="B8617" t="s">
        <v>259</v>
      </c>
      <c r="C8617" s="2">
        <v>0.96140000000000003</v>
      </c>
      <c r="D8617" s="2">
        <v>3.5799999999999998E-2</v>
      </c>
      <c r="E8617" s="2">
        <v>2.8E-3</v>
      </c>
      <c r="I8617">
        <v>69</v>
      </c>
    </row>
    <row r="8618" spans="1:9" x14ac:dyDescent="0.35">
      <c r="A8618" t="s">
        <v>227</v>
      </c>
      <c r="B8618" t="s">
        <v>257</v>
      </c>
      <c r="C8618" s="2">
        <v>0.93149999999999999</v>
      </c>
      <c r="D8618" s="2">
        <v>3.0300000000000001E-2</v>
      </c>
      <c r="E8618" s="2">
        <v>3.7600000000000001E-2</v>
      </c>
      <c r="F8618" s="2">
        <v>5.9999999999999995E-4</v>
      </c>
      <c r="I8618">
        <v>405</v>
      </c>
    </row>
    <row r="8619" spans="1:9" x14ac:dyDescent="0.35">
      <c r="A8619" t="s">
        <v>227</v>
      </c>
      <c r="B8619" t="s">
        <v>256</v>
      </c>
      <c r="C8619" s="2">
        <v>0.92910000000000004</v>
      </c>
      <c r="D8619" s="2">
        <v>3.7199999999999997E-2</v>
      </c>
      <c r="E8619" s="2">
        <v>2.9899999999999999E-2</v>
      </c>
      <c r="F8619" s="2">
        <v>3.5000000000000001E-3</v>
      </c>
      <c r="G8619" s="2">
        <v>2.9999999999999997E-4</v>
      </c>
      <c r="H8619" s="2">
        <v>0</v>
      </c>
      <c r="I8619">
        <v>1803</v>
      </c>
    </row>
    <row r="8620" spans="1:9" x14ac:dyDescent="0.35">
      <c r="A8620" s="3" t="s">
        <v>227</v>
      </c>
      <c r="B8620" s="3" t="s">
        <v>232</v>
      </c>
      <c r="C8620" s="4">
        <v>0.95679999999999998</v>
      </c>
      <c r="D8620" s="5"/>
      <c r="E8620" s="4">
        <v>4.3200000000000002E-2</v>
      </c>
      <c r="F8620" s="5"/>
      <c r="G8620" s="5"/>
      <c r="H8620" s="5"/>
      <c r="I8620" s="5" t="s">
        <v>307</v>
      </c>
    </row>
    <row r="8621" spans="1:9" x14ac:dyDescent="0.35">
      <c r="A8621" t="s">
        <v>227</v>
      </c>
      <c r="B8621" t="s">
        <v>258</v>
      </c>
      <c r="C8621" s="2">
        <v>0.98829999999999996</v>
      </c>
      <c r="D8621" s="2">
        <v>6.7000000000000002E-3</v>
      </c>
      <c r="E8621" s="2">
        <v>3.8E-3</v>
      </c>
      <c r="G8621" s="2">
        <v>1.1999999999999999E-3</v>
      </c>
      <c r="I8621">
        <v>525</v>
      </c>
    </row>
    <row r="8622" spans="1:9" x14ac:dyDescent="0.35">
      <c r="A8622" t="s">
        <v>228</v>
      </c>
      <c r="B8622" t="s">
        <v>228</v>
      </c>
      <c r="C8622" s="2">
        <v>0.93879999999999997</v>
      </c>
      <c r="D8622" s="2">
        <v>3.1399999999999997E-2</v>
      </c>
      <c r="E8622" s="2">
        <v>2.69E-2</v>
      </c>
      <c r="F8622" s="2">
        <v>2.3999999999999998E-3</v>
      </c>
      <c r="G8622" s="2">
        <v>4.0000000000000002E-4</v>
      </c>
      <c r="H8622" s="2">
        <v>0</v>
      </c>
      <c r="I8622">
        <v>2813</v>
      </c>
    </row>
    <row r="8624" spans="1:9" x14ac:dyDescent="0.35">
      <c r="A8624" s="1" t="s">
        <v>2113</v>
      </c>
    </row>
    <row r="8625" spans="1:9" x14ac:dyDescent="0.35">
      <c r="A8625" t="s">
        <v>219</v>
      </c>
      <c r="B8625" t="s">
        <v>301</v>
      </c>
      <c r="C8625" t="s">
        <v>2101</v>
      </c>
      <c r="D8625" t="s">
        <v>2102</v>
      </c>
      <c r="E8625" t="s">
        <v>2103</v>
      </c>
      <c r="F8625" t="s">
        <v>2104</v>
      </c>
      <c r="G8625" t="s">
        <v>282</v>
      </c>
      <c r="H8625" t="s">
        <v>277</v>
      </c>
      <c r="I8625" t="s">
        <v>226</v>
      </c>
    </row>
    <row r="8626" spans="1:9" x14ac:dyDescent="0.35">
      <c r="A8626" t="s">
        <v>227</v>
      </c>
      <c r="B8626" t="s">
        <v>343</v>
      </c>
      <c r="C8626" s="2">
        <v>0.93149999999999999</v>
      </c>
      <c r="D8626" s="2">
        <v>3.0300000000000001E-2</v>
      </c>
      <c r="E8626" s="2">
        <v>3.7600000000000001E-2</v>
      </c>
      <c r="F8626" s="2">
        <v>5.9999999999999995E-4</v>
      </c>
      <c r="I8626">
        <v>405</v>
      </c>
    </row>
    <row r="8627" spans="1:9" x14ac:dyDescent="0.35">
      <c r="A8627" t="s">
        <v>227</v>
      </c>
      <c r="B8627" t="s">
        <v>344</v>
      </c>
      <c r="C8627" s="2">
        <v>0.94030000000000002</v>
      </c>
      <c r="D8627" s="2">
        <v>3.1600000000000003E-2</v>
      </c>
      <c r="E8627" s="2">
        <v>2.4799999999999999E-2</v>
      </c>
      <c r="F8627" s="2">
        <v>2.8E-3</v>
      </c>
      <c r="G8627" s="2">
        <v>4.0000000000000002E-4</v>
      </c>
      <c r="H8627" s="2">
        <v>0</v>
      </c>
      <c r="I8627">
        <v>2408</v>
      </c>
    </row>
    <row r="8628" spans="1:9" x14ac:dyDescent="0.35">
      <c r="A8628" t="s">
        <v>228</v>
      </c>
      <c r="B8628" t="s">
        <v>228</v>
      </c>
      <c r="C8628" s="2">
        <v>0.93879999999999997</v>
      </c>
      <c r="D8628" s="2">
        <v>3.1399999999999997E-2</v>
      </c>
      <c r="E8628" s="2">
        <v>2.69E-2</v>
      </c>
      <c r="F8628" s="2">
        <v>2.3999999999999998E-3</v>
      </c>
      <c r="G8628" s="2">
        <v>4.0000000000000002E-4</v>
      </c>
      <c r="H8628" s="2">
        <v>0</v>
      </c>
      <c r="I8628">
        <v>2813</v>
      </c>
    </row>
    <row r="8630" spans="1:9" x14ac:dyDescent="0.35">
      <c r="A8630" s="1" t="s">
        <v>2114</v>
      </c>
    </row>
    <row r="8631" spans="1:9" x14ac:dyDescent="0.35">
      <c r="A8631" t="s">
        <v>219</v>
      </c>
      <c r="B8631" t="s">
        <v>301</v>
      </c>
      <c r="C8631" t="s">
        <v>2101</v>
      </c>
      <c r="D8631" t="s">
        <v>2102</v>
      </c>
      <c r="E8631" t="s">
        <v>2103</v>
      </c>
      <c r="F8631" t="s">
        <v>2104</v>
      </c>
      <c r="G8631" t="s">
        <v>282</v>
      </c>
      <c r="H8631" t="s">
        <v>277</v>
      </c>
      <c r="I8631" t="s">
        <v>226</v>
      </c>
    </row>
    <row r="8632" spans="1:9" x14ac:dyDescent="0.35">
      <c r="A8632" t="s">
        <v>227</v>
      </c>
      <c r="B8632" t="s">
        <v>346</v>
      </c>
      <c r="C8632" s="2">
        <v>0.9385</v>
      </c>
      <c r="D8632" s="2">
        <v>3.2099999999999997E-2</v>
      </c>
      <c r="E8632" s="2">
        <v>2.6499999999999999E-2</v>
      </c>
      <c r="F8632" s="2">
        <v>2.7000000000000001E-3</v>
      </c>
      <c r="G8632" s="2">
        <v>2.0000000000000001E-4</v>
      </c>
      <c r="I8632">
        <v>1463</v>
      </c>
    </row>
    <row r="8633" spans="1:9" x14ac:dyDescent="0.35">
      <c r="A8633" t="s">
        <v>227</v>
      </c>
      <c r="B8633" t="s">
        <v>347</v>
      </c>
      <c r="C8633" s="2">
        <v>0.88300000000000001</v>
      </c>
      <c r="D8633" s="2">
        <v>5.8200000000000002E-2</v>
      </c>
      <c r="E8633" s="2">
        <v>5.0299999999999997E-2</v>
      </c>
      <c r="F8633" s="2">
        <v>2.8999999999999998E-3</v>
      </c>
      <c r="G8633" s="2">
        <v>4.7999999999999996E-3</v>
      </c>
      <c r="H8633" s="2">
        <v>6.9999999999999999E-4</v>
      </c>
      <c r="I8633">
        <v>585</v>
      </c>
    </row>
    <row r="8634" spans="1:9" x14ac:dyDescent="0.35">
      <c r="A8634" t="s">
        <v>227</v>
      </c>
      <c r="B8634" t="s">
        <v>348</v>
      </c>
      <c r="C8634" s="2">
        <v>0.96330000000000005</v>
      </c>
      <c r="D8634" s="2">
        <v>1.49E-2</v>
      </c>
      <c r="E8634" s="2">
        <v>2.18E-2</v>
      </c>
      <c r="I8634">
        <v>765</v>
      </c>
    </row>
    <row r="8635" spans="1:9" x14ac:dyDescent="0.35">
      <c r="A8635" t="s">
        <v>228</v>
      </c>
      <c r="B8635" t="s">
        <v>228</v>
      </c>
      <c r="C8635" s="2">
        <v>0.93879999999999997</v>
      </c>
      <c r="D8635" s="2">
        <v>3.1399999999999997E-2</v>
      </c>
      <c r="E8635" s="2">
        <v>2.69E-2</v>
      </c>
      <c r="F8635" s="2">
        <v>2.3999999999999998E-3</v>
      </c>
      <c r="G8635" s="2">
        <v>4.0000000000000002E-4</v>
      </c>
      <c r="H8635" s="2">
        <v>0</v>
      </c>
      <c r="I8635">
        <v>2813</v>
      </c>
    </row>
    <row r="8637" spans="1:9" x14ac:dyDescent="0.35">
      <c r="A8637" s="1" t="s">
        <v>2115</v>
      </c>
    </row>
    <row r="8638" spans="1:9" x14ac:dyDescent="0.35">
      <c r="A8638" t="s">
        <v>219</v>
      </c>
      <c r="B8638" t="s">
        <v>301</v>
      </c>
      <c r="C8638" t="s">
        <v>2101</v>
      </c>
      <c r="D8638" t="s">
        <v>2102</v>
      </c>
      <c r="E8638" t="s">
        <v>2103</v>
      </c>
      <c r="F8638" t="s">
        <v>2104</v>
      </c>
      <c r="G8638" t="s">
        <v>282</v>
      </c>
      <c r="H8638" t="s">
        <v>277</v>
      </c>
      <c r="I8638" t="s">
        <v>226</v>
      </c>
    </row>
    <row r="8639" spans="1:9" x14ac:dyDescent="0.35">
      <c r="A8639" t="s">
        <v>227</v>
      </c>
      <c r="B8639" t="s">
        <v>251</v>
      </c>
      <c r="C8639" s="2">
        <v>0.9274</v>
      </c>
      <c r="D8639" s="2">
        <v>3.9399999999999998E-2</v>
      </c>
      <c r="E8639" s="2">
        <v>2.93E-2</v>
      </c>
      <c r="F8639" s="2">
        <v>3.3999999999999998E-3</v>
      </c>
      <c r="G8639" s="2">
        <v>5.0000000000000001E-4</v>
      </c>
      <c r="H8639" s="2">
        <v>0</v>
      </c>
      <c r="I8639">
        <v>2030</v>
      </c>
    </row>
    <row r="8640" spans="1:9" x14ac:dyDescent="0.35">
      <c r="A8640" t="s">
        <v>227</v>
      </c>
      <c r="B8640" t="s">
        <v>252</v>
      </c>
      <c r="C8640" s="2">
        <v>0.96779999999999999</v>
      </c>
      <c r="D8640" s="2">
        <v>1.1900000000000001E-2</v>
      </c>
      <c r="E8640" s="2">
        <v>2.0199999999999999E-2</v>
      </c>
      <c r="I8640">
        <v>621</v>
      </c>
    </row>
    <row r="8641" spans="1:9" x14ac:dyDescent="0.35">
      <c r="A8641" t="s">
        <v>227</v>
      </c>
      <c r="B8641" t="s">
        <v>253</v>
      </c>
      <c r="C8641" s="2">
        <v>0.96719999999999995</v>
      </c>
      <c r="D8641" s="2">
        <v>8.5000000000000006E-3</v>
      </c>
      <c r="E8641" s="2">
        <v>2.4199999999999999E-2</v>
      </c>
      <c r="I8641">
        <v>153</v>
      </c>
    </row>
    <row r="8642" spans="1:9" x14ac:dyDescent="0.35">
      <c r="A8642" s="3" t="s">
        <v>227</v>
      </c>
      <c r="B8642" s="3" t="s">
        <v>254</v>
      </c>
      <c r="C8642" s="4">
        <v>0.98570000000000002</v>
      </c>
      <c r="D8642" s="4">
        <v>1.43E-2</v>
      </c>
      <c r="E8642" s="5"/>
      <c r="F8642" s="5"/>
      <c r="G8642" s="5"/>
      <c r="H8642" s="5"/>
      <c r="I8642" s="5" t="s">
        <v>515</v>
      </c>
    </row>
    <row r="8643" spans="1:9" x14ac:dyDescent="0.35">
      <c r="A8643" t="s">
        <v>228</v>
      </c>
      <c r="B8643" t="s">
        <v>228</v>
      </c>
      <c r="C8643" s="2">
        <v>0.93879999999999997</v>
      </c>
      <c r="D8643" s="2">
        <v>3.1399999999999997E-2</v>
      </c>
      <c r="E8643" s="2">
        <v>2.69E-2</v>
      </c>
      <c r="F8643" s="2">
        <v>2.3999999999999998E-3</v>
      </c>
      <c r="G8643" s="2">
        <v>4.0000000000000002E-4</v>
      </c>
      <c r="H8643" s="2">
        <v>0</v>
      </c>
      <c r="I8643">
        <v>2813</v>
      </c>
    </row>
    <row r="8645" spans="1:9" x14ac:dyDescent="0.35">
      <c r="A8645" s="1" t="s">
        <v>2116</v>
      </c>
    </row>
    <row r="8646" spans="1:9" x14ac:dyDescent="0.35">
      <c r="A8646" t="s">
        <v>219</v>
      </c>
      <c r="B8646" t="s">
        <v>299</v>
      </c>
      <c r="C8646" t="s">
        <v>298</v>
      </c>
      <c r="D8646" t="s">
        <v>282</v>
      </c>
      <c r="E8646" t="s">
        <v>226</v>
      </c>
    </row>
    <row r="8647" spans="1:9" x14ac:dyDescent="0.35">
      <c r="A8647" t="s">
        <v>227</v>
      </c>
      <c r="B8647" s="2">
        <v>0.99670000000000003</v>
      </c>
      <c r="C8647" s="2">
        <v>2.8999999999999998E-3</v>
      </c>
      <c r="D8647" s="2">
        <v>4.0000000000000002E-4</v>
      </c>
      <c r="E8647">
        <v>2813</v>
      </c>
    </row>
    <row r="8648" spans="1:9" x14ac:dyDescent="0.35">
      <c r="A8648" t="s">
        <v>228</v>
      </c>
      <c r="B8648" s="2">
        <v>0.99670000000000003</v>
      </c>
      <c r="C8648" s="2">
        <v>2.8999999999999998E-3</v>
      </c>
      <c r="D8648" s="2">
        <v>4.0000000000000002E-4</v>
      </c>
      <c r="E8648">
        <v>2813</v>
      </c>
    </row>
    <row r="8650" spans="1:9" x14ac:dyDescent="0.35">
      <c r="A8650" s="1" t="s">
        <v>2117</v>
      </c>
    </row>
    <row r="8651" spans="1:9" x14ac:dyDescent="0.35">
      <c r="A8651" t="s">
        <v>219</v>
      </c>
      <c r="B8651" t="s">
        <v>301</v>
      </c>
      <c r="C8651" t="s">
        <v>299</v>
      </c>
      <c r="D8651" t="s">
        <v>298</v>
      </c>
      <c r="E8651" t="s">
        <v>282</v>
      </c>
      <c r="F8651" t="s">
        <v>226</v>
      </c>
    </row>
    <row r="8652" spans="1:9" x14ac:dyDescent="0.35">
      <c r="A8652" t="s">
        <v>227</v>
      </c>
      <c r="B8652" t="s">
        <v>238</v>
      </c>
      <c r="C8652" s="2">
        <v>0.99309999999999998</v>
      </c>
      <c r="D8652" s="2">
        <v>6.8999999999999999E-3</v>
      </c>
      <c r="F8652">
        <v>1005</v>
      </c>
    </row>
    <row r="8653" spans="1:9" x14ac:dyDescent="0.35">
      <c r="A8653" t="s">
        <v>227</v>
      </c>
      <c r="B8653" t="s">
        <v>237</v>
      </c>
      <c r="C8653" s="2">
        <v>0.99880000000000002</v>
      </c>
      <c r="D8653" s="2">
        <v>5.9999999999999995E-4</v>
      </c>
      <c r="E8653" s="2">
        <v>5.9999999999999995E-4</v>
      </c>
      <c r="F8653">
        <v>1808</v>
      </c>
    </row>
    <row r="8654" spans="1:9" x14ac:dyDescent="0.35">
      <c r="A8654" t="s">
        <v>228</v>
      </c>
      <c r="B8654" t="s">
        <v>228</v>
      </c>
      <c r="C8654" s="2">
        <v>0.99670000000000003</v>
      </c>
      <c r="D8654" s="2">
        <v>2.8999999999999998E-3</v>
      </c>
      <c r="E8654" s="2">
        <v>4.0000000000000002E-4</v>
      </c>
      <c r="F8654">
        <v>2813</v>
      </c>
    </row>
    <row r="8656" spans="1:9" x14ac:dyDescent="0.35">
      <c r="A8656" s="1" t="s">
        <v>2118</v>
      </c>
    </row>
    <row r="8657" spans="1:6" x14ac:dyDescent="0.35">
      <c r="A8657" t="s">
        <v>219</v>
      </c>
      <c r="B8657" t="s">
        <v>301</v>
      </c>
      <c r="C8657" t="s">
        <v>299</v>
      </c>
      <c r="D8657" t="s">
        <v>298</v>
      </c>
      <c r="E8657" t="s">
        <v>282</v>
      </c>
      <c r="F8657" t="s">
        <v>226</v>
      </c>
    </row>
    <row r="8658" spans="1:6" x14ac:dyDescent="0.35">
      <c r="A8658" t="s">
        <v>227</v>
      </c>
      <c r="B8658" t="s">
        <v>235</v>
      </c>
      <c r="C8658" s="2">
        <v>0.99329999999999996</v>
      </c>
      <c r="D8658" s="2">
        <v>6.1000000000000004E-3</v>
      </c>
      <c r="E8658" s="2">
        <v>5.9999999999999995E-4</v>
      </c>
      <c r="F8658">
        <v>992</v>
      </c>
    </row>
    <row r="8659" spans="1:6" x14ac:dyDescent="0.35">
      <c r="A8659" t="s">
        <v>227</v>
      </c>
      <c r="B8659" t="s">
        <v>234</v>
      </c>
      <c r="C8659" s="2">
        <v>0.99809999999999999</v>
      </c>
      <c r="D8659" s="2">
        <v>1.6000000000000001E-3</v>
      </c>
      <c r="E8659" s="2">
        <v>2.0000000000000001E-4</v>
      </c>
      <c r="F8659">
        <v>1821</v>
      </c>
    </row>
    <row r="8660" spans="1:6" x14ac:dyDescent="0.35">
      <c r="A8660" t="s">
        <v>228</v>
      </c>
      <c r="B8660" t="s">
        <v>228</v>
      </c>
      <c r="C8660" s="2">
        <v>0.99670000000000003</v>
      </c>
      <c r="D8660" s="2">
        <v>2.8999999999999998E-3</v>
      </c>
      <c r="E8660" s="2">
        <v>4.0000000000000002E-4</v>
      </c>
      <c r="F8660">
        <v>2813</v>
      </c>
    </row>
    <row r="8662" spans="1:6" x14ac:dyDescent="0.35">
      <c r="A8662" s="1" t="s">
        <v>2119</v>
      </c>
    </row>
    <row r="8663" spans="1:6" x14ac:dyDescent="0.35">
      <c r="A8663" t="s">
        <v>219</v>
      </c>
      <c r="B8663" t="s">
        <v>301</v>
      </c>
      <c r="C8663" t="s">
        <v>299</v>
      </c>
      <c r="D8663" t="s">
        <v>298</v>
      </c>
      <c r="E8663" t="s">
        <v>282</v>
      </c>
      <c r="F8663" t="s">
        <v>226</v>
      </c>
    </row>
    <row r="8664" spans="1:6" x14ac:dyDescent="0.35">
      <c r="A8664" t="s">
        <v>227</v>
      </c>
      <c r="B8664" t="s">
        <v>240</v>
      </c>
      <c r="C8664" s="2">
        <v>0.99519999999999997</v>
      </c>
      <c r="D8664" s="2">
        <v>4.1999999999999997E-3</v>
      </c>
      <c r="E8664" s="2">
        <v>5.9999999999999995E-4</v>
      </c>
      <c r="F8664">
        <v>1756</v>
      </c>
    </row>
    <row r="8665" spans="1:6" x14ac:dyDescent="0.35">
      <c r="A8665" t="s">
        <v>227</v>
      </c>
      <c r="B8665" t="s">
        <v>241</v>
      </c>
      <c r="C8665" s="2">
        <v>0.99909999999999999</v>
      </c>
      <c r="D8665" s="2">
        <v>8.9999999999999998E-4</v>
      </c>
      <c r="F8665">
        <v>891</v>
      </c>
    </row>
    <row r="8666" spans="1:6" x14ac:dyDescent="0.35">
      <c r="A8666" t="s">
        <v>227</v>
      </c>
      <c r="B8666" t="s">
        <v>242</v>
      </c>
      <c r="C8666" s="2">
        <v>1</v>
      </c>
      <c r="F8666">
        <v>166</v>
      </c>
    </row>
    <row r="8667" spans="1:6" x14ac:dyDescent="0.35">
      <c r="A8667" t="s">
        <v>228</v>
      </c>
      <c r="B8667" t="s">
        <v>228</v>
      </c>
      <c r="C8667" s="2">
        <v>0.99670000000000003</v>
      </c>
      <c r="D8667" s="2">
        <v>2.8999999999999998E-3</v>
      </c>
      <c r="E8667" s="2">
        <v>4.0000000000000002E-4</v>
      </c>
      <c r="F8667">
        <v>2813</v>
      </c>
    </row>
    <row r="8669" spans="1:6" x14ac:dyDescent="0.35">
      <c r="A8669" s="1" t="s">
        <v>2120</v>
      </c>
    </row>
    <row r="8670" spans="1:6" x14ac:dyDescent="0.35">
      <c r="A8670" t="s">
        <v>219</v>
      </c>
      <c r="B8670" t="s">
        <v>301</v>
      </c>
      <c r="C8670" t="s">
        <v>299</v>
      </c>
      <c r="D8670" t="s">
        <v>298</v>
      </c>
      <c r="E8670" t="s">
        <v>282</v>
      </c>
      <c r="F8670" t="s">
        <v>226</v>
      </c>
    </row>
    <row r="8671" spans="1:6" x14ac:dyDescent="0.35">
      <c r="A8671" t="s">
        <v>227</v>
      </c>
      <c r="B8671" t="s">
        <v>334</v>
      </c>
      <c r="C8671" s="2">
        <v>0.99790000000000001</v>
      </c>
      <c r="D8671" s="2">
        <v>1.1999999999999999E-3</v>
      </c>
      <c r="E8671" s="2">
        <v>8.9999999999999998E-4</v>
      </c>
      <c r="F8671">
        <v>625</v>
      </c>
    </row>
    <row r="8672" spans="1:6" x14ac:dyDescent="0.35">
      <c r="A8672" t="s">
        <v>227</v>
      </c>
      <c r="B8672" t="s">
        <v>335</v>
      </c>
      <c r="C8672" s="2">
        <v>1</v>
      </c>
      <c r="F8672">
        <v>628</v>
      </c>
    </row>
    <row r="8673" spans="1:6" x14ac:dyDescent="0.35">
      <c r="A8673" t="s">
        <v>227</v>
      </c>
      <c r="B8673" t="s">
        <v>336</v>
      </c>
      <c r="C8673" s="2">
        <v>0.98829999999999996</v>
      </c>
      <c r="D8673" s="2">
        <v>1.17E-2</v>
      </c>
      <c r="F8673">
        <v>621</v>
      </c>
    </row>
    <row r="8674" spans="1:6" x14ac:dyDescent="0.35">
      <c r="A8674" t="s">
        <v>227</v>
      </c>
      <c r="B8674" t="s">
        <v>337</v>
      </c>
      <c r="C8674" s="2">
        <v>0.99850000000000005</v>
      </c>
      <c r="D8674" s="2">
        <v>1.5E-3</v>
      </c>
      <c r="F8674">
        <v>602</v>
      </c>
    </row>
    <row r="8675" spans="1:6" x14ac:dyDescent="0.35">
      <c r="A8675" t="s">
        <v>228</v>
      </c>
      <c r="B8675" t="s">
        <v>228</v>
      </c>
      <c r="C8675" s="2">
        <v>0.99670000000000003</v>
      </c>
      <c r="D8675" s="2">
        <v>2.8999999999999998E-3</v>
      </c>
      <c r="E8675" s="2">
        <v>4.0000000000000002E-4</v>
      </c>
      <c r="F8675">
        <v>2476</v>
      </c>
    </row>
    <row r="8677" spans="1:6" x14ac:dyDescent="0.35">
      <c r="A8677" s="1" t="s">
        <v>2121</v>
      </c>
    </row>
    <row r="8678" spans="1:6" x14ac:dyDescent="0.35">
      <c r="A8678" t="s">
        <v>219</v>
      </c>
      <c r="B8678" t="s">
        <v>301</v>
      </c>
      <c r="C8678" t="s">
        <v>299</v>
      </c>
      <c r="D8678" t="s">
        <v>298</v>
      </c>
      <c r="E8678" t="s">
        <v>282</v>
      </c>
      <c r="F8678" t="s">
        <v>226</v>
      </c>
    </row>
    <row r="8679" spans="1:6" x14ac:dyDescent="0.35">
      <c r="A8679" t="s">
        <v>227</v>
      </c>
      <c r="B8679" t="s">
        <v>263</v>
      </c>
      <c r="C8679" s="2">
        <v>0.99509999999999998</v>
      </c>
      <c r="D8679" s="2">
        <v>4.8999999999999998E-3</v>
      </c>
      <c r="F8679">
        <v>589</v>
      </c>
    </row>
    <row r="8680" spans="1:6" x14ac:dyDescent="0.35">
      <c r="A8680" t="s">
        <v>227</v>
      </c>
      <c r="B8680" t="s">
        <v>262</v>
      </c>
      <c r="C8680" s="2">
        <v>0.99939999999999996</v>
      </c>
      <c r="D8680" s="2">
        <v>5.9999999999999995E-4</v>
      </c>
      <c r="F8680">
        <v>1160</v>
      </c>
    </row>
    <row r="8681" spans="1:6" x14ac:dyDescent="0.35">
      <c r="A8681" t="s">
        <v>227</v>
      </c>
      <c r="B8681" t="s">
        <v>261</v>
      </c>
      <c r="C8681" s="2">
        <v>0.99509999999999998</v>
      </c>
      <c r="D8681" s="2">
        <v>4.0000000000000001E-3</v>
      </c>
      <c r="E8681" s="2">
        <v>8.9999999999999998E-4</v>
      </c>
      <c r="F8681">
        <v>1062</v>
      </c>
    </row>
    <row r="8682" spans="1:6" x14ac:dyDescent="0.35">
      <c r="A8682" s="3" t="s">
        <v>227</v>
      </c>
      <c r="B8682" s="3" t="s">
        <v>232</v>
      </c>
      <c r="C8682" s="4">
        <v>1</v>
      </c>
      <c r="D8682" s="5"/>
      <c r="E8682" s="5"/>
      <c r="F8682" s="5" t="s">
        <v>434</v>
      </c>
    </row>
    <row r="8683" spans="1:6" x14ac:dyDescent="0.35">
      <c r="A8683" t="s">
        <v>228</v>
      </c>
      <c r="B8683" t="s">
        <v>228</v>
      </c>
      <c r="C8683" s="2">
        <v>0.99670000000000003</v>
      </c>
      <c r="D8683" s="2">
        <v>2.8999999999999998E-3</v>
      </c>
      <c r="E8683" s="2">
        <v>4.0000000000000002E-4</v>
      </c>
      <c r="F8683">
        <v>2813</v>
      </c>
    </row>
    <row r="8685" spans="1:6" x14ac:dyDescent="0.35">
      <c r="A8685" s="1" t="s">
        <v>2122</v>
      </c>
    </row>
    <row r="8686" spans="1:6" x14ac:dyDescent="0.35">
      <c r="A8686" t="s">
        <v>219</v>
      </c>
      <c r="B8686" t="s">
        <v>301</v>
      </c>
      <c r="C8686" t="s">
        <v>299</v>
      </c>
      <c r="D8686" t="s">
        <v>298</v>
      </c>
      <c r="E8686" t="s">
        <v>282</v>
      </c>
      <c r="F8686" t="s">
        <v>226</v>
      </c>
    </row>
    <row r="8687" spans="1:6" x14ac:dyDescent="0.35">
      <c r="A8687" t="s">
        <v>227</v>
      </c>
      <c r="B8687" t="s">
        <v>248</v>
      </c>
      <c r="C8687" s="2">
        <v>0.99270000000000003</v>
      </c>
      <c r="D8687" s="2">
        <v>7.0000000000000001E-3</v>
      </c>
      <c r="E8687" s="2">
        <v>2.9999999999999997E-4</v>
      </c>
      <c r="F8687">
        <v>796</v>
      </c>
    </row>
    <row r="8688" spans="1:6" x14ac:dyDescent="0.35">
      <c r="A8688" t="s">
        <v>227</v>
      </c>
      <c r="B8688" t="s">
        <v>249</v>
      </c>
      <c r="C8688" s="2">
        <v>0.99450000000000005</v>
      </c>
      <c r="D8688" s="2">
        <v>4.4999999999999997E-3</v>
      </c>
      <c r="E8688" s="2">
        <v>1E-3</v>
      </c>
      <c r="F8688">
        <v>541</v>
      </c>
    </row>
    <row r="8689" spans="1:6" x14ac:dyDescent="0.35">
      <c r="A8689" t="s">
        <v>227</v>
      </c>
      <c r="B8689" t="s">
        <v>247</v>
      </c>
      <c r="C8689" s="2">
        <v>0.99950000000000006</v>
      </c>
      <c r="D8689" s="2">
        <v>2.9999999999999997E-4</v>
      </c>
      <c r="E8689" s="2">
        <v>2.0000000000000001E-4</v>
      </c>
      <c r="F8689">
        <v>1476</v>
      </c>
    </row>
    <row r="8690" spans="1:6" x14ac:dyDescent="0.35">
      <c r="A8690" t="s">
        <v>228</v>
      </c>
      <c r="B8690" t="s">
        <v>228</v>
      </c>
      <c r="C8690" s="2">
        <v>0.99670000000000003</v>
      </c>
      <c r="D8690" s="2">
        <v>2.8999999999999998E-3</v>
      </c>
      <c r="E8690" s="2">
        <v>4.0000000000000002E-4</v>
      </c>
      <c r="F8690">
        <v>2813</v>
      </c>
    </row>
    <row r="8692" spans="1:6" x14ac:dyDescent="0.35">
      <c r="A8692" s="1" t="s">
        <v>2123</v>
      </c>
    </row>
    <row r="8693" spans="1:6" x14ac:dyDescent="0.35">
      <c r="A8693" t="s">
        <v>219</v>
      </c>
      <c r="B8693" t="s">
        <v>301</v>
      </c>
      <c r="C8693" t="s">
        <v>299</v>
      </c>
      <c r="D8693" t="s">
        <v>298</v>
      </c>
      <c r="E8693" t="s">
        <v>282</v>
      </c>
      <c r="F8693" t="s">
        <v>226</v>
      </c>
    </row>
    <row r="8694" spans="1:6" x14ac:dyDescent="0.35">
      <c r="A8694" t="s">
        <v>227</v>
      </c>
      <c r="B8694" t="s">
        <v>245</v>
      </c>
      <c r="C8694" s="2">
        <v>1</v>
      </c>
      <c r="F8694">
        <v>783</v>
      </c>
    </row>
    <row r="8695" spans="1:6" x14ac:dyDescent="0.35">
      <c r="A8695" t="s">
        <v>227</v>
      </c>
      <c r="B8695" t="s">
        <v>244</v>
      </c>
      <c r="C8695" s="2">
        <v>0.99539999999999995</v>
      </c>
      <c r="D8695" s="2">
        <v>4.1000000000000003E-3</v>
      </c>
      <c r="E8695" s="2">
        <v>5.0000000000000001E-4</v>
      </c>
      <c r="F8695">
        <v>2030</v>
      </c>
    </row>
    <row r="8696" spans="1:6" x14ac:dyDescent="0.35">
      <c r="A8696" t="s">
        <v>228</v>
      </c>
      <c r="B8696" t="s">
        <v>228</v>
      </c>
      <c r="C8696" s="2">
        <v>0.99670000000000003</v>
      </c>
      <c r="D8696" s="2">
        <v>2.8999999999999998E-3</v>
      </c>
      <c r="E8696" s="2">
        <v>4.0000000000000002E-4</v>
      </c>
      <c r="F8696">
        <v>2813</v>
      </c>
    </row>
    <row r="8698" spans="1:6" x14ac:dyDescent="0.35">
      <c r="A8698" s="1" t="s">
        <v>2124</v>
      </c>
    </row>
    <row r="8699" spans="1:6" x14ac:dyDescent="0.35">
      <c r="A8699" t="s">
        <v>219</v>
      </c>
      <c r="B8699" t="s">
        <v>301</v>
      </c>
      <c r="C8699" t="s">
        <v>299</v>
      </c>
      <c r="D8699" t="s">
        <v>298</v>
      </c>
      <c r="E8699" t="s">
        <v>282</v>
      </c>
      <c r="F8699" t="s">
        <v>226</v>
      </c>
    </row>
    <row r="8700" spans="1:6" x14ac:dyDescent="0.35">
      <c r="A8700" t="s">
        <v>227</v>
      </c>
      <c r="B8700" t="s">
        <v>259</v>
      </c>
      <c r="C8700" s="2">
        <v>1</v>
      </c>
      <c r="F8700">
        <v>69</v>
      </c>
    </row>
    <row r="8701" spans="1:6" x14ac:dyDescent="0.35">
      <c r="A8701" t="s">
        <v>227</v>
      </c>
      <c r="B8701" t="s">
        <v>257</v>
      </c>
      <c r="C8701" s="2">
        <v>0.99950000000000006</v>
      </c>
      <c r="D8701" s="2">
        <v>5.0000000000000001E-4</v>
      </c>
      <c r="F8701">
        <v>405</v>
      </c>
    </row>
    <row r="8702" spans="1:6" x14ac:dyDescent="0.35">
      <c r="A8702" t="s">
        <v>227</v>
      </c>
      <c r="B8702" t="s">
        <v>256</v>
      </c>
      <c r="C8702" s="2">
        <v>0.99580000000000002</v>
      </c>
      <c r="D8702" s="2">
        <v>4.0000000000000001E-3</v>
      </c>
      <c r="E8702" s="2">
        <v>2.9999999999999997E-4</v>
      </c>
      <c r="F8702">
        <v>1803</v>
      </c>
    </row>
    <row r="8703" spans="1:6" x14ac:dyDescent="0.35">
      <c r="A8703" s="3" t="s">
        <v>227</v>
      </c>
      <c r="B8703" s="3" t="s">
        <v>232</v>
      </c>
      <c r="C8703" s="4">
        <v>1</v>
      </c>
      <c r="D8703" s="5"/>
      <c r="E8703" s="5"/>
      <c r="F8703" s="5" t="s">
        <v>307</v>
      </c>
    </row>
    <row r="8704" spans="1:6" x14ac:dyDescent="0.35">
      <c r="A8704" t="s">
        <v>227</v>
      </c>
      <c r="B8704" t="s">
        <v>258</v>
      </c>
      <c r="C8704" s="2">
        <v>0.99729999999999996</v>
      </c>
      <c r="D8704" s="2">
        <v>1.5E-3</v>
      </c>
      <c r="E8704" s="2">
        <v>1.1999999999999999E-3</v>
      </c>
      <c r="F8704">
        <v>525</v>
      </c>
    </row>
    <row r="8705" spans="1:6" x14ac:dyDescent="0.35">
      <c r="A8705" t="s">
        <v>228</v>
      </c>
      <c r="B8705" t="s">
        <v>228</v>
      </c>
      <c r="C8705" s="2">
        <v>0.99670000000000003</v>
      </c>
      <c r="D8705" s="2">
        <v>2.8999999999999998E-3</v>
      </c>
      <c r="E8705" s="2">
        <v>4.0000000000000002E-4</v>
      </c>
      <c r="F8705">
        <v>2813</v>
      </c>
    </row>
    <row r="8707" spans="1:6" x14ac:dyDescent="0.35">
      <c r="A8707" s="1" t="s">
        <v>2125</v>
      </c>
    </row>
    <row r="8708" spans="1:6" x14ac:dyDescent="0.35">
      <c r="A8708" t="s">
        <v>219</v>
      </c>
      <c r="B8708" t="s">
        <v>301</v>
      </c>
      <c r="C8708" t="s">
        <v>299</v>
      </c>
      <c r="D8708" t="s">
        <v>298</v>
      </c>
      <c r="E8708" t="s">
        <v>282</v>
      </c>
      <c r="F8708" t="s">
        <v>226</v>
      </c>
    </row>
    <row r="8709" spans="1:6" x14ac:dyDescent="0.35">
      <c r="A8709" t="s">
        <v>227</v>
      </c>
      <c r="B8709" t="s">
        <v>343</v>
      </c>
      <c r="C8709" s="2">
        <v>0.99950000000000006</v>
      </c>
      <c r="D8709" s="2">
        <v>5.0000000000000001E-4</v>
      </c>
      <c r="F8709">
        <v>405</v>
      </c>
    </row>
    <row r="8710" spans="1:6" x14ac:dyDescent="0.35">
      <c r="A8710" t="s">
        <v>227</v>
      </c>
      <c r="B8710" t="s">
        <v>344</v>
      </c>
      <c r="C8710" s="2">
        <v>0.99609999999999999</v>
      </c>
      <c r="D8710" s="2">
        <v>3.3999999999999998E-3</v>
      </c>
      <c r="E8710" s="2">
        <v>4.0000000000000002E-4</v>
      </c>
      <c r="F8710">
        <v>2408</v>
      </c>
    </row>
    <row r="8711" spans="1:6" x14ac:dyDescent="0.35">
      <c r="A8711" t="s">
        <v>228</v>
      </c>
      <c r="B8711" t="s">
        <v>228</v>
      </c>
      <c r="C8711" s="2">
        <v>0.99670000000000003</v>
      </c>
      <c r="D8711" s="2">
        <v>2.8999999999999998E-3</v>
      </c>
      <c r="E8711" s="2">
        <v>4.0000000000000002E-4</v>
      </c>
      <c r="F8711">
        <v>2813</v>
      </c>
    </row>
    <row r="8713" spans="1:6" x14ac:dyDescent="0.35">
      <c r="A8713" s="1" t="s">
        <v>2126</v>
      </c>
    </row>
    <row r="8714" spans="1:6" x14ac:dyDescent="0.35">
      <c r="A8714" t="s">
        <v>219</v>
      </c>
      <c r="B8714" t="s">
        <v>301</v>
      </c>
      <c r="C8714" t="s">
        <v>299</v>
      </c>
      <c r="D8714" t="s">
        <v>298</v>
      </c>
      <c r="E8714" t="s">
        <v>282</v>
      </c>
      <c r="F8714" t="s">
        <v>226</v>
      </c>
    </row>
    <row r="8715" spans="1:6" x14ac:dyDescent="0.35">
      <c r="A8715" t="s">
        <v>227</v>
      </c>
      <c r="B8715" t="s">
        <v>346</v>
      </c>
      <c r="C8715" s="2">
        <v>0.99690000000000001</v>
      </c>
      <c r="D8715" s="2">
        <v>2.8E-3</v>
      </c>
      <c r="E8715" s="2">
        <v>2.0000000000000001E-4</v>
      </c>
      <c r="F8715">
        <v>1463</v>
      </c>
    </row>
    <row r="8716" spans="1:6" x14ac:dyDescent="0.35">
      <c r="A8716" t="s">
        <v>227</v>
      </c>
      <c r="B8716" t="s">
        <v>347</v>
      </c>
      <c r="C8716" s="2">
        <v>0.98970000000000002</v>
      </c>
      <c r="D8716" s="2">
        <v>5.4999999999999997E-3</v>
      </c>
      <c r="E8716" s="2">
        <v>4.7999999999999996E-3</v>
      </c>
      <c r="F8716">
        <v>585</v>
      </c>
    </row>
    <row r="8717" spans="1:6" x14ac:dyDescent="0.35">
      <c r="A8717" t="s">
        <v>227</v>
      </c>
      <c r="B8717" t="s">
        <v>348</v>
      </c>
      <c r="C8717" s="2">
        <v>0.99709999999999999</v>
      </c>
      <c r="D8717" s="2">
        <v>2.8999999999999998E-3</v>
      </c>
      <c r="F8717">
        <v>765</v>
      </c>
    </row>
    <row r="8718" spans="1:6" x14ac:dyDescent="0.35">
      <c r="A8718" t="s">
        <v>228</v>
      </c>
      <c r="B8718" t="s">
        <v>228</v>
      </c>
      <c r="C8718" s="2">
        <v>0.99670000000000003</v>
      </c>
      <c r="D8718" s="2">
        <v>2.8999999999999998E-3</v>
      </c>
      <c r="E8718" s="2">
        <v>4.0000000000000002E-4</v>
      </c>
      <c r="F8718">
        <v>2813</v>
      </c>
    </row>
    <row r="8720" spans="1:6" x14ac:dyDescent="0.35">
      <c r="A8720" s="1" t="s">
        <v>2127</v>
      </c>
    </row>
    <row r="8721" spans="1:14" x14ac:dyDescent="0.35">
      <c r="A8721" t="s">
        <v>219</v>
      </c>
      <c r="B8721" t="s">
        <v>301</v>
      </c>
      <c r="C8721" t="s">
        <v>299</v>
      </c>
      <c r="D8721" t="s">
        <v>298</v>
      </c>
      <c r="E8721" t="s">
        <v>282</v>
      </c>
      <c r="F8721" t="s">
        <v>226</v>
      </c>
    </row>
    <row r="8722" spans="1:14" x14ac:dyDescent="0.35">
      <c r="A8722" t="s">
        <v>227</v>
      </c>
      <c r="B8722" t="s">
        <v>251</v>
      </c>
      <c r="C8722" s="2">
        <v>0.99539999999999995</v>
      </c>
      <c r="D8722" s="2">
        <v>4.1000000000000003E-3</v>
      </c>
      <c r="E8722" s="2">
        <v>5.0000000000000001E-4</v>
      </c>
      <c r="F8722">
        <v>2030</v>
      </c>
    </row>
    <row r="8723" spans="1:14" x14ac:dyDescent="0.35">
      <c r="A8723" t="s">
        <v>227</v>
      </c>
      <c r="B8723" t="s">
        <v>252</v>
      </c>
      <c r="C8723" s="2">
        <v>1</v>
      </c>
      <c r="F8723">
        <v>621</v>
      </c>
    </row>
    <row r="8724" spans="1:14" x14ac:dyDescent="0.35">
      <c r="A8724" t="s">
        <v>227</v>
      </c>
      <c r="B8724" t="s">
        <v>253</v>
      </c>
      <c r="C8724" s="2">
        <v>1</v>
      </c>
      <c r="F8724">
        <v>153</v>
      </c>
    </row>
    <row r="8725" spans="1:14" x14ac:dyDescent="0.35">
      <c r="A8725" s="3" t="s">
        <v>227</v>
      </c>
      <c r="B8725" s="3" t="s">
        <v>254</v>
      </c>
      <c r="C8725" s="4">
        <v>1</v>
      </c>
      <c r="D8725" s="5"/>
      <c r="E8725" s="5"/>
      <c r="F8725" s="5" t="s">
        <v>515</v>
      </c>
    </row>
    <row r="8726" spans="1:14" x14ac:dyDescent="0.35">
      <c r="A8726" t="s">
        <v>228</v>
      </c>
      <c r="B8726" t="s">
        <v>228</v>
      </c>
      <c r="C8726" s="2">
        <v>0.99670000000000003</v>
      </c>
      <c r="D8726" s="2">
        <v>2.8999999999999998E-3</v>
      </c>
      <c r="E8726" s="2">
        <v>4.0000000000000002E-4</v>
      </c>
      <c r="F8726">
        <v>2813</v>
      </c>
    </row>
    <row r="8728" spans="1:14" x14ac:dyDescent="0.35">
      <c r="A8728" s="1" t="s">
        <v>2128</v>
      </c>
    </row>
    <row r="8729" spans="1:14" x14ac:dyDescent="0.35">
      <c r="A8729" t="s">
        <v>219</v>
      </c>
      <c r="B8729" t="s">
        <v>2129</v>
      </c>
      <c r="C8729" t="s">
        <v>2130</v>
      </c>
      <c r="D8729" t="s">
        <v>2131</v>
      </c>
      <c r="E8729" t="s">
        <v>2132</v>
      </c>
      <c r="F8729" t="s">
        <v>2133</v>
      </c>
      <c r="G8729" t="s">
        <v>2134</v>
      </c>
      <c r="H8729" t="s">
        <v>277</v>
      </c>
      <c r="I8729" t="s">
        <v>2135</v>
      </c>
      <c r="J8729" t="s">
        <v>2136</v>
      </c>
      <c r="K8729" t="s">
        <v>282</v>
      </c>
      <c r="L8729" t="s">
        <v>2137</v>
      </c>
      <c r="M8729" t="s">
        <v>226</v>
      </c>
    </row>
    <row r="8730" spans="1:14" x14ac:dyDescent="0.35">
      <c r="A8730" t="s">
        <v>227</v>
      </c>
      <c r="B8730" s="2">
        <v>0.62880000000000003</v>
      </c>
      <c r="C8730" s="2">
        <v>0.14599999999999999</v>
      </c>
      <c r="D8730" s="2">
        <v>0.12520000000000001</v>
      </c>
      <c r="E8730" s="2">
        <v>7.1099999999999997E-2</v>
      </c>
      <c r="F8730" s="2">
        <v>1.06E-2</v>
      </c>
      <c r="G8730" s="2">
        <v>6.4000000000000003E-3</v>
      </c>
      <c r="H8730" s="2">
        <v>4.5999999999999999E-3</v>
      </c>
      <c r="I8730" s="2">
        <v>4.3E-3</v>
      </c>
      <c r="J8730" s="2">
        <v>1.5E-3</v>
      </c>
      <c r="K8730" s="2">
        <v>8.0000000000000004E-4</v>
      </c>
      <c r="L8730" s="2">
        <v>5.9999999999999995E-4</v>
      </c>
      <c r="M8730">
        <v>2813</v>
      </c>
    </row>
    <row r="8731" spans="1:14" x14ac:dyDescent="0.35">
      <c r="A8731" t="s">
        <v>228</v>
      </c>
      <c r="B8731" s="2">
        <v>0.62880000000000003</v>
      </c>
      <c r="C8731" s="2">
        <v>0.14599999999999999</v>
      </c>
      <c r="D8731" s="2">
        <v>0.12520000000000001</v>
      </c>
      <c r="E8731" s="2">
        <v>7.1099999999999997E-2</v>
      </c>
      <c r="F8731" s="2">
        <v>1.06E-2</v>
      </c>
      <c r="G8731" s="2">
        <v>6.4000000000000003E-3</v>
      </c>
      <c r="H8731" s="2">
        <v>4.5999999999999999E-3</v>
      </c>
      <c r="I8731" s="2">
        <v>4.3E-3</v>
      </c>
      <c r="J8731" s="2">
        <v>1.5E-3</v>
      </c>
      <c r="K8731" s="2">
        <v>8.0000000000000004E-4</v>
      </c>
      <c r="L8731" s="2">
        <v>5.9999999999999995E-4</v>
      </c>
      <c r="M8731">
        <v>2813</v>
      </c>
    </row>
    <row r="8733" spans="1:14" x14ac:dyDescent="0.35">
      <c r="A8733" s="1" t="s">
        <v>2138</v>
      </c>
    </row>
    <row r="8734" spans="1:14" x14ac:dyDescent="0.35">
      <c r="A8734" t="s">
        <v>219</v>
      </c>
      <c r="B8734" t="s">
        <v>301</v>
      </c>
      <c r="C8734" t="s">
        <v>2129</v>
      </c>
      <c r="D8734" t="s">
        <v>2130</v>
      </c>
      <c r="E8734" t="s">
        <v>2131</v>
      </c>
      <c r="F8734" t="s">
        <v>2132</v>
      </c>
      <c r="G8734" t="s">
        <v>2133</v>
      </c>
      <c r="H8734" t="s">
        <v>2134</v>
      </c>
      <c r="I8734" t="s">
        <v>277</v>
      </c>
      <c r="J8734" t="s">
        <v>2135</v>
      </c>
      <c r="K8734" t="s">
        <v>2136</v>
      </c>
      <c r="L8734" t="s">
        <v>282</v>
      </c>
      <c r="M8734" t="s">
        <v>2137</v>
      </c>
      <c r="N8734" t="s">
        <v>226</v>
      </c>
    </row>
    <row r="8735" spans="1:14" x14ac:dyDescent="0.35">
      <c r="A8735" t="s">
        <v>227</v>
      </c>
      <c r="B8735" t="s">
        <v>238</v>
      </c>
      <c r="C8735" s="2">
        <v>0.56779999999999997</v>
      </c>
      <c r="D8735" s="2">
        <v>0.18659999999999999</v>
      </c>
      <c r="E8735" s="2">
        <v>0.1391</v>
      </c>
      <c r="F8735" s="2">
        <v>6.0299999999999999E-2</v>
      </c>
      <c r="G8735" s="2">
        <v>2.4500000000000001E-2</v>
      </c>
      <c r="H8735" s="2">
        <v>8.3999999999999995E-3</v>
      </c>
      <c r="I8735" s="2">
        <v>5.4999999999999997E-3</v>
      </c>
      <c r="J8735" s="2">
        <v>3.8E-3</v>
      </c>
      <c r="K8735" s="2">
        <v>1.6999999999999999E-3</v>
      </c>
      <c r="L8735" s="2">
        <v>5.9999999999999995E-4</v>
      </c>
      <c r="M8735" s="2">
        <v>1.6999999999999999E-3</v>
      </c>
      <c r="N8735">
        <v>1005</v>
      </c>
    </row>
    <row r="8736" spans="1:14" x14ac:dyDescent="0.35">
      <c r="A8736" t="s">
        <v>227</v>
      </c>
      <c r="B8736" t="s">
        <v>237</v>
      </c>
      <c r="C8736" s="2">
        <v>0.66439999999999999</v>
      </c>
      <c r="D8736" s="2">
        <v>0.12230000000000001</v>
      </c>
      <c r="E8736" s="2">
        <v>0.1171</v>
      </c>
      <c r="F8736" s="2">
        <v>7.7399999999999997E-2</v>
      </c>
      <c r="G8736" s="2">
        <v>2.5000000000000001E-3</v>
      </c>
      <c r="H8736" s="2">
        <v>5.1999999999999998E-3</v>
      </c>
      <c r="I8736" s="2">
        <v>4.1000000000000003E-3</v>
      </c>
      <c r="J8736" s="2">
        <v>4.5999999999999999E-3</v>
      </c>
      <c r="K8736" s="2">
        <v>1.4E-3</v>
      </c>
      <c r="L8736" s="2">
        <v>1E-3</v>
      </c>
      <c r="N8736">
        <v>1808</v>
      </c>
    </row>
    <row r="8737" spans="1:14" x14ac:dyDescent="0.35">
      <c r="A8737" t="s">
        <v>228</v>
      </c>
      <c r="B8737" t="s">
        <v>228</v>
      </c>
      <c r="C8737" s="2">
        <v>0.62880000000000003</v>
      </c>
      <c r="D8737" s="2">
        <v>0.14599999999999999</v>
      </c>
      <c r="E8737" s="2">
        <v>0.12520000000000001</v>
      </c>
      <c r="F8737" s="2">
        <v>7.1099999999999997E-2</v>
      </c>
      <c r="G8737" s="2">
        <v>1.06E-2</v>
      </c>
      <c r="H8737" s="2">
        <v>6.4000000000000003E-3</v>
      </c>
      <c r="I8737" s="2">
        <v>4.5999999999999999E-3</v>
      </c>
      <c r="J8737" s="2">
        <v>4.3E-3</v>
      </c>
      <c r="K8737" s="2">
        <v>1.5E-3</v>
      </c>
      <c r="L8737" s="2">
        <v>8.0000000000000004E-4</v>
      </c>
      <c r="M8737" s="2">
        <v>5.9999999999999995E-4</v>
      </c>
      <c r="N8737">
        <v>2813</v>
      </c>
    </row>
    <row r="8739" spans="1:14" x14ac:dyDescent="0.35">
      <c r="A8739" s="1" t="s">
        <v>2139</v>
      </c>
    </row>
    <row r="8740" spans="1:14" x14ac:dyDescent="0.35">
      <c r="A8740" t="s">
        <v>219</v>
      </c>
      <c r="B8740" t="s">
        <v>301</v>
      </c>
      <c r="C8740" t="s">
        <v>2129</v>
      </c>
      <c r="D8740" t="s">
        <v>2130</v>
      </c>
      <c r="E8740" t="s">
        <v>2131</v>
      </c>
      <c r="F8740" t="s">
        <v>2132</v>
      </c>
      <c r="G8740" t="s">
        <v>2133</v>
      </c>
      <c r="H8740" t="s">
        <v>2134</v>
      </c>
      <c r="I8740" t="s">
        <v>277</v>
      </c>
      <c r="J8740" t="s">
        <v>2135</v>
      </c>
      <c r="K8740" t="s">
        <v>2136</v>
      </c>
      <c r="L8740" t="s">
        <v>282</v>
      </c>
      <c r="M8740" t="s">
        <v>2137</v>
      </c>
      <c r="N8740" t="s">
        <v>226</v>
      </c>
    </row>
    <row r="8741" spans="1:14" x14ac:dyDescent="0.35">
      <c r="A8741" t="s">
        <v>227</v>
      </c>
      <c r="B8741" t="s">
        <v>235</v>
      </c>
      <c r="C8741" s="2">
        <v>0.23469999999999999</v>
      </c>
      <c r="D8741" s="2">
        <v>0.24540000000000001</v>
      </c>
      <c r="E8741" s="2">
        <v>0.32779999999999998</v>
      </c>
      <c r="F8741" s="2">
        <v>0.14130000000000001</v>
      </c>
      <c r="G8741" s="2">
        <v>1.72E-2</v>
      </c>
      <c r="H8741" s="2">
        <v>1.5299999999999999E-2</v>
      </c>
      <c r="I8741" s="2">
        <v>2.3999999999999998E-3</v>
      </c>
      <c r="J8741" s="2">
        <v>1.46E-2</v>
      </c>
      <c r="K8741" s="2">
        <v>2.9999999999999997E-4</v>
      </c>
      <c r="L8741" s="2">
        <v>8.9999999999999998E-4</v>
      </c>
      <c r="N8741">
        <v>992</v>
      </c>
    </row>
    <row r="8742" spans="1:14" x14ac:dyDescent="0.35">
      <c r="A8742" t="s">
        <v>227</v>
      </c>
      <c r="B8742" t="s">
        <v>234</v>
      </c>
      <c r="C8742" s="2">
        <v>0.79369999999999996</v>
      </c>
      <c r="D8742" s="2">
        <v>0.10440000000000001</v>
      </c>
      <c r="E8742" s="2">
        <v>4.0399999999999998E-2</v>
      </c>
      <c r="F8742" s="2">
        <v>4.1700000000000001E-2</v>
      </c>
      <c r="G8742" s="2">
        <v>7.7999999999999996E-3</v>
      </c>
      <c r="H8742" s="2">
        <v>2.7000000000000001E-3</v>
      </c>
      <c r="I8742" s="2">
        <v>5.4999999999999997E-3</v>
      </c>
      <c r="J8742" s="2">
        <v>0</v>
      </c>
      <c r="K8742" s="2">
        <v>2E-3</v>
      </c>
      <c r="L8742" s="2">
        <v>8.0000000000000004E-4</v>
      </c>
      <c r="M8742" s="2">
        <v>8.9999999999999998E-4</v>
      </c>
      <c r="N8742">
        <v>1821</v>
      </c>
    </row>
    <row r="8743" spans="1:14" x14ac:dyDescent="0.35">
      <c r="A8743" t="s">
        <v>228</v>
      </c>
      <c r="B8743" t="s">
        <v>228</v>
      </c>
      <c r="C8743" s="2">
        <v>0.62880000000000003</v>
      </c>
      <c r="D8743" s="2">
        <v>0.14599999999999999</v>
      </c>
      <c r="E8743" s="2">
        <v>0.12520000000000001</v>
      </c>
      <c r="F8743" s="2">
        <v>7.1099999999999997E-2</v>
      </c>
      <c r="G8743" s="2">
        <v>1.06E-2</v>
      </c>
      <c r="H8743" s="2">
        <v>6.4000000000000003E-3</v>
      </c>
      <c r="I8743" s="2">
        <v>4.5999999999999999E-3</v>
      </c>
      <c r="J8743" s="2">
        <v>4.3E-3</v>
      </c>
      <c r="K8743" s="2">
        <v>1.5E-3</v>
      </c>
      <c r="L8743" s="2">
        <v>8.0000000000000004E-4</v>
      </c>
      <c r="M8743" s="2">
        <v>5.9999999999999995E-4</v>
      </c>
      <c r="N8743">
        <v>2813</v>
      </c>
    </row>
    <row r="8745" spans="1:14" x14ac:dyDescent="0.35">
      <c r="A8745" s="1" t="s">
        <v>2140</v>
      </c>
    </row>
    <row r="8746" spans="1:14" x14ac:dyDescent="0.35">
      <c r="A8746" t="s">
        <v>219</v>
      </c>
      <c r="B8746" t="s">
        <v>301</v>
      </c>
      <c r="C8746" t="s">
        <v>2129</v>
      </c>
      <c r="D8746" t="s">
        <v>2130</v>
      </c>
      <c r="E8746" t="s">
        <v>2131</v>
      </c>
      <c r="F8746" t="s">
        <v>2132</v>
      </c>
      <c r="G8746" t="s">
        <v>2133</v>
      </c>
      <c r="H8746" t="s">
        <v>2134</v>
      </c>
      <c r="I8746" t="s">
        <v>277</v>
      </c>
      <c r="J8746" t="s">
        <v>2135</v>
      </c>
      <c r="K8746" t="s">
        <v>2136</v>
      </c>
      <c r="L8746" t="s">
        <v>282</v>
      </c>
      <c r="M8746" t="s">
        <v>2137</v>
      </c>
      <c r="N8746" t="s">
        <v>226</v>
      </c>
    </row>
    <row r="8747" spans="1:14" x14ac:dyDescent="0.35">
      <c r="A8747" t="s">
        <v>227</v>
      </c>
      <c r="B8747" t="s">
        <v>240</v>
      </c>
      <c r="C8747" s="2">
        <v>0.627</v>
      </c>
      <c r="D8747" s="2">
        <v>0.15279999999999999</v>
      </c>
      <c r="E8747" s="2">
        <v>0.12239999999999999</v>
      </c>
      <c r="F8747" s="2">
        <v>7.5499999999999998E-2</v>
      </c>
      <c r="G8747" s="2">
        <v>7.4999999999999997E-3</v>
      </c>
      <c r="H8747" s="2">
        <v>7.7000000000000002E-3</v>
      </c>
      <c r="I8747" s="2">
        <v>4.3E-3</v>
      </c>
      <c r="J8747" s="2">
        <v>6.9999999999999999E-4</v>
      </c>
      <c r="K8747" s="2">
        <v>1E-3</v>
      </c>
      <c r="L8747" s="2">
        <v>1.1000000000000001E-3</v>
      </c>
      <c r="N8747">
        <v>1756</v>
      </c>
    </row>
    <row r="8748" spans="1:14" x14ac:dyDescent="0.35">
      <c r="A8748" t="s">
        <v>227</v>
      </c>
      <c r="B8748" t="s">
        <v>241</v>
      </c>
      <c r="C8748" s="2">
        <v>0.68859999999999999</v>
      </c>
      <c r="D8748" s="2">
        <v>0.1032</v>
      </c>
      <c r="E8748" s="2">
        <v>0.1129</v>
      </c>
      <c r="F8748" s="2">
        <v>4.9500000000000002E-2</v>
      </c>
      <c r="G8748" s="2">
        <v>1.9699999999999999E-2</v>
      </c>
      <c r="H8748" s="2">
        <v>1.4E-3</v>
      </c>
      <c r="I8748" s="2">
        <v>6.4000000000000003E-3</v>
      </c>
      <c r="J8748" s="2">
        <v>1.32E-2</v>
      </c>
      <c r="K8748" s="2">
        <v>2.7000000000000001E-3</v>
      </c>
      <c r="L8748" s="2">
        <v>4.0000000000000002E-4</v>
      </c>
      <c r="M8748" s="2">
        <v>2.2000000000000001E-3</v>
      </c>
      <c r="N8748">
        <v>891</v>
      </c>
    </row>
    <row r="8749" spans="1:14" x14ac:dyDescent="0.35">
      <c r="A8749" t="s">
        <v>227</v>
      </c>
      <c r="B8749" t="s">
        <v>242</v>
      </c>
      <c r="C8749" s="2">
        <v>0.3805</v>
      </c>
      <c r="D8749" s="2">
        <v>0.27060000000000001</v>
      </c>
      <c r="E8749" s="2">
        <v>0.2072</v>
      </c>
      <c r="F8749" s="2">
        <v>0.12470000000000001</v>
      </c>
      <c r="H8749" s="2">
        <v>1.6299999999999999E-2</v>
      </c>
      <c r="K8749" s="2">
        <v>6.9999999999999999E-4</v>
      </c>
      <c r="N8749">
        <v>166</v>
      </c>
    </row>
    <row r="8750" spans="1:14" x14ac:dyDescent="0.35">
      <c r="A8750" t="s">
        <v>228</v>
      </c>
      <c r="B8750" t="s">
        <v>228</v>
      </c>
      <c r="C8750" s="2">
        <v>0.62880000000000003</v>
      </c>
      <c r="D8750" s="2">
        <v>0.14599999999999999</v>
      </c>
      <c r="E8750" s="2">
        <v>0.12520000000000001</v>
      </c>
      <c r="F8750" s="2">
        <v>7.1099999999999997E-2</v>
      </c>
      <c r="G8750" s="2">
        <v>1.06E-2</v>
      </c>
      <c r="H8750" s="2">
        <v>6.4000000000000003E-3</v>
      </c>
      <c r="I8750" s="2">
        <v>4.5999999999999999E-3</v>
      </c>
      <c r="J8750" s="2">
        <v>4.3E-3</v>
      </c>
      <c r="K8750" s="2">
        <v>1.5E-3</v>
      </c>
      <c r="L8750" s="2">
        <v>8.0000000000000004E-4</v>
      </c>
      <c r="M8750" s="2">
        <v>5.9999999999999995E-4</v>
      </c>
      <c r="N8750">
        <v>2813</v>
      </c>
    </row>
    <row r="8752" spans="1:14" x14ac:dyDescent="0.35">
      <c r="A8752" s="1" t="s">
        <v>2141</v>
      </c>
    </row>
    <row r="8753" spans="1:14" x14ac:dyDescent="0.35">
      <c r="A8753" t="s">
        <v>219</v>
      </c>
      <c r="B8753" t="s">
        <v>301</v>
      </c>
      <c r="C8753" t="s">
        <v>2129</v>
      </c>
      <c r="D8753" t="s">
        <v>2130</v>
      </c>
      <c r="E8753" t="s">
        <v>2131</v>
      </c>
      <c r="F8753" t="s">
        <v>2132</v>
      </c>
      <c r="G8753" t="s">
        <v>2133</v>
      </c>
      <c r="H8753" t="s">
        <v>2134</v>
      </c>
      <c r="I8753" t="s">
        <v>277</v>
      </c>
      <c r="J8753" t="s">
        <v>2135</v>
      </c>
      <c r="K8753" t="s">
        <v>2136</v>
      </c>
      <c r="L8753" t="s">
        <v>282</v>
      </c>
      <c r="M8753" t="s">
        <v>2137</v>
      </c>
      <c r="N8753" t="s">
        <v>226</v>
      </c>
    </row>
    <row r="8754" spans="1:14" x14ac:dyDescent="0.35">
      <c r="A8754" t="s">
        <v>227</v>
      </c>
      <c r="B8754" t="s">
        <v>334</v>
      </c>
      <c r="C8754" s="2">
        <v>0.41649999999999998</v>
      </c>
      <c r="D8754" s="2">
        <v>0.22209999999999999</v>
      </c>
      <c r="E8754" s="2">
        <v>0.23069999999999999</v>
      </c>
      <c r="F8754" s="2">
        <v>7.2599999999999998E-2</v>
      </c>
      <c r="G8754" s="2">
        <v>2.7099999999999999E-2</v>
      </c>
      <c r="H8754" s="2">
        <v>6.7000000000000002E-3</v>
      </c>
      <c r="I8754" s="2">
        <v>1.24E-2</v>
      </c>
      <c r="J8754" s="2">
        <v>6.1000000000000004E-3</v>
      </c>
      <c r="K8754" s="2">
        <v>6.9999999999999999E-4</v>
      </c>
      <c r="L8754" s="2">
        <v>2E-3</v>
      </c>
      <c r="M8754" s="2">
        <v>3.0999999999999999E-3</v>
      </c>
      <c r="N8754">
        <v>625</v>
      </c>
    </row>
    <row r="8755" spans="1:14" x14ac:dyDescent="0.35">
      <c r="A8755" t="s">
        <v>227</v>
      </c>
      <c r="B8755" t="s">
        <v>335</v>
      </c>
      <c r="C8755" s="2">
        <v>0.77500000000000002</v>
      </c>
      <c r="D8755" s="2">
        <v>0.1003</v>
      </c>
      <c r="E8755" s="2">
        <v>3.1899999999999998E-2</v>
      </c>
      <c r="F8755" s="2">
        <v>8.1900000000000001E-2</v>
      </c>
      <c r="G8755" s="2">
        <v>2.5000000000000001E-3</v>
      </c>
      <c r="H8755" s="2">
        <v>2.9999999999999997E-4</v>
      </c>
      <c r="I8755" s="2">
        <v>5.7000000000000002E-3</v>
      </c>
      <c r="J8755" s="2">
        <v>2.3999999999999998E-3</v>
      </c>
      <c r="N8755">
        <v>628</v>
      </c>
    </row>
    <row r="8756" spans="1:14" x14ac:dyDescent="0.35">
      <c r="A8756" t="s">
        <v>227</v>
      </c>
      <c r="B8756" t="s">
        <v>336</v>
      </c>
      <c r="C8756" s="2">
        <v>0.55800000000000005</v>
      </c>
      <c r="D8756" s="2">
        <v>0.15920000000000001</v>
      </c>
      <c r="E8756" s="2">
        <v>0.192</v>
      </c>
      <c r="F8756" s="2">
        <v>6.7000000000000004E-2</v>
      </c>
      <c r="G8756" s="2">
        <v>3.8E-3</v>
      </c>
      <c r="H8756" s="2">
        <v>9.9000000000000008E-3</v>
      </c>
      <c r="I8756" s="2">
        <v>6.9999999999999999E-4</v>
      </c>
      <c r="J8756" s="2">
        <v>6.3E-3</v>
      </c>
      <c r="K8756" s="2">
        <v>2.8E-3</v>
      </c>
      <c r="L8756" s="2">
        <v>2.0000000000000001E-4</v>
      </c>
      <c r="N8756">
        <v>621</v>
      </c>
    </row>
    <row r="8757" spans="1:14" x14ac:dyDescent="0.35">
      <c r="A8757" t="s">
        <v>227</v>
      </c>
      <c r="B8757" t="s">
        <v>337</v>
      </c>
      <c r="C8757" s="2">
        <v>0.65259999999999996</v>
      </c>
      <c r="D8757" s="2">
        <v>0.15260000000000001</v>
      </c>
      <c r="E8757" s="2">
        <v>0.1031</v>
      </c>
      <c r="F8757" s="2">
        <v>6.83E-2</v>
      </c>
      <c r="G8757" s="2">
        <v>1.29E-2</v>
      </c>
      <c r="H8757" s="2">
        <v>5.1999999999999998E-3</v>
      </c>
      <c r="J8757" s="2">
        <v>5.3E-3</v>
      </c>
      <c r="N8757">
        <v>602</v>
      </c>
    </row>
    <row r="8758" spans="1:14" x14ac:dyDescent="0.35">
      <c r="A8758" t="s">
        <v>228</v>
      </c>
      <c r="B8758" t="s">
        <v>228</v>
      </c>
      <c r="C8758" s="2">
        <v>0.62880000000000003</v>
      </c>
      <c r="D8758" s="2">
        <v>0.14599999999999999</v>
      </c>
      <c r="E8758" s="2">
        <v>0.12520000000000001</v>
      </c>
      <c r="F8758" s="2">
        <v>7.1099999999999997E-2</v>
      </c>
      <c r="G8758" s="2">
        <v>1.06E-2</v>
      </c>
      <c r="H8758" s="2">
        <v>6.4000000000000003E-3</v>
      </c>
      <c r="I8758" s="2">
        <v>4.5999999999999999E-3</v>
      </c>
      <c r="J8758" s="2">
        <v>4.3E-3</v>
      </c>
      <c r="K8758" s="2">
        <v>1.5E-3</v>
      </c>
      <c r="L8758" s="2">
        <v>8.0000000000000004E-4</v>
      </c>
      <c r="M8758" s="2">
        <v>5.9999999999999995E-4</v>
      </c>
      <c r="N8758">
        <v>2476</v>
      </c>
    </row>
    <row r="8760" spans="1:14" x14ac:dyDescent="0.35">
      <c r="A8760" s="1" t="s">
        <v>2142</v>
      </c>
    </row>
    <row r="8761" spans="1:14" x14ac:dyDescent="0.35">
      <c r="A8761" t="s">
        <v>219</v>
      </c>
      <c r="B8761" t="s">
        <v>301</v>
      </c>
      <c r="C8761" t="s">
        <v>2129</v>
      </c>
      <c r="D8761" t="s">
        <v>2130</v>
      </c>
      <c r="E8761" t="s">
        <v>2131</v>
      </c>
      <c r="F8761" t="s">
        <v>2132</v>
      </c>
      <c r="G8761" t="s">
        <v>2133</v>
      </c>
      <c r="H8761" t="s">
        <v>2134</v>
      </c>
      <c r="I8761" t="s">
        <v>277</v>
      </c>
      <c r="J8761" t="s">
        <v>2135</v>
      </c>
      <c r="K8761" t="s">
        <v>2136</v>
      </c>
      <c r="L8761" t="s">
        <v>282</v>
      </c>
      <c r="M8761" t="s">
        <v>2137</v>
      </c>
      <c r="N8761" t="s">
        <v>226</v>
      </c>
    </row>
    <row r="8762" spans="1:14" x14ac:dyDescent="0.35">
      <c r="A8762" t="s">
        <v>227</v>
      </c>
      <c r="B8762" t="s">
        <v>263</v>
      </c>
      <c r="C8762" s="2">
        <v>0.62549999999999994</v>
      </c>
      <c r="D8762" s="2">
        <v>9.2799999999999994E-2</v>
      </c>
      <c r="E8762" s="2">
        <v>0.13850000000000001</v>
      </c>
      <c r="F8762" s="2">
        <v>9.8799999999999999E-2</v>
      </c>
      <c r="G8762" s="2">
        <v>1.95E-2</v>
      </c>
      <c r="H8762" s="2">
        <v>1.5800000000000002E-2</v>
      </c>
      <c r="I8762" s="2">
        <v>5.0000000000000001E-4</v>
      </c>
      <c r="J8762" s="2">
        <v>5.1999999999999998E-3</v>
      </c>
      <c r="K8762" s="2">
        <v>2.8999999999999998E-3</v>
      </c>
      <c r="L8762" s="2">
        <v>4.0000000000000002E-4</v>
      </c>
      <c r="N8762">
        <v>589</v>
      </c>
    </row>
    <row r="8763" spans="1:14" x14ac:dyDescent="0.35">
      <c r="A8763" t="s">
        <v>227</v>
      </c>
      <c r="B8763" t="s">
        <v>262</v>
      </c>
      <c r="C8763" s="2">
        <v>0.67620000000000002</v>
      </c>
      <c r="D8763" s="2">
        <v>0.1203</v>
      </c>
      <c r="E8763" s="2">
        <v>0.1381</v>
      </c>
      <c r="F8763" s="2">
        <v>3.9199999999999999E-2</v>
      </c>
      <c r="G8763" s="2">
        <v>6.7000000000000002E-3</v>
      </c>
      <c r="H8763" s="2">
        <v>1.4E-3</v>
      </c>
      <c r="I8763" s="2">
        <v>5.3E-3</v>
      </c>
      <c r="J8763" s="2">
        <v>8.3000000000000001E-3</v>
      </c>
      <c r="K8763" s="2">
        <v>2.3999999999999998E-3</v>
      </c>
      <c r="L8763" s="2">
        <v>2.9999999999999997E-4</v>
      </c>
      <c r="M8763" s="2">
        <v>1.8E-3</v>
      </c>
      <c r="N8763">
        <v>1160</v>
      </c>
    </row>
    <row r="8764" spans="1:14" x14ac:dyDescent="0.35">
      <c r="A8764" t="s">
        <v>227</v>
      </c>
      <c r="B8764" t="s">
        <v>261</v>
      </c>
      <c r="C8764" s="2">
        <v>0.58979999999999999</v>
      </c>
      <c r="D8764" s="2">
        <v>0.1946</v>
      </c>
      <c r="E8764" s="2">
        <v>0.10630000000000001</v>
      </c>
      <c r="F8764" s="2">
        <v>8.5300000000000001E-2</v>
      </c>
      <c r="G8764" s="2">
        <v>9.7000000000000003E-3</v>
      </c>
      <c r="H8764" s="2">
        <v>6.1999999999999998E-3</v>
      </c>
      <c r="I8764" s="2">
        <v>6.1000000000000004E-3</v>
      </c>
      <c r="J8764" s="2">
        <v>5.0000000000000001E-4</v>
      </c>
      <c r="L8764" s="2">
        <v>1.5E-3</v>
      </c>
      <c r="N8764">
        <v>1062</v>
      </c>
    </row>
    <row r="8765" spans="1:14" x14ac:dyDescent="0.35">
      <c r="A8765" s="3" t="s">
        <v>227</v>
      </c>
      <c r="B8765" s="3" t="s">
        <v>232</v>
      </c>
      <c r="C8765" s="4">
        <v>0.5</v>
      </c>
      <c r="D8765" s="5"/>
      <c r="E8765" s="4">
        <v>0.5</v>
      </c>
      <c r="F8765" s="5"/>
      <c r="G8765" s="5"/>
      <c r="H8765" s="5"/>
      <c r="I8765" s="5"/>
      <c r="J8765" s="5"/>
      <c r="K8765" s="5"/>
      <c r="L8765" s="5"/>
      <c r="M8765" s="5"/>
      <c r="N8765" s="5" t="s">
        <v>434</v>
      </c>
    </row>
    <row r="8766" spans="1:14" x14ac:dyDescent="0.35">
      <c r="A8766" t="s">
        <v>228</v>
      </c>
      <c r="B8766" t="s">
        <v>228</v>
      </c>
      <c r="C8766" s="2">
        <v>0.62880000000000003</v>
      </c>
      <c r="D8766" s="2">
        <v>0.14599999999999999</v>
      </c>
      <c r="E8766" s="2">
        <v>0.12520000000000001</v>
      </c>
      <c r="F8766" s="2">
        <v>7.1099999999999997E-2</v>
      </c>
      <c r="G8766" s="2">
        <v>1.06E-2</v>
      </c>
      <c r="H8766" s="2">
        <v>6.4000000000000003E-3</v>
      </c>
      <c r="I8766" s="2">
        <v>4.5999999999999999E-3</v>
      </c>
      <c r="J8766" s="2">
        <v>4.3E-3</v>
      </c>
      <c r="K8766" s="2">
        <v>1.5E-3</v>
      </c>
      <c r="L8766" s="2">
        <v>8.0000000000000004E-4</v>
      </c>
      <c r="M8766" s="2">
        <v>5.9999999999999995E-4</v>
      </c>
      <c r="N8766">
        <v>2813</v>
      </c>
    </row>
    <row r="8768" spans="1:14" x14ac:dyDescent="0.35">
      <c r="A8768" s="1" t="s">
        <v>2143</v>
      </c>
    </row>
    <row r="8769" spans="1:14" x14ac:dyDescent="0.35">
      <c r="A8769" t="s">
        <v>219</v>
      </c>
      <c r="B8769" t="s">
        <v>301</v>
      </c>
      <c r="C8769" t="s">
        <v>2129</v>
      </c>
      <c r="D8769" t="s">
        <v>2130</v>
      </c>
      <c r="E8769" t="s">
        <v>2131</v>
      </c>
      <c r="F8769" t="s">
        <v>2132</v>
      </c>
      <c r="G8769" t="s">
        <v>2133</v>
      </c>
      <c r="H8769" t="s">
        <v>2134</v>
      </c>
      <c r="I8769" t="s">
        <v>277</v>
      </c>
      <c r="J8769" t="s">
        <v>2135</v>
      </c>
      <c r="K8769" t="s">
        <v>2136</v>
      </c>
      <c r="L8769" t="s">
        <v>282</v>
      </c>
      <c r="M8769" t="s">
        <v>2137</v>
      </c>
      <c r="N8769" t="s">
        <v>226</v>
      </c>
    </row>
    <row r="8770" spans="1:14" x14ac:dyDescent="0.35">
      <c r="A8770" t="s">
        <v>227</v>
      </c>
      <c r="B8770" t="s">
        <v>248</v>
      </c>
      <c r="C8770" s="2">
        <v>0.57530000000000003</v>
      </c>
      <c r="D8770" s="2">
        <v>0.14149999999999999</v>
      </c>
      <c r="E8770" s="2">
        <v>0.16200000000000001</v>
      </c>
      <c r="F8770" s="2">
        <v>6.7900000000000002E-2</v>
      </c>
      <c r="G8770" s="2">
        <v>2.3800000000000002E-2</v>
      </c>
      <c r="H8770" s="2">
        <v>8.9999999999999993E-3</v>
      </c>
      <c r="I8770" s="2">
        <v>6.4000000000000003E-3</v>
      </c>
      <c r="J8770" s="2">
        <v>1.0800000000000001E-2</v>
      </c>
      <c r="K8770" s="2">
        <v>2.9999999999999997E-4</v>
      </c>
      <c r="L8770" s="2">
        <v>5.0000000000000001E-4</v>
      </c>
      <c r="M8770" s="2">
        <v>2.3E-3</v>
      </c>
      <c r="N8770">
        <v>796</v>
      </c>
    </row>
    <row r="8771" spans="1:14" x14ac:dyDescent="0.35">
      <c r="A8771" t="s">
        <v>227</v>
      </c>
      <c r="B8771" t="s">
        <v>249</v>
      </c>
      <c r="C8771" s="2">
        <v>0.53159999999999996</v>
      </c>
      <c r="D8771" s="2">
        <v>0.21659999999999999</v>
      </c>
      <c r="E8771" s="2">
        <v>0.1318</v>
      </c>
      <c r="F8771" s="2">
        <v>9.4899999999999998E-2</v>
      </c>
      <c r="G8771" s="2">
        <v>1.26E-2</v>
      </c>
      <c r="H8771" s="2">
        <v>5.4000000000000003E-3</v>
      </c>
      <c r="I8771" s="2">
        <v>3.7000000000000002E-3</v>
      </c>
      <c r="J8771" s="2">
        <v>1.4E-3</v>
      </c>
      <c r="K8771" s="2">
        <v>2.0000000000000001E-4</v>
      </c>
      <c r="L8771" s="2">
        <v>1.8E-3</v>
      </c>
      <c r="N8771">
        <v>541</v>
      </c>
    </row>
    <row r="8772" spans="1:14" x14ac:dyDescent="0.35">
      <c r="A8772" t="s">
        <v>227</v>
      </c>
      <c r="B8772" t="s">
        <v>247</v>
      </c>
      <c r="C8772" s="2">
        <v>0.69179999999999997</v>
      </c>
      <c r="D8772" s="2">
        <v>0.1225</v>
      </c>
      <c r="E8772" s="2">
        <v>0.1038</v>
      </c>
      <c r="F8772" s="2">
        <v>6.4100000000000004E-2</v>
      </c>
      <c r="G8772" s="2">
        <v>3.0999999999999999E-3</v>
      </c>
      <c r="H8772" s="2">
        <v>5.4000000000000003E-3</v>
      </c>
      <c r="I8772" s="2">
        <v>4.0000000000000001E-3</v>
      </c>
      <c r="J8772" s="2">
        <v>2E-3</v>
      </c>
      <c r="K8772" s="2">
        <v>2.5000000000000001E-3</v>
      </c>
      <c r="L8772" s="2">
        <v>6.9999999999999999E-4</v>
      </c>
      <c r="N8772">
        <v>1476</v>
      </c>
    </row>
    <row r="8773" spans="1:14" x14ac:dyDescent="0.35">
      <c r="A8773" t="s">
        <v>228</v>
      </c>
      <c r="B8773" t="s">
        <v>228</v>
      </c>
      <c r="C8773" s="2">
        <v>0.62880000000000003</v>
      </c>
      <c r="D8773" s="2">
        <v>0.14599999999999999</v>
      </c>
      <c r="E8773" s="2">
        <v>0.12520000000000001</v>
      </c>
      <c r="F8773" s="2">
        <v>7.1099999999999997E-2</v>
      </c>
      <c r="G8773" s="2">
        <v>1.06E-2</v>
      </c>
      <c r="H8773" s="2">
        <v>6.4000000000000003E-3</v>
      </c>
      <c r="I8773" s="2">
        <v>4.5999999999999999E-3</v>
      </c>
      <c r="J8773" s="2">
        <v>4.3E-3</v>
      </c>
      <c r="K8773" s="2">
        <v>1.5E-3</v>
      </c>
      <c r="L8773" s="2">
        <v>8.0000000000000004E-4</v>
      </c>
      <c r="M8773" s="2">
        <v>5.9999999999999995E-4</v>
      </c>
      <c r="N8773">
        <v>2813</v>
      </c>
    </row>
    <row r="8775" spans="1:14" x14ac:dyDescent="0.35">
      <c r="A8775" s="1" t="s">
        <v>2144</v>
      </c>
    </row>
    <row r="8776" spans="1:14" x14ac:dyDescent="0.35">
      <c r="A8776" t="s">
        <v>219</v>
      </c>
      <c r="B8776" t="s">
        <v>301</v>
      </c>
      <c r="C8776" t="s">
        <v>2129</v>
      </c>
      <c r="D8776" t="s">
        <v>2130</v>
      </c>
      <c r="E8776" t="s">
        <v>2131</v>
      </c>
      <c r="F8776" t="s">
        <v>2132</v>
      </c>
      <c r="G8776" t="s">
        <v>2133</v>
      </c>
      <c r="H8776" t="s">
        <v>2134</v>
      </c>
      <c r="I8776" t="s">
        <v>277</v>
      </c>
      <c r="J8776" t="s">
        <v>2135</v>
      </c>
      <c r="K8776" t="s">
        <v>2136</v>
      </c>
      <c r="L8776" t="s">
        <v>282</v>
      </c>
      <c r="M8776" t="s">
        <v>2137</v>
      </c>
      <c r="N8776" t="s">
        <v>226</v>
      </c>
    </row>
    <row r="8777" spans="1:14" x14ac:dyDescent="0.35">
      <c r="A8777" t="s">
        <v>227</v>
      </c>
      <c r="B8777" t="s">
        <v>245</v>
      </c>
      <c r="C8777" s="2">
        <v>0.62360000000000004</v>
      </c>
      <c r="D8777" s="2">
        <v>0.1633</v>
      </c>
      <c r="E8777" s="2">
        <v>0.1208</v>
      </c>
      <c r="F8777" s="2">
        <v>8.2100000000000006E-2</v>
      </c>
      <c r="G8777" s="2">
        <v>2.0000000000000001E-4</v>
      </c>
      <c r="H8777" s="2">
        <v>5.8999999999999999E-3</v>
      </c>
      <c r="I8777" s="2">
        <v>3.0999999999999999E-3</v>
      </c>
      <c r="J8777" s="2">
        <v>2.9999999999999997E-4</v>
      </c>
      <c r="K8777" s="2">
        <v>2.9999999999999997E-4</v>
      </c>
      <c r="L8777" s="2">
        <v>4.0000000000000002E-4</v>
      </c>
      <c r="N8777">
        <v>783</v>
      </c>
    </row>
    <row r="8778" spans="1:14" x14ac:dyDescent="0.35">
      <c r="A8778" t="s">
        <v>227</v>
      </c>
      <c r="B8778" t="s">
        <v>244</v>
      </c>
      <c r="C8778" s="2">
        <v>0.63090000000000002</v>
      </c>
      <c r="D8778" s="2">
        <v>0.1391</v>
      </c>
      <c r="E8778" s="2">
        <v>0.12690000000000001</v>
      </c>
      <c r="F8778" s="2">
        <v>6.6699999999999995E-2</v>
      </c>
      <c r="G8778" s="2">
        <v>1.4800000000000001E-2</v>
      </c>
      <c r="H8778" s="2">
        <v>6.6E-3</v>
      </c>
      <c r="I8778" s="2">
        <v>5.1999999999999998E-3</v>
      </c>
      <c r="J8778" s="2">
        <v>5.8999999999999999E-3</v>
      </c>
      <c r="K8778" s="2">
        <v>1.9E-3</v>
      </c>
      <c r="L8778" s="2">
        <v>1E-3</v>
      </c>
      <c r="M8778" s="2">
        <v>8.9999999999999998E-4</v>
      </c>
      <c r="N8778">
        <v>2030</v>
      </c>
    </row>
    <row r="8779" spans="1:14" x14ac:dyDescent="0.35">
      <c r="A8779" t="s">
        <v>228</v>
      </c>
      <c r="B8779" t="s">
        <v>228</v>
      </c>
      <c r="C8779" s="2">
        <v>0.62880000000000003</v>
      </c>
      <c r="D8779" s="2">
        <v>0.14599999999999999</v>
      </c>
      <c r="E8779" s="2">
        <v>0.12520000000000001</v>
      </c>
      <c r="F8779" s="2">
        <v>7.1099999999999997E-2</v>
      </c>
      <c r="G8779" s="2">
        <v>1.06E-2</v>
      </c>
      <c r="H8779" s="2">
        <v>6.4000000000000003E-3</v>
      </c>
      <c r="I8779" s="2">
        <v>4.5999999999999999E-3</v>
      </c>
      <c r="J8779" s="2">
        <v>4.3E-3</v>
      </c>
      <c r="K8779" s="2">
        <v>1.5E-3</v>
      </c>
      <c r="L8779" s="2">
        <v>8.0000000000000004E-4</v>
      </c>
      <c r="M8779" s="2">
        <v>5.9999999999999995E-4</v>
      </c>
      <c r="N8779">
        <v>2813</v>
      </c>
    </row>
    <row r="8781" spans="1:14" x14ac:dyDescent="0.35">
      <c r="A8781" s="1" t="s">
        <v>2145</v>
      </c>
    </row>
    <row r="8782" spans="1:14" x14ac:dyDescent="0.35">
      <c r="A8782" t="s">
        <v>219</v>
      </c>
      <c r="B8782" t="s">
        <v>301</v>
      </c>
      <c r="C8782" t="s">
        <v>2129</v>
      </c>
      <c r="D8782" t="s">
        <v>2130</v>
      </c>
      <c r="E8782" t="s">
        <v>2131</v>
      </c>
      <c r="F8782" t="s">
        <v>2132</v>
      </c>
      <c r="G8782" t="s">
        <v>2133</v>
      </c>
      <c r="H8782" t="s">
        <v>2134</v>
      </c>
      <c r="I8782" t="s">
        <v>277</v>
      </c>
      <c r="J8782" t="s">
        <v>2135</v>
      </c>
      <c r="K8782" t="s">
        <v>2136</v>
      </c>
      <c r="L8782" t="s">
        <v>282</v>
      </c>
      <c r="M8782" t="s">
        <v>2137</v>
      </c>
      <c r="N8782" t="s">
        <v>226</v>
      </c>
    </row>
    <row r="8783" spans="1:14" x14ac:dyDescent="0.35">
      <c r="A8783" t="s">
        <v>227</v>
      </c>
      <c r="B8783" t="s">
        <v>259</v>
      </c>
      <c r="C8783" s="2">
        <v>0.70450000000000002</v>
      </c>
      <c r="D8783" s="2">
        <v>0.19589999999999999</v>
      </c>
      <c r="E8783" s="2">
        <v>6.3600000000000004E-2</v>
      </c>
      <c r="F8783" s="2">
        <v>1.35E-2</v>
      </c>
      <c r="H8783" s="2">
        <v>1.35E-2</v>
      </c>
      <c r="J8783" s="2">
        <v>6.3E-3</v>
      </c>
      <c r="K8783" s="2">
        <v>2.8E-3</v>
      </c>
      <c r="N8783">
        <v>69</v>
      </c>
    </row>
    <row r="8784" spans="1:14" x14ac:dyDescent="0.35">
      <c r="A8784" t="s">
        <v>227</v>
      </c>
      <c r="B8784" t="s">
        <v>257</v>
      </c>
      <c r="C8784" s="2">
        <v>0.70660000000000001</v>
      </c>
      <c r="D8784" s="2">
        <v>0.10150000000000001</v>
      </c>
      <c r="E8784" s="2">
        <v>0.111</v>
      </c>
      <c r="F8784" s="2">
        <v>5.04E-2</v>
      </c>
      <c r="G8784" s="2">
        <v>4.4999999999999997E-3</v>
      </c>
      <c r="H8784" s="2">
        <v>1.9599999999999999E-2</v>
      </c>
      <c r="I8784" s="2">
        <v>1E-3</v>
      </c>
      <c r="J8784" s="2">
        <v>4.0000000000000002E-4</v>
      </c>
      <c r="K8784" s="2">
        <v>4.1000000000000003E-3</v>
      </c>
      <c r="L8784" s="2">
        <v>8.9999999999999998E-4</v>
      </c>
      <c r="N8784">
        <v>405</v>
      </c>
    </row>
    <row r="8785" spans="1:14" x14ac:dyDescent="0.35">
      <c r="A8785" t="s">
        <v>227</v>
      </c>
      <c r="B8785" t="s">
        <v>256</v>
      </c>
      <c r="C8785" s="2">
        <v>0.56430000000000002</v>
      </c>
      <c r="D8785" s="2">
        <v>0.16830000000000001</v>
      </c>
      <c r="E8785" s="2">
        <v>0.1502</v>
      </c>
      <c r="F8785" s="2">
        <v>8.2900000000000001E-2</v>
      </c>
      <c r="G8785" s="2">
        <v>1.4800000000000001E-2</v>
      </c>
      <c r="H8785" s="2">
        <v>4.1000000000000003E-3</v>
      </c>
      <c r="I8785" s="2">
        <v>6.4999999999999997E-3</v>
      </c>
      <c r="J8785" s="2">
        <v>6.1000000000000004E-3</v>
      </c>
      <c r="K8785" s="2">
        <v>1E-3</v>
      </c>
      <c r="L8785" s="2">
        <v>8.0000000000000004E-4</v>
      </c>
      <c r="M8785" s="2">
        <v>1E-3</v>
      </c>
      <c r="N8785">
        <v>1803</v>
      </c>
    </row>
    <row r="8786" spans="1:14" x14ac:dyDescent="0.35">
      <c r="A8786" s="3" t="s">
        <v>227</v>
      </c>
      <c r="B8786" s="3" t="s">
        <v>232</v>
      </c>
      <c r="C8786" s="4">
        <v>0.54859999999999998</v>
      </c>
      <c r="D8786" s="4">
        <v>0.34360000000000002</v>
      </c>
      <c r="E8786" s="4">
        <v>0.10780000000000001</v>
      </c>
      <c r="F8786" s="5"/>
      <c r="G8786" s="5"/>
      <c r="H8786" s="5"/>
      <c r="I8786" s="5"/>
      <c r="J8786" s="5"/>
      <c r="K8786" s="5"/>
      <c r="L8786" s="5"/>
      <c r="M8786" s="5"/>
      <c r="N8786" s="5" t="s">
        <v>307</v>
      </c>
    </row>
    <row r="8787" spans="1:14" x14ac:dyDescent="0.35">
      <c r="A8787" t="s">
        <v>227</v>
      </c>
      <c r="B8787" t="s">
        <v>258</v>
      </c>
      <c r="C8787" s="2">
        <v>0.82320000000000004</v>
      </c>
      <c r="D8787" s="2">
        <v>8.7800000000000003E-2</v>
      </c>
      <c r="E8787" s="2">
        <v>3.5799999999999998E-2</v>
      </c>
      <c r="F8787" s="2">
        <v>4.9099999999999998E-2</v>
      </c>
      <c r="G8787" s="2">
        <v>2.0000000000000001E-4</v>
      </c>
      <c r="H8787" s="2">
        <v>8.0000000000000004E-4</v>
      </c>
      <c r="I8787" s="2">
        <v>6.9999999999999999E-4</v>
      </c>
      <c r="J8787" s="2">
        <v>5.9999999999999995E-4</v>
      </c>
      <c r="K8787" s="2">
        <v>5.9999999999999995E-4</v>
      </c>
      <c r="L8787" s="2">
        <v>1.1999999999999999E-3</v>
      </c>
      <c r="N8787">
        <v>525</v>
      </c>
    </row>
    <row r="8788" spans="1:14" x14ac:dyDescent="0.35">
      <c r="A8788" t="s">
        <v>228</v>
      </c>
      <c r="B8788" t="s">
        <v>228</v>
      </c>
      <c r="C8788" s="2">
        <v>0.62880000000000003</v>
      </c>
      <c r="D8788" s="2">
        <v>0.14599999999999999</v>
      </c>
      <c r="E8788" s="2">
        <v>0.12520000000000001</v>
      </c>
      <c r="F8788" s="2">
        <v>7.1099999999999997E-2</v>
      </c>
      <c r="G8788" s="2">
        <v>1.06E-2</v>
      </c>
      <c r="H8788" s="2">
        <v>6.4000000000000003E-3</v>
      </c>
      <c r="I8788" s="2">
        <v>4.5999999999999999E-3</v>
      </c>
      <c r="J8788" s="2">
        <v>4.3E-3</v>
      </c>
      <c r="K8788" s="2">
        <v>1.5E-3</v>
      </c>
      <c r="L8788" s="2">
        <v>8.0000000000000004E-4</v>
      </c>
      <c r="M8788" s="2">
        <v>5.9999999999999995E-4</v>
      </c>
      <c r="N8788">
        <v>2813</v>
      </c>
    </row>
    <row r="8790" spans="1:14" x14ac:dyDescent="0.35">
      <c r="A8790" s="1" t="s">
        <v>2146</v>
      </c>
    </row>
    <row r="8791" spans="1:14" x14ac:dyDescent="0.35">
      <c r="A8791" t="s">
        <v>219</v>
      </c>
      <c r="B8791" t="s">
        <v>301</v>
      </c>
      <c r="C8791" t="s">
        <v>2129</v>
      </c>
      <c r="D8791" t="s">
        <v>2130</v>
      </c>
      <c r="E8791" t="s">
        <v>2131</v>
      </c>
      <c r="F8791" t="s">
        <v>2132</v>
      </c>
      <c r="G8791" t="s">
        <v>2133</v>
      </c>
      <c r="H8791" t="s">
        <v>2134</v>
      </c>
      <c r="I8791" t="s">
        <v>277</v>
      </c>
      <c r="J8791" t="s">
        <v>2135</v>
      </c>
      <c r="K8791" t="s">
        <v>2136</v>
      </c>
      <c r="L8791" t="s">
        <v>282</v>
      </c>
      <c r="M8791" t="s">
        <v>2137</v>
      </c>
      <c r="N8791" t="s">
        <v>226</v>
      </c>
    </row>
    <row r="8792" spans="1:14" x14ac:dyDescent="0.35">
      <c r="A8792" t="s">
        <v>227</v>
      </c>
      <c r="B8792" t="s">
        <v>343</v>
      </c>
      <c r="C8792" s="2">
        <v>0.70660000000000001</v>
      </c>
      <c r="D8792" s="2">
        <v>0.10150000000000001</v>
      </c>
      <c r="E8792" s="2">
        <v>0.111</v>
      </c>
      <c r="F8792" s="2">
        <v>5.04E-2</v>
      </c>
      <c r="G8792" s="2">
        <v>4.4999999999999997E-3</v>
      </c>
      <c r="H8792" s="2">
        <v>1.9599999999999999E-2</v>
      </c>
      <c r="I8792" s="2">
        <v>1E-3</v>
      </c>
      <c r="J8792" s="2">
        <v>4.0000000000000002E-4</v>
      </c>
      <c r="K8792" s="2">
        <v>4.1000000000000003E-3</v>
      </c>
      <c r="L8792" s="2">
        <v>8.9999999999999998E-4</v>
      </c>
      <c r="N8792">
        <v>405</v>
      </c>
    </row>
    <row r="8793" spans="1:14" x14ac:dyDescent="0.35">
      <c r="A8793" t="s">
        <v>227</v>
      </c>
      <c r="B8793" t="s">
        <v>344</v>
      </c>
      <c r="C8793" s="2">
        <v>0.61299999999999999</v>
      </c>
      <c r="D8793" s="2">
        <v>0.155</v>
      </c>
      <c r="E8793" s="2">
        <v>0.12809999999999999</v>
      </c>
      <c r="F8793" s="2">
        <v>7.5300000000000006E-2</v>
      </c>
      <c r="G8793" s="2">
        <v>1.1900000000000001E-2</v>
      </c>
      <c r="H8793" s="2">
        <v>3.7000000000000002E-3</v>
      </c>
      <c r="I8793" s="2">
        <v>5.4000000000000003E-3</v>
      </c>
      <c r="J8793" s="2">
        <v>5.1000000000000004E-3</v>
      </c>
      <c r="K8793" s="2">
        <v>1E-3</v>
      </c>
      <c r="L8793" s="2">
        <v>8.0000000000000004E-4</v>
      </c>
      <c r="M8793" s="2">
        <v>8.0000000000000004E-4</v>
      </c>
      <c r="N8793">
        <v>2408</v>
      </c>
    </row>
    <row r="8794" spans="1:14" x14ac:dyDescent="0.35">
      <c r="A8794" t="s">
        <v>228</v>
      </c>
      <c r="B8794" t="s">
        <v>228</v>
      </c>
      <c r="C8794" s="2">
        <v>0.62880000000000003</v>
      </c>
      <c r="D8794" s="2">
        <v>0.14599999999999999</v>
      </c>
      <c r="E8794" s="2">
        <v>0.12520000000000001</v>
      </c>
      <c r="F8794" s="2">
        <v>7.1099999999999997E-2</v>
      </c>
      <c r="G8794" s="2">
        <v>1.06E-2</v>
      </c>
      <c r="H8794" s="2">
        <v>6.4000000000000003E-3</v>
      </c>
      <c r="I8794" s="2">
        <v>4.5999999999999999E-3</v>
      </c>
      <c r="J8794" s="2">
        <v>4.3E-3</v>
      </c>
      <c r="K8794" s="2">
        <v>1.5E-3</v>
      </c>
      <c r="L8794" s="2">
        <v>8.0000000000000004E-4</v>
      </c>
      <c r="M8794" s="2">
        <v>5.9999999999999995E-4</v>
      </c>
      <c r="N8794">
        <v>2813</v>
      </c>
    </row>
    <row r="8796" spans="1:14" x14ac:dyDescent="0.35">
      <c r="A8796" s="1" t="s">
        <v>2147</v>
      </c>
    </row>
    <row r="8797" spans="1:14" x14ac:dyDescent="0.35">
      <c r="A8797" t="s">
        <v>219</v>
      </c>
      <c r="B8797" t="s">
        <v>301</v>
      </c>
      <c r="C8797" t="s">
        <v>2129</v>
      </c>
      <c r="D8797" t="s">
        <v>2130</v>
      </c>
      <c r="E8797" t="s">
        <v>2131</v>
      </c>
      <c r="F8797" t="s">
        <v>2132</v>
      </c>
      <c r="G8797" t="s">
        <v>2133</v>
      </c>
      <c r="H8797" t="s">
        <v>2134</v>
      </c>
      <c r="I8797" t="s">
        <v>277</v>
      </c>
      <c r="J8797" t="s">
        <v>2135</v>
      </c>
      <c r="K8797" t="s">
        <v>2136</v>
      </c>
      <c r="L8797" t="s">
        <v>282</v>
      </c>
      <c r="M8797" t="s">
        <v>2137</v>
      </c>
      <c r="N8797" t="s">
        <v>226</v>
      </c>
    </row>
    <row r="8798" spans="1:14" x14ac:dyDescent="0.35">
      <c r="A8798" t="s">
        <v>227</v>
      </c>
      <c r="B8798" t="s">
        <v>346</v>
      </c>
      <c r="C8798" s="2">
        <v>0.62009999999999998</v>
      </c>
      <c r="D8798" s="2">
        <v>0.1487</v>
      </c>
      <c r="E8798" s="2">
        <v>0.12720000000000001</v>
      </c>
      <c r="F8798" s="2">
        <v>7.4300000000000005E-2</v>
      </c>
      <c r="G8798" s="2">
        <v>1.2E-2</v>
      </c>
      <c r="H8798" s="2">
        <v>5.8999999999999999E-3</v>
      </c>
      <c r="I8798" s="2">
        <v>5.0000000000000001E-3</v>
      </c>
      <c r="J8798" s="2">
        <v>4.4999999999999997E-3</v>
      </c>
      <c r="K8798" s="2">
        <v>1.2999999999999999E-3</v>
      </c>
      <c r="L8798" s="2">
        <v>2.0000000000000001E-4</v>
      </c>
      <c r="M8798" s="2">
        <v>6.9999999999999999E-4</v>
      </c>
      <c r="N8798">
        <v>1463</v>
      </c>
    </row>
    <row r="8799" spans="1:14" x14ac:dyDescent="0.35">
      <c r="A8799" t="s">
        <v>227</v>
      </c>
      <c r="B8799" t="s">
        <v>347</v>
      </c>
      <c r="C8799" s="2">
        <v>0.52569999999999995</v>
      </c>
      <c r="D8799" s="2">
        <v>0.1686</v>
      </c>
      <c r="E8799" s="2">
        <v>0.20300000000000001</v>
      </c>
      <c r="F8799" s="2">
        <v>6.0999999999999999E-2</v>
      </c>
      <c r="G8799" s="2">
        <v>6.9999999999999999E-4</v>
      </c>
      <c r="H8799" s="2">
        <v>1.5599999999999999E-2</v>
      </c>
      <c r="I8799" s="2">
        <v>6.9999999999999999E-4</v>
      </c>
      <c r="J8799" s="2">
        <v>7.0000000000000001E-3</v>
      </c>
      <c r="K8799" s="2">
        <v>6.4999999999999997E-3</v>
      </c>
      <c r="L8799" s="2">
        <v>1.12E-2</v>
      </c>
      <c r="N8799">
        <v>585</v>
      </c>
    </row>
    <row r="8800" spans="1:14" x14ac:dyDescent="0.35">
      <c r="A8800" t="s">
        <v>227</v>
      </c>
      <c r="B8800" t="s">
        <v>348</v>
      </c>
      <c r="C8800" s="2">
        <v>0.74619999999999997</v>
      </c>
      <c r="D8800" s="2">
        <v>0.1125</v>
      </c>
      <c r="E8800" s="2">
        <v>7.7399999999999997E-2</v>
      </c>
      <c r="F8800" s="2">
        <v>4.5600000000000002E-2</v>
      </c>
      <c r="G8800" s="2">
        <v>1.8E-3</v>
      </c>
      <c r="H8800" s="2">
        <v>7.7999999999999996E-3</v>
      </c>
      <c r="I8800" s="2">
        <v>2.8E-3</v>
      </c>
      <c r="J8800" s="2">
        <v>2.2000000000000001E-3</v>
      </c>
      <c r="K8800" s="2">
        <v>1E-3</v>
      </c>
      <c r="L8800" s="2">
        <v>2.5000000000000001E-3</v>
      </c>
      <c r="N8800">
        <v>765</v>
      </c>
    </row>
    <row r="8801" spans="1:14" x14ac:dyDescent="0.35">
      <c r="A8801" t="s">
        <v>228</v>
      </c>
      <c r="B8801" t="s">
        <v>228</v>
      </c>
      <c r="C8801" s="2">
        <v>0.62880000000000003</v>
      </c>
      <c r="D8801" s="2">
        <v>0.14599999999999999</v>
      </c>
      <c r="E8801" s="2">
        <v>0.12520000000000001</v>
      </c>
      <c r="F8801" s="2">
        <v>7.1099999999999997E-2</v>
      </c>
      <c r="G8801" s="2">
        <v>1.06E-2</v>
      </c>
      <c r="H8801" s="2">
        <v>6.4000000000000003E-3</v>
      </c>
      <c r="I8801" s="2">
        <v>4.5999999999999999E-3</v>
      </c>
      <c r="J8801" s="2">
        <v>4.3E-3</v>
      </c>
      <c r="K8801" s="2">
        <v>1.5E-3</v>
      </c>
      <c r="L8801" s="2">
        <v>8.0000000000000004E-4</v>
      </c>
      <c r="M8801" s="2">
        <v>5.9999999999999995E-4</v>
      </c>
      <c r="N8801">
        <v>2813</v>
      </c>
    </row>
    <row r="8803" spans="1:14" x14ac:dyDescent="0.35">
      <c r="A8803" s="1" t="s">
        <v>2148</v>
      </c>
    </row>
    <row r="8804" spans="1:14" x14ac:dyDescent="0.35">
      <c r="A8804" t="s">
        <v>219</v>
      </c>
      <c r="B8804" t="s">
        <v>301</v>
      </c>
      <c r="C8804" t="s">
        <v>2129</v>
      </c>
      <c r="D8804" t="s">
        <v>2130</v>
      </c>
      <c r="E8804" t="s">
        <v>2131</v>
      </c>
      <c r="F8804" t="s">
        <v>2132</v>
      </c>
      <c r="G8804" t="s">
        <v>2133</v>
      </c>
      <c r="H8804" t="s">
        <v>2134</v>
      </c>
      <c r="I8804" t="s">
        <v>277</v>
      </c>
      <c r="J8804" t="s">
        <v>2135</v>
      </c>
      <c r="K8804" t="s">
        <v>2136</v>
      </c>
      <c r="L8804" t="s">
        <v>282</v>
      </c>
      <c r="M8804" t="s">
        <v>2137</v>
      </c>
      <c r="N8804" t="s">
        <v>226</v>
      </c>
    </row>
    <row r="8805" spans="1:14" x14ac:dyDescent="0.35">
      <c r="A8805" t="s">
        <v>227</v>
      </c>
      <c r="B8805" t="s">
        <v>251</v>
      </c>
      <c r="C8805" s="2">
        <v>0.63090000000000002</v>
      </c>
      <c r="D8805" s="2">
        <v>0.1391</v>
      </c>
      <c r="E8805" s="2">
        <v>0.12690000000000001</v>
      </c>
      <c r="F8805" s="2">
        <v>6.6699999999999995E-2</v>
      </c>
      <c r="G8805" s="2">
        <v>1.4800000000000001E-2</v>
      </c>
      <c r="H8805" s="2">
        <v>6.6E-3</v>
      </c>
      <c r="I8805" s="2">
        <v>5.1999999999999998E-3</v>
      </c>
      <c r="J8805" s="2">
        <v>5.8999999999999999E-3</v>
      </c>
      <c r="K8805" s="2">
        <v>1.9E-3</v>
      </c>
      <c r="L8805" s="2">
        <v>1E-3</v>
      </c>
      <c r="M8805" s="2">
        <v>8.9999999999999998E-4</v>
      </c>
      <c r="N8805">
        <v>2030</v>
      </c>
    </row>
    <row r="8806" spans="1:14" x14ac:dyDescent="0.35">
      <c r="A8806" t="s">
        <v>227</v>
      </c>
      <c r="B8806" t="s">
        <v>252</v>
      </c>
      <c r="C8806" s="2">
        <v>0.59509999999999996</v>
      </c>
      <c r="D8806" s="2">
        <v>0.18310000000000001</v>
      </c>
      <c r="E8806" s="2">
        <v>0.1168</v>
      </c>
      <c r="F8806" s="2">
        <v>9.4600000000000004E-2</v>
      </c>
      <c r="G8806" s="2">
        <v>2.0000000000000001E-4</v>
      </c>
      <c r="H8806" s="2">
        <v>5.1000000000000004E-3</v>
      </c>
      <c r="I8806" s="2">
        <v>3.8E-3</v>
      </c>
      <c r="J8806" s="2">
        <v>4.0000000000000002E-4</v>
      </c>
      <c r="K8806" s="2">
        <v>4.0000000000000002E-4</v>
      </c>
      <c r="L8806" s="2">
        <v>5.0000000000000001E-4</v>
      </c>
      <c r="N8806">
        <v>621</v>
      </c>
    </row>
    <row r="8807" spans="1:14" x14ac:dyDescent="0.35">
      <c r="A8807" t="s">
        <v>227</v>
      </c>
      <c r="B8807" t="s">
        <v>253</v>
      </c>
      <c r="C8807" s="2">
        <v>0.74960000000000004</v>
      </c>
      <c r="D8807" s="2">
        <v>7.9899999999999999E-2</v>
      </c>
      <c r="E8807" s="2">
        <v>0.14019999999999999</v>
      </c>
      <c r="F8807" s="2">
        <v>3.0300000000000001E-2</v>
      </c>
      <c r="N8807">
        <v>153</v>
      </c>
    </row>
    <row r="8808" spans="1:14" x14ac:dyDescent="0.35">
      <c r="A8808" s="3" t="s">
        <v>227</v>
      </c>
      <c r="B8808" s="3" t="s">
        <v>254</v>
      </c>
      <c r="C8808" s="4">
        <v>0.57989999999999997</v>
      </c>
      <c r="D8808" s="4">
        <v>7.2800000000000004E-2</v>
      </c>
      <c r="E8808" s="4">
        <v>6.5500000000000003E-2</v>
      </c>
      <c r="F8808" s="5"/>
      <c r="G8808" s="5"/>
      <c r="H8808" s="4">
        <v>0.28179999999999999</v>
      </c>
      <c r="I8808" s="5"/>
      <c r="J8808" s="5"/>
      <c r="K8808" s="5"/>
      <c r="L8808" s="5"/>
      <c r="M8808" s="5"/>
      <c r="N8808" s="5" t="s">
        <v>515</v>
      </c>
    </row>
    <row r="8809" spans="1:14" x14ac:dyDescent="0.35">
      <c r="A8809" t="s">
        <v>228</v>
      </c>
      <c r="B8809" t="s">
        <v>228</v>
      </c>
      <c r="C8809" s="2">
        <v>0.62880000000000003</v>
      </c>
      <c r="D8809" s="2">
        <v>0.14599999999999999</v>
      </c>
      <c r="E8809" s="2">
        <v>0.12520000000000001</v>
      </c>
      <c r="F8809" s="2">
        <v>7.1099999999999997E-2</v>
      </c>
      <c r="G8809" s="2">
        <v>1.06E-2</v>
      </c>
      <c r="H8809" s="2">
        <v>6.4000000000000003E-3</v>
      </c>
      <c r="I8809" s="2">
        <v>4.5999999999999999E-3</v>
      </c>
      <c r="J8809" s="2">
        <v>4.3E-3</v>
      </c>
      <c r="K8809" s="2">
        <v>1.5E-3</v>
      </c>
      <c r="L8809" s="2">
        <v>8.0000000000000004E-4</v>
      </c>
      <c r="M8809" s="2">
        <v>5.9999999999999995E-4</v>
      </c>
      <c r="N8809">
        <v>2813</v>
      </c>
    </row>
    <row r="8811" spans="1:14" x14ac:dyDescent="0.35">
      <c r="A8811" s="1" t="s">
        <v>2149</v>
      </c>
    </row>
    <row r="8812" spans="1:14" x14ac:dyDescent="0.35">
      <c r="A8812" t="s">
        <v>219</v>
      </c>
      <c r="B8812" t="s">
        <v>298</v>
      </c>
      <c r="C8812" t="s">
        <v>299</v>
      </c>
      <c r="D8812" t="s">
        <v>277</v>
      </c>
      <c r="E8812" t="s">
        <v>282</v>
      </c>
      <c r="F8812" t="s">
        <v>226</v>
      </c>
    </row>
    <row r="8813" spans="1:14" x14ac:dyDescent="0.35">
      <c r="A8813" t="s">
        <v>227</v>
      </c>
      <c r="B8813" s="2">
        <v>0.94869999999999999</v>
      </c>
      <c r="C8813" s="2">
        <v>4.9500000000000002E-2</v>
      </c>
      <c r="D8813" s="2">
        <v>1.6999999999999999E-3</v>
      </c>
      <c r="E8813" s="2">
        <v>0</v>
      </c>
      <c r="F8813">
        <v>2783</v>
      </c>
    </row>
    <row r="8814" spans="1:14" x14ac:dyDescent="0.35">
      <c r="A8814" t="s">
        <v>228</v>
      </c>
      <c r="B8814" s="2">
        <v>0.94869999999999999</v>
      </c>
      <c r="C8814" s="2">
        <v>4.9500000000000002E-2</v>
      </c>
      <c r="D8814" s="2">
        <v>1.6999999999999999E-3</v>
      </c>
      <c r="E8814" s="2">
        <v>0</v>
      </c>
      <c r="F8814">
        <v>2783</v>
      </c>
    </row>
    <row r="8816" spans="1:14" x14ac:dyDescent="0.35">
      <c r="A8816" s="1" t="s">
        <v>2150</v>
      </c>
    </row>
    <row r="8817" spans="1:7" x14ac:dyDescent="0.35">
      <c r="A8817" t="s">
        <v>219</v>
      </c>
      <c r="B8817" t="s">
        <v>301</v>
      </c>
      <c r="C8817" t="s">
        <v>298</v>
      </c>
      <c r="D8817" t="s">
        <v>299</v>
      </c>
      <c r="E8817" t="s">
        <v>277</v>
      </c>
      <c r="F8817" t="s">
        <v>282</v>
      </c>
      <c r="G8817" t="s">
        <v>226</v>
      </c>
    </row>
    <row r="8818" spans="1:7" x14ac:dyDescent="0.35">
      <c r="A8818" t="s">
        <v>227</v>
      </c>
      <c r="B8818" t="s">
        <v>238</v>
      </c>
      <c r="C8818" s="2">
        <v>0.97040000000000004</v>
      </c>
      <c r="D8818" s="2">
        <v>2.9499999999999998E-2</v>
      </c>
      <c r="F8818" s="2">
        <v>1E-4</v>
      </c>
      <c r="G8818">
        <v>990</v>
      </c>
    </row>
    <row r="8819" spans="1:7" x14ac:dyDescent="0.35">
      <c r="A8819" t="s">
        <v>227</v>
      </c>
      <c r="B8819" t="s">
        <v>237</v>
      </c>
      <c r="C8819" s="2">
        <v>0.93630000000000002</v>
      </c>
      <c r="D8819" s="2">
        <v>6.0999999999999999E-2</v>
      </c>
      <c r="E8819" s="2">
        <v>2.7000000000000001E-3</v>
      </c>
      <c r="G8819">
        <v>1793</v>
      </c>
    </row>
    <row r="8820" spans="1:7" x14ac:dyDescent="0.35">
      <c r="A8820" t="s">
        <v>228</v>
      </c>
      <c r="B8820" t="s">
        <v>228</v>
      </c>
      <c r="C8820" s="2">
        <v>0.94869999999999999</v>
      </c>
      <c r="D8820" s="2">
        <v>4.9500000000000002E-2</v>
      </c>
      <c r="E8820" s="2">
        <v>1.6999999999999999E-3</v>
      </c>
      <c r="F8820" s="2">
        <v>0</v>
      </c>
      <c r="G8820">
        <v>2783</v>
      </c>
    </row>
    <row r="8822" spans="1:7" x14ac:dyDescent="0.35">
      <c r="A8822" s="1" t="s">
        <v>2151</v>
      </c>
    </row>
    <row r="8823" spans="1:7" x14ac:dyDescent="0.35">
      <c r="A8823" t="s">
        <v>219</v>
      </c>
      <c r="B8823" t="s">
        <v>301</v>
      </c>
      <c r="C8823" t="s">
        <v>298</v>
      </c>
      <c r="D8823" t="s">
        <v>299</v>
      </c>
      <c r="E8823" t="s">
        <v>277</v>
      </c>
      <c r="F8823" t="s">
        <v>282</v>
      </c>
      <c r="G8823" t="s">
        <v>226</v>
      </c>
    </row>
    <row r="8824" spans="1:7" x14ac:dyDescent="0.35">
      <c r="A8824" t="s">
        <v>227</v>
      </c>
      <c r="B8824" t="s">
        <v>235</v>
      </c>
      <c r="C8824" s="2">
        <v>0.96330000000000005</v>
      </c>
      <c r="D8824" s="2">
        <v>3.6499999999999998E-2</v>
      </c>
      <c r="F8824" s="2">
        <v>2.0000000000000001E-4</v>
      </c>
      <c r="G8824">
        <v>982</v>
      </c>
    </row>
    <row r="8825" spans="1:7" x14ac:dyDescent="0.35">
      <c r="A8825" t="s">
        <v>227</v>
      </c>
      <c r="B8825" t="s">
        <v>234</v>
      </c>
      <c r="C8825" s="2">
        <v>0.94259999999999999</v>
      </c>
      <c r="D8825" s="2">
        <v>5.5E-2</v>
      </c>
      <c r="E8825" s="2">
        <v>2.3999999999999998E-3</v>
      </c>
      <c r="G8825">
        <v>1801</v>
      </c>
    </row>
    <row r="8826" spans="1:7" x14ac:dyDescent="0.35">
      <c r="A8826" t="s">
        <v>228</v>
      </c>
      <c r="B8826" t="s">
        <v>228</v>
      </c>
      <c r="C8826" s="2">
        <v>0.94869999999999999</v>
      </c>
      <c r="D8826" s="2">
        <v>4.9500000000000002E-2</v>
      </c>
      <c r="E8826" s="2">
        <v>1.6999999999999999E-3</v>
      </c>
      <c r="F8826" s="2">
        <v>0</v>
      </c>
      <c r="G8826">
        <v>2783</v>
      </c>
    </row>
    <row r="8828" spans="1:7" x14ac:dyDescent="0.35">
      <c r="A8828" s="1" t="s">
        <v>2152</v>
      </c>
    </row>
    <row r="8829" spans="1:7" x14ac:dyDescent="0.35">
      <c r="A8829" t="s">
        <v>219</v>
      </c>
      <c r="B8829" t="s">
        <v>301</v>
      </c>
      <c r="C8829" t="s">
        <v>298</v>
      </c>
      <c r="D8829" t="s">
        <v>299</v>
      </c>
      <c r="E8829" t="s">
        <v>277</v>
      </c>
      <c r="F8829" t="s">
        <v>282</v>
      </c>
      <c r="G8829" t="s">
        <v>226</v>
      </c>
    </row>
    <row r="8830" spans="1:7" x14ac:dyDescent="0.35">
      <c r="A8830" t="s">
        <v>227</v>
      </c>
      <c r="B8830" t="s">
        <v>240</v>
      </c>
      <c r="C8830" s="2">
        <v>0.96140000000000003</v>
      </c>
      <c r="D8830" s="2">
        <v>3.5900000000000001E-2</v>
      </c>
      <c r="E8830" s="2">
        <v>2.5999999999999999E-3</v>
      </c>
      <c r="G8830">
        <v>1741</v>
      </c>
    </row>
    <row r="8831" spans="1:7" x14ac:dyDescent="0.35">
      <c r="A8831" t="s">
        <v>227</v>
      </c>
      <c r="B8831" t="s">
        <v>241</v>
      </c>
      <c r="C8831" s="2">
        <v>0.91469999999999996</v>
      </c>
      <c r="D8831" s="2">
        <v>8.5099999999999995E-2</v>
      </c>
      <c r="E8831" s="2">
        <v>1E-4</v>
      </c>
      <c r="F8831" s="2">
        <v>2.0000000000000001E-4</v>
      </c>
      <c r="G8831">
        <v>876</v>
      </c>
    </row>
    <row r="8832" spans="1:7" x14ac:dyDescent="0.35">
      <c r="A8832" t="s">
        <v>227</v>
      </c>
      <c r="B8832" t="s">
        <v>242</v>
      </c>
      <c r="C8832" s="2">
        <v>0.97440000000000004</v>
      </c>
      <c r="D8832" s="2">
        <v>2.5600000000000001E-2</v>
      </c>
      <c r="G8832">
        <v>166</v>
      </c>
    </row>
    <row r="8833" spans="1:7" x14ac:dyDescent="0.35">
      <c r="A8833" t="s">
        <v>228</v>
      </c>
      <c r="B8833" t="s">
        <v>228</v>
      </c>
      <c r="C8833" s="2">
        <v>0.94869999999999999</v>
      </c>
      <c r="D8833" s="2">
        <v>4.9500000000000002E-2</v>
      </c>
      <c r="E8833" s="2">
        <v>1.6999999999999999E-3</v>
      </c>
      <c r="F8833" s="2">
        <v>0</v>
      </c>
      <c r="G8833">
        <v>2783</v>
      </c>
    </row>
    <row r="8835" spans="1:7" x14ac:dyDescent="0.35">
      <c r="A8835" s="1" t="s">
        <v>2153</v>
      </c>
    </row>
    <row r="8836" spans="1:7" x14ac:dyDescent="0.35">
      <c r="A8836" t="s">
        <v>219</v>
      </c>
      <c r="B8836" t="s">
        <v>301</v>
      </c>
      <c r="C8836" t="s">
        <v>298</v>
      </c>
      <c r="D8836" t="s">
        <v>299</v>
      </c>
      <c r="E8836" t="s">
        <v>277</v>
      </c>
      <c r="F8836" t="s">
        <v>282</v>
      </c>
      <c r="G8836" t="s">
        <v>226</v>
      </c>
    </row>
    <row r="8837" spans="1:7" x14ac:dyDescent="0.35">
      <c r="A8837" t="s">
        <v>227</v>
      </c>
      <c r="B8837" t="s">
        <v>334</v>
      </c>
      <c r="C8837" s="2">
        <v>0.94850000000000001</v>
      </c>
      <c r="D8837" s="2">
        <v>4.3200000000000002E-2</v>
      </c>
      <c r="E8837" s="2">
        <v>8.3000000000000001E-3</v>
      </c>
      <c r="G8837">
        <v>612</v>
      </c>
    </row>
    <row r="8838" spans="1:7" x14ac:dyDescent="0.35">
      <c r="A8838" t="s">
        <v>227</v>
      </c>
      <c r="B8838" t="s">
        <v>335</v>
      </c>
      <c r="C8838" s="2">
        <v>0.94789999999999996</v>
      </c>
      <c r="D8838" s="2">
        <v>5.21E-2</v>
      </c>
      <c r="G8838">
        <v>625</v>
      </c>
    </row>
    <row r="8839" spans="1:7" x14ac:dyDescent="0.35">
      <c r="A8839" t="s">
        <v>227</v>
      </c>
      <c r="B8839" t="s">
        <v>336</v>
      </c>
      <c r="C8839" s="2">
        <v>0.94579999999999997</v>
      </c>
      <c r="D8839" s="2">
        <v>5.3900000000000003E-2</v>
      </c>
      <c r="F8839" s="2">
        <v>2.0000000000000001E-4</v>
      </c>
      <c r="G8839">
        <v>616</v>
      </c>
    </row>
    <row r="8840" spans="1:7" x14ac:dyDescent="0.35">
      <c r="A8840" t="s">
        <v>227</v>
      </c>
      <c r="B8840" t="s">
        <v>337</v>
      </c>
      <c r="C8840" s="2">
        <v>0.94779999999999998</v>
      </c>
      <c r="D8840" s="2">
        <v>5.21E-2</v>
      </c>
      <c r="E8840" s="2">
        <v>1E-4</v>
      </c>
      <c r="G8840">
        <v>599</v>
      </c>
    </row>
    <row r="8841" spans="1:7" x14ac:dyDescent="0.35">
      <c r="A8841" t="s">
        <v>228</v>
      </c>
      <c r="B8841" t="s">
        <v>228</v>
      </c>
      <c r="C8841" s="2">
        <v>0.94869999999999999</v>
      </c>
      <c r="D8841" s="2">
        <v>4.9500000000000002E-2</v>
      </c>
      <c r="E8841" s="2">
        <v>1.6999999999999999E-3</v>
      </c>
      <c r="F8841" s="2">
        <v>0</v>
      </c>
      <c r="G8841">
        <v>2452</v>
      </c>
    </row>
    <row r="8843" spans="1:7" x14ac:dyDescent="0.35">
      <c r="A8843" s="1" t="s">
        <v>2154</v>
      </c>
    </row>
    <row r="8844" spans="1:7" x14ac:dyDescent="0.35">
      <c r="A8844" t="s">
        <v>219</v>
      </c>
      <c r="B8844" t="s">
        <v>301</v>
      </c>
      <c r="C8844" t="s">
        <v>298</v>
      </c>
      <c r="D8844" t="s">
        <v>299</v>
      </c>
      <c r="E8844" t="s">
        <v>277</v>
      </c>
      <c r="F8844" t="s">
        <v>282</v>
      </c>
      <c r="G8844" t="s">
        <v>226</v>
      </c>
    </row>
    <row r="8845" spans="1:7" x14ac:dyDescent="0.35">
      <c r="A8845" t="s">
        <v>227</v>
      </c>
      <c r="B8845" t="s">
        <v>263</v>
      </c>
      <c r="C8845" s="2">
        <v>0.92989999999999995</v>
      </c>
      <c r="D8845" s="2">
        <v>6.9900000000000004E-2</v>
      </c>
      <c r="F8845" s="2">
        <v>2.0000000000000001E-4</v>
      </c>
      <c r="G8845">
        <v>584</v>
      </c>
    </row>
    <row r="8846" spans="1:7" x14ac:dyDescent="0.35">
      <c r="A8846" t="s">
        <v>227</v>
      </c>
      <c r="B8846" t="s">
        <v>262</v>
      </c>
      <c r="C8846" s="2">
        <v>0.94769999999999999</v>
      </c>
      <c r="D8846" s="2">
        <v>5.2200000000000003E-2</v>
      </c>
      <c r="E8846" s="2">
        <v>1E-4</v>
      </c>
      <c r="G8846">
        <v>1147</v>
      </c>
    </row>
    <row r="8847" spans="1:7" x14ac:dyDescent="0.35">
      <c r="A8847" t="s">
        <v>227</v>
      </c>
      <c r="B8847" t="s">
        <v>261</v>
      </c>
      <c r="C8847" s="2">
        <v>0.95850000000000002</v>
      </c>
      <c r="D8847" s="2">
        <v>3.7499999999999999E-2</v>
      </c>
      <c r="E8847" s="2">
        <v>4.0000000000000001E-3</v>
      </c>
      <c r="G8847">
        <v>1050</v>
      </c>
    </row>
    <row r="8848" spans="1:7" x14ac:dyDescent="0.35">
      <c r="A8848" s="3" t="s">
        <v>227</v>
      </c>
      <c r="B8848" s="3" t="s">
        <v>232</v>
      </c>
      <c r="C8848" s="4">
        <v>1</v>
      </c>
      <c r="D8848" s="5"/>
      <c r="E8848" s="5"/>
      <c r="F8848" s="5"/>
      <c r="G8848" s="5" t="s">
        <v>434</v>
      </c>
    </row>
    <row r="8849" spans="1:7" x14ac:dyDescent="0.35">
      <c r="A8849" t="s">
        <v>228</v>
      </c>
      <c r="B8849" t="s">
        <v>228</v>
      </c>
      <c r="C8849" s="2">
        <v>0.94869999999999999</v>
      </c>
      <c r="D8849" s="2">
        <v>4.9500000000000002E-2</v>
      </c>
      <c r="E8849" s="2">
        <v>1.6999999999999999E-3</v>
      </c>
      <c r="F8849" s="2">
        <v>0</v>
      </c>
      <c r="G8849">
        <v>2783</v>
      </c>
    </row>
    <row r="8851" spans="1:7" x14ac:dyDescent="0.35">
      <c r="A8851" s="1" t="s">
        <v>2155</v>
      </c>
    </row>
    <row r="8852" spans="1:7" x14ac:dyDescent="0.35">
      <c r="A8852" t="s">
        <v>219</v>
      </c>
      <c r="B8852" t="s">
        <v>301</v>
      </c>
      <c r="C8852" t="s">
        <v>298</v>
      </c>
      <c r="D8852" t="s">
        <v>299</v>
      </c>
      <c r="E8852" t="s">
        <v>277</v>
      </c>
      <c r="F8852" t="s">
        <v>282</v>
      </c>
      <c r="G8852" t="s">
        <v>226</v>
      </c>
    </row>
    <row r="8853" spans="1:7" x14ac:dyDescent="0.35">
      <c r="A8853" t="s">
        <v>227</v>
      </c>
      <c r="B8853" t="s">
        <v>248</v>
      </c>
      <c r="C8853" s="2">
        <v>0.93989999999999996</v>
      </c>
      <c r="D8853" s="2">
        <v>5.9900000000000002E-2</v>
      </c>
      <c r="F8853" s="2">
        <v>2.0000000000000001E-4</v>
      </c>
      <c r="G8853">
        <v>782</v>
      </c>
    </row>
    <row r="8854" spans="1:7" x14ac:dyDescent="0.35">
      <c r="A8854" t="s">
        <v>227</v>
      </c>
      <c r="B8854" t="s">
        <v>249</v>
      </c>
      <c r="C8854" s="2">
        <v>0.98109999999999997</v>
      </c>
      <c r="D8854" s="2">
        <v>1.89E-2</v>
      </c>
      <c r="G8854">
        <v>535</v>
      </c>
    </row>
    <row r="8855" spans="1:7" x14ac:dyDescent="0.35">
      <c r="A8855" t="s">
        <v>227</v>
      </c>
      <c r="B8855" t="s">
        <v>247</v>
      </c>
      <c r="C8855" s="2">
        <v>0.94140000000000001</v>
      </c>
      <c r="D8855" s="2">
        <v>5.5399999999999998E-2</v>
      </c>
      <c r="E8855" s="2">
        <v>3.2000000000000002E-3</v>
      </c>
      <c r="G8855">
        <v>1466</v>
      </c>
    </row>
    <row r="8856" spans="1:7" x14ac:dyDescent="0.35">
      <c r="A8856" t="s">
        <v>228</v>
      </c>
      <c r="B8856" t="s">
        <v>228</v>
      </c>
      <c r="C8856" s="2">
        <v>0.94869999999999999</v>
      </c>
      <c r="D8856" s="2">
        <v>4.9500000000000002E-2</v>
      </c>
      <c r="E8856" s="2">
        <v>1.6999999999999999E-3</v>
      </c>
      <c r="F8856" s="2">
        <v>0</v>
      </c>
      <c r="G8856">
        <v>2783</v>
      </c>
    </row>
    <row r="8858" spans="1:7" x14ac:dyDescent="0.35">
      <c r="A8858" s="1" t="s">
        <v>2156</v>
      </c>
    </row>
    <row r="8859" spans="1:7" x14ac:dyDescent="0.35">
      <c r="A8859" t="s">
        <v>219</v>
      </c>
      <c r="B8859" t="s">
        <v>301</v>
      </c>
      <c r="C8859" t="s">
        <v>298</v>
      </c>
      <c r="D8859" t="s">
        <v>299</v>
      </c>
      <c r="E8859" t="s">
        <v>277</v>
      </c>
      <c r="F8859" t="s">
        <v>282</v>
      </c>
      <c r="G8859" t="s">
        <v>226</v>
      </c>
    </row>
    <row r="8860" spans="1:7" x14ac:dyDescent="0.35">
      <c r="A8860" t="s">
        <v>227</v>
      </c>
      <c r="B8860" t="s">
        <v>245</v>
      </c>
      <c r="C8860" s="2">
        <v>0.96499999999999997</v>
      </c>
      <c r="D8860" s="2">
        <v>2.9100000000000001E-2</v>
      </c>
      <c r="E8860" s="2">
        <v>5.8999999999999999E-3</v>
      </c>
      <c r="G8860">
        <v>779</v>
      </c>
    </row>
    <row r="8861" spans="1:7" x14ac:dyDescent="0.35">
      <c r="A8861" t="s">
        <v>227</v>
      </c>
      <c r="B8861" t="s">
        <v>244</v>
      </c>
      <c r="C8861" s="2">
        <v>0.94210000000000005</v>
      </c>
      <c r="D8861" s="2">
        <v>5.7799999999999997E-2</v>
      </c>
      <c r="E8861" s="2">
        <v>0</v>
      </c>
      <c r="F8861" s="2">
        <v>1E-4</v>
      </c>
      <c r="G8861">
        <v>2004</v>
      </c>
    </row>
    <row r="8862" spans="1:7" x14ac:dyDescent="0.35">
      <c r="A8862" t="s">
        <v>228</v>
      </c>
      <c r="B8862" t="s">
        <v>228</v>
      </c>
      <c r="C8862" s="2">
        <v>0.94869999999999999</v>
      </c>
      <c r="D8862" s="2">
        <v>4.9500000000000002E-2</v>
      </c>
      <c r="E8862" s="2">
        <v>1.6999999999999999E-3</v>
      </c>
      <c r="F8862" s="2">
        <v>0</v>
      </c>
      <c r="G8862">
        <v>2783</v>
      </c>
    </row>
    <row r="8864" spans="1:7" x14ac:dyDescent="0.35">
      <c r="A8864" s="1" t="s">
        <v>2157</v>
      </c>
    </row>
    <row r="8865" spans="1:7" x14ac:dyDescent="0.35">
      <c r="A8865" t="s">
        <v>219</v>
      </c>
      <c r="B8865" t="s">
        <v>301</v>
      </c>
      <c r="C8865" t="s">
        <v>298</v>
      </c>
      <c r="D8865" t="s">
        <v>299</v>
      </c>
      <c r="E8865" t="s">
        <v>277</v>
      </c>
      <c r="F8865" t="s">
        <v>282</v>
      </c>
      <c r="G8865" t="s">
        <v>226</v>
      </c>
    </row>
    <row r="8866" spans="1:7" x14ac:dyDescent="0.35">
      <c r="A8866" t="s">
        <v>227</v>
      </c>
      <c r="B8866" t="s">
        <v>259</v>
      </c>
      <c r="C8866" s="2">
        <v>0.99590000000000001</v>
      </c>
      <c r="D8866" s="2">
        <v>4.1000000000000003E-3</v>
      </c>
      <c r="G8866">
        <v>69</v>
      </c>
    </row>
    <row r="8867" spans="1:7" x14ac:dyDescent="0.35">
      <c r="A8867" t="s">
        <v>227</v>
      </c>
      <c r="B8867" t="s">
        <v>257</v>
      </c>
      <c r="C8867" s="2">
        <v>0.83299999999999996</v>
      </c>
      <c r="D8867" s="2">
        <v>0.16669999999999999</v>
      </c>
      <c r="F8867" s="2">
        <v>2.9999999999999997E-4</v>
      </c>
      <c r="G8867">
        <v>400</v>
      </c>
    </row>
    <row r="8868" spans="1:7" x14ac:dyDescent="0.35">
      <c r="A8868" t="s">
        <v>227</v>
      </c>
      <c r="B8868" t="s">
        <v>256</v>
      </c>
      <c r="C8868" s="2">
        <v>0.97750000000000004</v>
      </c>
      <c r="D8868" s="2">
        <v>1.9900000000000001E-2</v>
      </c>
      <c r="E8868" s="2">
        <v>2.5999999999999999E-3</v>
      </c>
      <c r="G8868">
        <v>1783</v>
      </c>
    </row>
    <row r="8869" spans="1:7" x14ac:dyDescent="0.35">
      <c r="A8869" s="3" t="s">
        <v>227</v>
      </c>
      <c r="B8869" s="3" t="s">
        <v>232</v>
      </c>
      <c r="C8869" s="4">
        <v>1</v>
      </c>
      <c r="D8869" s="5"/>
      <c r="E8869" s="5"/>
      <c r="F8869" s="5"/>
      <c r="G8869" s="5" t="s">
        <v>307</v>
      </c>
    </row>
    <row r="8870" spans="1:7" x14ac:dyDescent="0.35">
      <c r="A8870" t="s">
        <v>227</v>
      </c>
      <c r="B8870" t="s">
        <v>258</v>
      </c>
      <c r="C8870" s="2">
        <v>0.94750000000000001</v>
      </c>
      <c r="D8870" s="2">
        <v>5.2499999999999998E-2</v>
      </c>
      <c r="G8870">
        <v>520</v>
      </c>
    </row>
    <row r="8871" spans="1:7" x14ac:dyDescent="0.35">
      <c r="A8871" t="s">
        <v>228</v>
      </c>
      <c r="B8871" t="s">
        <v>228</v>
      </c>
      <c r="C8871" s="2">
        <v>0.94869999999999999</v>
      </c>
      <c r="D8871" s="2">
        <v>4.9500000000000002E-2</v>
      </c>
      <c r="E8871" s="2">
        <v>1.6999999999999999E-3</v>
      </c>
      <c r="F8871" s="2">
        <v>0</v>
      </c>
      <c r="G8871">
        <v>2783</v>
      </c>
    </row>
    <row r="8873" spans="1:7" x14ac:dyDescent="0.35">
      <c r="A8873" s="1" t="s">
        <v>2158</v>
      </c>
    </row>
    <row r="8874" spans="1:7" x14ac:dyDescent="0.35">
      <c r="A8874" t="s">
        <v>219</v>
      </c>
      <c r="B8874" t="s">
        <v>301</v>
      </c>
      <c r="C8874" t="s">
        <v>298</v>
      </c>
      <c r="D8874" t="s">
        <v>299</v>
      </c>
      <c r="E8874" t="s">
        <v>277</v>
      </c>
      <c r="F8874" t="s">
        <v>282</v>
      </c>
      <c r="G8874" t="s">
        <v>226</v>
      </c>
    </row>
    <row r="8875" spans="1:7" x14ac:dyDescent="0.35">
      <c r="A8875" t="s">
        <v>227</v>
      </c>
      <c r="B8875" t="s">
        <v>343</v>
      </c>
      <c r="C8875" s="2">
        <v>0.83299999999999996</v>
      </c>
      <c r="D8875" s="2">
        <v>0.16669999999999999</v>
      </c>
      <c r="F8875" s="2">
        <v>2.9999999999999997E-4</v>
      </c>
      <c r="G8875">
        <v>400</v>
      </c>
    </row>
    <row r="8876" spans="1:7" x14ac:dyDescent="0.35">
      <c r="A8876" t="s">
        <v>227</v>
      </c>
      <c r="B8876" t="s">
        <v>344</v>
      </c>
      <c r="C8876" s="2">
        <v>0.97250000000000003</v>
      </c>
      <c r="D8876" s="2">
        <v>2.5399999999999999E-2</v>
      </c>
      <c r="E8876" s="2">
        <v>2.0999999999999999E-3</v>
      </c>
      <c r="G8876">
        <v>2383</v>
      </c>
    </row>
    <row r="8877" spans="1:7" x14ac:dyDescent="0.35">
      <c r="A8877" t="s">
        <v>228</v>
      </c>
      <c r="B8877" t="s">
        <v>228</v>
      </c>
      <c r="C8877" s="2">
        <v>0.94869999999999999</v>
      </c>
      <c r="D8877" s="2">
        <v>4.9500000000000002E-2</v>
      </c>
      <c r="E8877" s="2">
        <v>1.6999999999999999E-3</v>
      </c>
      <c r="F8877" s="2">
        <v>0</v>
      </c>
      <c r="G8877">
        <v>2783</v>
      </c>
    </row>
    <row r="8879" spans="1:7" x14ac:dyDescent="0.35">
      <c r="A8879" s="1" t="s">
        <v>2159</v>
      </c>
    </row>
    <row r="8880" spans="1:7" x14ac:dyDescent="0.35">
      <c r="A8880" t="s">
        <v>219</v>
      </c>
      <c r="B8880" t="s">
        <v>301</v>
      </c>
      <c r="C8880" t="s">
        <v>298</v>
      </c>
      <c r="D8880" t="s">
        <v>299</v>
      </c>
      <c r="E8880" t="s">
        <v>277</v>
      </c>
      <c r="F8880" t="s">
        <v>282</v>
      </c>
      <c r="G8880" t="s">
        <v>226</v>
      </c>
    </row>
    <row r="8881" spans="1:7" x14ac:dyDescent="0.35">
      <c r="A8881" t="s">
        <v>227</v>
      </c>
      <c r="B8881" t="s">
        <v>346</v>
      </c>
      <c r="C8881" s="2">
        <v>0.94550000000000001</v>
      </c>
      <c r="D8881" s="2">
        <v>5.2499999999999998E-2</v>
      </c>
      <c r="E8881" s="2">
        <v>2E-3</v>
      </c>
      <c r="G8881">
        <v>1447</v>
      </c>
    </row>
    <row r="8882" spans="1:7" x14ac:dyDescent="0.35">
      <c r="A8882" t="s">
        <v>227</v>
      </c>
      <c r="B8882" t="s">
        <v>347</v>
      </c>
      <c r="C8882" s="2">
        <v>0.96540000000000004</v>
      </c>
      <c r="D8882" s="2">
        <v>3.39E-2</v>
      </c>
      <c r="E8882" s="2">
        <v>8.0000000000000004E-4</v>
      </c>
      <c r="G8882">
        <v>578</v>
      </c>
    </row>
    <row r="8883" spans="1:7" x14ac:dyDescent="0.35">
      <c r="A8883" t="s">
        <v>227</v>
      </c>
      <c r="B8883" t="s">
        <v>348</v>
      </c>
      <c r="C8883" s="2">
        <v>0.97070000000000001</v>
      </c>
      <c r="D8883" s="2">
        <v>2.8799999999999999E-2</v>
      </c>
      <c r="F8883" s="2">
        <v>5.0000000000000001E-4</v>
      </c>
      <c r="G8883">
        <v>758</v>
      </c>
    </row>
    <row r="8884" spans="1:7" x14ac:dyDescent="0.35">
      <c r="A8884" t="s">
        <v>228</v>
      </c>
      <c r="B8884" t="s">
        <v>228</v>
      </c>
      <c r="C8884" s="2">
        <v>0.94869999999999999</v>
      </c>
      <c r="D8884" s="2">
        <v>4.9500000000000002E-2</v>
      </c>
      <c r="E8884" s="2">
        <v>1.6999999999999999E-3</v>
      </c>
      <c r="F8884" s="2">
        <v>0</v>
      </c>
      <c r="G8884">
        <v>2783</v>
      </c>
    </row>
    <row r="8886" spans="1:7" x14ac:dyDescent="0.35">
      <c r="A8886" s="1" t="s">
        <v>2160</v>
      </c>
    </row>
    <row r="8887" spans="1:7" x14ac:dyDescent="0.35">
      <c r="A8887" t="s">
        <v>219</v>
      </c>
      <c r="B8887" t="s">
        <v>301</v>
      </c>
      <c r="C8887" t="s">
        <v>298</v>
      </c>
      <c r="D8887" t="s">
        <v>299</v>
      </c>
      <c r="E8887" t="s">
        <v>277</v>
      </c>
      <c r="F8887" t="s">
        <v>282</v>
      </c>
      <c r="G8887" t="s">
        <v>226</v>
      </c>
    </row>
    <row r="8888" spans="1:7" x14ac:dyDescent="0.35">
      <c r="A8888" t="s">
        <v>227</v>
      </c>
      <c r="B8888" t="s">
        <v>251</v>
      </c>
      <c r="C8888" s="2">
        <v>0.94210000000000005</v>
      </c>
      <c r="D8888" s="2">
        <v>5.7799999999999997E-2</v>
      </c>
      <c r="E8888" s="2">
        <v>0</v>
      </c>
      <c r="F8888" s="2">
        <v>1E-4</v>
      </c>
      <c r="G8888">
        <v>2004</v>
      </c>
    </row>
    <row r="8889" spans="1:7" x14ac:dyDescent="0.35">
      <c r="A8889" t="s">
        <v>227</v>
      </c>
      <c r="B8889" t="s">
        <v>252</v>
      </c>
      <c r="C8889" s="2">
        <v>0.97340000000000004</v>
      </c>
      <c r="D8889" s="2">
        <v>1.9300000000000001E-2</v>
      </c>
      <c r="E8889" s="2">
        <v>7.3000000000000001E-3</v>
      </c>
      <c r="G8889">
        <v>617</v>
      </c>
    </row>
    <row r="8890" spans="1:7" x14ac:dyDescent="0.35">
      <c r="A8890" t="s">
        <v>227</v>
      </c>
      <c r="B8890" t="s">
        <v>253</v>
      </c>
      <c r="C8890" s="2">
        <v>0.9274</v>
      </c>
      <c r="D8890" s="2">
        <v>7.2599999999999998E-2</v>
      </c>
      <c r="G8890">
        <v>153</v>
      </c>
    </row>
    <row r="8891" spans="1:7" x14ac:dyDescent="0.35">
      <c r="A8891" s="3" t="s">
        <v>227</v>
      </c>
      <c r="B8891" s="3" t="s">
        <v>254</v>
      </c>
      <c r="C8891" s="4">
        <v>1</v>
      </c>
      <c r="D8891" s="5"/>
      <c r="E8891" s="5"/>
      <c r="F8891" s="5"/>
      <c r="G8891" s="5" t="s">
        <v>515</v>
      </c>
    </row>
    <row r="8892" spans="1:7" x14ac:dyDescent="0.35">
      <c r="A8892" t="s">
        <v>228</v>
      </c>
      <c r="B8892" t="s">
        <v>228</v>
      </c>
      <c r="C8892" s="2">
        <v>0.94869999999999999</v>
      </c>
      <c r="D8892" s="2">
        <v>4.9500000000000002E-2</v>
      </c>
      <c r="E8892" s="2">
        <v>1.6999999999999999E-3</v>
      </c>
      <c r="F8892" s="2">
        <v>0</v>
      </c>
      <c r="G8892">
        <v>2783</v>
      </c>
    </row>
    <row r="8894" spans="1:7" x14ac:dyDescent="0.35">
      <c r="A8894" s="1" t="s">
        <v>2161</v>
      </c>
    </row>
    <row r="8895" spans="1:7" x14ac:dyDescent="0.35">
      <c r="A8895" t="s">
        <v>219</v>
      </c>
      <c r="B8895" t="s">
        <v>524</v>
      </c>
      <c r="C8895" t="s">
        <v>525</v>
      </c>
      <c r="D8895" t="s">
        <v>526</v>
      </c>
      <c r="E8895" t="s">
        <v>527</v>
      </c>
      <c r="F8895" t="s">
        <v>226</v>
      </c>
    </row>
    <row r="8896" spans="1:7" x14ac:dyDescent="0.35">
      <c r="A8896" t="s">
        <v>227</v>
      </c>
      <c r="B8896">
        <v>4.47</v>
      </c>
      <c r="C8896">
        <v>3</v>
      </c>
      <c r="D8896">
        <v>1</v>
      </c>
      <c r="E8896">
        <v>35</v>
      </c>
      <c r="F8896">
        <v>78</v>
      </c>
    </row>
    <row r="8897" spans="1:7" x14ac:dyDescent="0.35">
      <c r="A8897" t="s">
        <v>228</v>
      </c>
      <c r="B8897">
        <v>4.47</v>
      </c>
      <c r="C8897">
        <v>3</v>
      </c>
      <c r="D8897">
        <v>1</v>
      </c>
      <c r="E8897">
        <v>35</v>
      </c>
      <c r="F8897">
        <v>78</v>
      </c>
    </row>
    <row r="8899" spans="1:7" x14ac:dyDescent="0.35">
      <c r="A8899" s="1" t="s">
        <v>2162</v>
      </c>
    </row>
    <row r="8900" spans="1:7" x14ac:dyDescent="0.35">
      <c r="A8900" t="s">
        <v>219</v>
      </c>
      <c r="B8900" t="s">
        <v>301</v>
      </c>
      <c r="C8900" t="s">
        <v>524</v>
      </c>
      <c r="D8900" t="s">
        <v>525</v>
      </c>
      <c r="E8900" t="s">
        <v>526</v>
      </c>
      <c r="F8900" t="s">
        <v>527</v>
      </c>
      <c r="G8900" t="s">
        <v>226</v>
      </c>
    </row>
    <row r="8901" spans="1:7" x14ac:dyDescent="0.35">
      <c r="A8901" s="3" t="s">
        <v>227</v>
      </c>
      <c r="B8901" s="3" t="s">
        <v>238</v>
      </c>
      <c r="C8901" s="5">
        <v>3.59</v>
      </c>
      <c r="D8901" s="5">
        <v>2</v>
      </c>
      <c r="E8901" s="5">
        <v>1</v>
      </c>
      <c r="F8901" s="5">
        <v>35</v>
      </c>
      <c r="G8901" s="5">
        <v>27</v>
      </c>
    </row>
    <row r="8902" spans="1:7" x14ac:dyDescent="0.35">
      <c r="A8902" t="s">
        <v>227</v>
      </c>
      <c r="B8902" t="s">
        <v>237</v>
      </c>
      <c r="C8902">
        <v>4.71</v>
      </c>
      <c r="D8902">
        <v>3</v>
      </c>
      <c r="E8902">
        <v>1</v>
      </c>
      <c r="F8902">
        <v>24</v>
      </c>
      <c r="G8902">
        <v>51</v>
      </c>
    </row>
    <row r="8903" spans="1:7" x14ac:dyDescent="0.35">
      <c r="A8903" t="s">
        <v>228</v>
      </c>
      <c r="B8903" t="s">
        <v>228</v>
      </c>
      <c r="C8903">
        <v>4.47</v>
      </c>
      <c r="D8903">
        <v>3</v>
      </c>
      <c r="E8903">
        <v>1</v>
      </c>
      <c r="F8903">
        <v>35</v>
      </c>
      <c r="G8903">
        <v>78</v>
      </c>
    </row>
    <row r="8905" spans="1:7" x14ac:dyDescent="0.35">
      <c r="A8905" s="1" t="s">
        <v>2163</v>
      </c>
    </row>
    <row r="8906" spans="1:7" x14ac:dyDescent="0.35">
      <c r="A8906" t="s">
        <v>219</v>
      </c>
      <c r="B8906" t="s">
        <v>301</v>
      </c>
      <c r="C8906" t="s">
        <v>524</v>
      </c>
      <c r="D8906" t="s">
        <v>525</v>
      </c>
      <c r="E8906" t="s">
        <v>526</v>
      </c>
      <c r="F8906" t="s">
        <v>527</v>
      </c>
      <c r="G8906" t="s">
        <v>226</v>
      </c>
    </row>
    <row r="8907" spans="1:7" x14ac:dyDescent="0.35">
      <c r="A8907" s="3" t="s">
        <v>227</v>
      </c>
      <c r="B8907" s="3" t="s">
        <v>235</v>
      </c>
      <c r="C8907" s="5">
        <v>5.44</v>
      </c>
      <c r="D8907" s="5">
        <v>3</v>
      </c>
      <c r="E8907" s="5">
        <v>2</v>
      </c>
      <c r="F8907" s="5">
        <v>24</v>
      </c>
      <c r="G8907" s="5">
        <v>25</v>
      </c>
    </row>
    <row r="8908" spans="1:7" x14ac:dyDescent="0.35">
      <c r="A8908" t="s">
        <v>227</v>
      </c>
      <c r="B8908" t="s">
        <v>234</v>
      </c>
      <c r="C8908">
        <v>4.1900000000000004</v>
      </c>
      <c r="D8908">
        <v>3</v>
      </c>
      <c r="E8908">
        <v>1</v>
      </c>
      <c r="F8908">
        <v>35</v>
      </c>
      <c r="G8908">
        <v>53</v>
      </c>
    </row>
    <row r="8909" spans="1:7" x14ac:dyDescent="0.35">
      <c r="A8909" t="s">
        <v>228</v>
      </c>
      <c r="B8909" t="s">
        <v>228</v>
      </c>
      <c r="C8909">
        <v>4.47</v>
      </c>
      <c r="D8909">
        <v>3</v>
      </c>
      <c r="E8909">
        <v>1</v>
      </c>
      <c r="F8909">
        <v>35</v>
      </c>
      <c r="G8909">
        <v>78</v>
      </c>
    </row>
    <row r="8911" spans="1:7" x14ac:dyDescent="0.35">
      <c r="A8911" s="1" t="s">
        <v>2164</v>
      </c>
    </row>
    <row r="8912" spans="1:7" x14ac:dyDescent="0.35">
      <c r="A8912" t="s">
        <v>219</v>
      </c>
      <c r="B8912" t="s">
        <v>301</v>
      </c>
      <c r="C8912" t="s">
        <v>524</v>
      </c>
      <c r="D8912" t="s">
        <v>525</v>
      </c>
      <c r="E8912" t="s">
        <v>526</v>
      </c>
      <c r="F8912" t="s">
        <v>527</v>
      </c>
      <c r="G8912" t="s">
        <v>226</v>
      </c>
    </row>
    <row r="8913" spans="1:7" x14ac:dyDescent="0.35">
      <c r="A8913" t="s">
        <v>227</v>
      </c>
      <c r="B8913" t="s">
        <v>240</v>
      </c>
      <c r="C8913">
        <v>3.7</v>
      </c>
      <c r="D8913">
        <v>2</v>
      </c>
      <c r="E8913">
        <v>1</v>
      </c>
      <c r="F8913">
        <v>35</v>
      </c>
      <c r="G8913">
        <v>39</v>
      </c>
    </row>
    <row r="8914" spans="1:7" x14ac:dyDescent="0.35">
      <c r="A8914" t="s">
        <v>227</v>
      </c>
      <c r="B8914" t="s">
        <v>241</v>
      </c>
      <c r="C8914">
        <v>5.3</v>
      </c>
      <c r="D8914">
        <v>4</v>
      </c>
      <c r="E8914">
        <v>1</v>
      </c>
      <c r="F8914">
        <v>15</v>
      </c>
      <c r="G8914">
        <v>37</v>
      </c>
    </row>
    <row r="8915" spans="1:7" x14ac:dyDescent="0.35">
      <c r="A8915" s="3" t="s">
        <v>227</v>
      </c>
      <c r="B8915" s="3" t="s">
        <v>242</v>
      </c>
      <c r="C8915" s="5">
        <v>3.31</v>
      </c>
      <c r="D8915" s="5">
        <v>3</v>
      </c>
      <c r="E8915" s="5">
        <v>3</v>
      </c>
      <c r="F8915" s="5">
        <v>7</v>
      </c>
      <c r="G8915" s="5">
        <v>2</v>
      </c>
    </row>
    <row r="8916" spans="1:7" x14ac:dyDescent="0.35">
      <c r="A8916" t="s">
        <v>228</v>
      </c>
      <c r="B8916" t="s">
        <v>228</v>
      </c>
      <c r="C8916">
        <v>4.47</v>
      </c>
      <c r="D8916">
        <v>3</v>
      </c>
      <c r="E8916">
        <v>1</v>
      </c>
      <c r="F8916">
        <v>35</v>
      </c>
      <c r="G8916">
        <v>78</v>
      </c>
    </row>
    <row r="8918" spans="1:7" x14ac:dyDescent="0.35">
      <c r="A8918" s="1" t="s">
        <v>2165</v>
      </c>
    </row>
    <row r="8919" spans="1:7" x14ac:dyDescent="0.35">
      <c r="A8919" t="s">
        <v>219</v>
      </c>
      <c r="B8919" t="s">
        <v>301</v>
      </c>
      <c r="C8919" t="s">
        <v>524</v>
      </c>
      <c r="D8919" t="s">
        <v>525</v>
      </c>
      <c r="E8919" t="s">
        <v>526</v>
      </c>
      <c r="F8919" t="s">
        <v>527</v>
      </c>
      <c r="G8919" t="s">
        <v>226</v>
      </c>
    </row>
    <row r="8920" spans="1:7" x14ac:dyDescent="0.35">
      <c r="A8920" s="3" t="s">
        <v>227</v>
      </c>
      <c r="B8920" s="3" t="s">
        <v>334</v>
      </c>
      <c r="C8920" s="5">
        <v>4.29</v>
      </c>
      <c r="D8920" s="5">
        <v>3</v>
      </c>
      <c r="E8920" s="5">
        <v>2</v>
      </c>
      <c r="F8920" s="5">
        <v>24</v>
      </c>
      <c r="G8920" s="5">
        <v>18</v>
      </c>
    </row>
    <row r="8921" spans="1:7" x14ac:dyDescent="0.35">
      <c r="A8921" s="3" t="s">
        <v>227</v>
      </c>
      <c r="B8921" s="3" t="s">
        <v>335</v>
      </c>
      <c r="C8921" s="5">
        <v>5.33</v>
      </c>
      <c r="D8921" s="5">
        <v>4</v>
      </c>
      <c r="E8921" s="5">
        <v>1</v>
      </c>
      <c r="F8921" s="5">
        <v>35</v>
      </c>
      <c r="G8921" s="5">
        <v>21</v>
      </c>
    </row>
    <row r="8922" spans="1:7" x14ac:dyDescent="0.35">
      <c r="A8922" s="3" t="s">
        <v>227</v>
      </c>
      <c r="B8922" s="3" t="s">
        <v>336</v>
      </c>
      <c r="C8922" s="5">
        <v>5.8</v>
      </c>
      <c r="D8922" s="5">
        <v>3</v>
      </c>
      <c r="E8922" s="5">
        <v>1</v>
      </c>
      <c r="F8922" s="5">
        <v>15</v>
      </c>
      <c r="G8922" s="5">
        <v>21</v>
      </c>
    </row>
    <row r="8923" spans="1:7" x14ac:dyDescent="0.35">
      <c r="A8923" s="3" t="s">
        <v>227</v>
      </c>
      <c r="B8923" s="3" t="s">
        <v>337</v>
      </c>
      <c r="C8923" s="5">
        <v>2.85</v>
      </c>
      <c r="D8923" s="5">
        <v>2</v>
      </c>
      <c r="E8923" s="5">
        <v>2</v>
      </c>
      <c r="F8923" s="5">
        <v>7</v>
      </c>
      <c r="G8923" s="5">
        <v>12</v>
      </c>
    </row>
    <row r="8924" spans="1:7" x14ac:dyDescent="0.35">
      <c r="A8924" t="s">
        <v>228</v>
      </c>
      <c r="B8924" t="s">
        <v>228</v>
      </c>
      <c r="C8924">
        <v>4.47</v>
      </c>
      <c r="D8924">
        <v>3</v>
      </c>
      <c r="E8924">
        <v>1</v>
      </c>
      <c r="F8924">
        <v>35</v>
      </c>
      <c r="G8924">
        <v>78</v>
      </c>
    </row>
    <row r="8926" spans="1:7" x14ac:dyDescent="0.35">
      <c r="A8926" s="1" t="s">
        <v>2166</v>
      </c>
    </row>
    <row r="8927" spans="1:7" x14ac:dyDescent="0.35">
      <c r="A8927" t="s">
        <v>219</v>
      </c>
      <c r="B8927" t="s">
        <v>301</v>
      </c>
      <c r="C8927" t="s">
        <v>524</v>
      </c>
      <c r="D8927" t="s">
        <v>525</v>
      </c>
      <c r="E8927" t="s">
        <v>526</v>
      </c>
      <c r="F8927" t="s">
        <v>527</v>
      </c>
      <c r="G8927" t="s">
        <v>226</v>
      </c>
    </row>
    <row r="8928" spans="1:7" x14ac:dyDescent="0.35">
      <c r="A8928" s="3" t="s">
        <v>227</v>
      </c>
      <c r="B8928" s="3" t="s">
        <v>263</v>
      </c>
      <c r="C8928" s="5">
        <v>4.54</v>
      </c>
      <c r="D8928" s="5">
        <v>3</v>
      </c>
      <c r="E8928" s="5">
        <v>1</v>
      </c>
      <c r="F8928" s="5">
        <v>24</v>
      </c>
      <c r="G8928" s="5">
        <v>18</v>
      </c>
    </row>
    <row r="8929" spans="1:7" x14ac:dyDescent="0.35">
      <c r="A8929" t="s">
        <v>227</v>
      </c>
      <c r="B8929" t="s">
        <v>262</v>
      </c>
      <c r="C8929">
        <v>5.99</v>
      </c>
      <c r="D8929">
        <v>4</v>
      </c>
      <c r="E8929">
        <v>1</v>
      </c>
      <c r="F8929">
        <v>35</v>
      </c>
      <c r="G8929">
        <v>37</v>
      </c>
    </row>
    <row r="8930" spans="1:7" x14ac:dyDescent="0.35">
      <c r="A8930" s="3" t="s">
        <v>227</v>
      </c>
      <c r="B8930" s="3" t="s">
        <v>261</v>
      </c>
      <c r="C8930" s="5">
        <v>2.62</v>
      </c>
      <c r="D8930" s="5">
        <v>2</v>
      </c>
      <c r="E8930" s="5">
        <v>1</v>
      </c>
      <c r="F8930" s="5">
        <v>24</v>
      </c>
      <c r="G8930" s="5">
        <v>23</v>
      </c>
    </row>
    <row r="8931" spans="1:7" x14ac:dyDescent="0.35">
      <c r="A8931" t="s">
        <v>228</v>
      </c>
      <c r="B8931" t="s">
        <v>228</v>
      </c>
      <c r="C8931">
        <v>4.47</v>
      </c>
      <c r="D8931">
        <v>3</v>
      </c>
      <c r="E8931">
        <v>1</v>
      </c>
      <c r="F8931">
        <v>35</v>
      </c>
      <c r="G8931">
        <v>78</v>
      </c>
    </row>
    <row r="8933" spans="1:7" x14ac:dyDescent="0.35">
      <c r="A8933" s="1" t="s">
        <v>2167</v>
      </c>
    </row>
    <row r="8934" spans="1:7" x14ac:dyDescent="0.35">
      <c r="A8934" t="s">
        <v>219</v>
      </c>
      <c r="B8934" t="s">
        <v>301</v>
      </c>
      <c r="C8934" t="s">
        <v>524</v>
      </c>
      <c r="D8934" t="s">
        <v>525</v>
      </c>
      <c r="E8934" t="s">
        <v>526</v>
      </c>
      <c r="F8934" t="s">
        <v>527</v>
      </c>
      <c r="G8934" t="s">
        <v>226</v>
      </c>
    </row>
    <row r="8935" spans="1:7" x14ac:dyDescent="0.35">
      <c r="A8935" t="s">
        <v>227</v>
      </c>
      <c r="B8935" t="s">
        <v>248</v>
      </c>
      <c r="C8935">
        <v>3.6</v>
      </c>
      <c r="D8935">
        <v>3</v>
      </c>
      <c r="E8935">
        <v>1</v>
      </c>
      <c r="F8935">
        <v>24</v>
      </c>
      <c r="G8935">
        <v>30</v>
      </c>
    </row>
    <row r="8936" spans="1:7" x14ac:dyDescent="0.35">
      <c r="A8936" s="3" t="s">
        <v>227</v>
      </c>
      <c r="B8936" s="3" t="s">
        <v>249</v>
      </c>
      <c r="C8936" s="5">
        <v>3.26</v>
      </c>
      <c r="D8936" s="5">
        <v>2</v>
      </c>
      <c r="E8936" s="5">
        <v>2</v>
      </c>
      <c r="F8936" s="5">
        <v>5</v>
      </c>
      <c r="G8936" s="5">
        <v>7</v>
      </c>
    </row>
    <row r="8937" spans="1:7" x14ac:dyDescent="0.35">
      <c r="A8937" t="s">
        <v>227</v>
      </c>
      <c r="B8937" t="s">
        <v>247</v>
      </c>
      <c r="C8937">
        <v>5.14</v>
      </c>
      <c r="D8937">
        <v>3</v>
      </c>
      <c r="E8937">
        <v>1</v>
      </c>
      <c r="F8937">
        <v>35</v>
      </c>
      <c r="G8937">
        <v>41</v>
      </c>
    </row>
    <row r="8938" spans="1:7" x14ac:dyDescent="0.35">
      <c r="A8938" t="s">
        <v>228</v>
      </c>
      <c r="B8938" t="s">
        <v>228</v>
      </c>
      <c r="C8938">
        <v>4.47</v>
      </c>
      <c r="D8938">
        <v>3</v>
      </c>
      <c r="E8938">
        <v>1</v>
      </c>
      <c r="F8938">
        <v>35</v>
      </c>
      <c r="G8938">
        <v>78</v>
      </c>
    </row>
    <row r="8940" spans="1:7" x14ac:dyDescent="0.35">
      <c r="A8940" s="1" t="s">
        <v>2168</v>
      </c>
    </row>
    <row r="8941" spans="1:7" x14ac:dyDescent="0.35">
      <c r="A8941" t="s">
        <v>219</v>
      </c>
      <c r="B8941" t="s">
        <v>301</v>
      </c>
      <c r="C8941" t="s">
        <v>524</v>
      </c>
      <c r="D8941" t="s">
        <v>525</v>
      </c>
      <c r="E8941" t="s">
        <v>526</v>
      </c>
      <c r="F8941" t="s">
        <v>527</v>
      </c>
      <c r="G8941" t="s">
        <v>226</v>
      </c>
    </row>
    <row r="8942" spans="1:7" x14ac:dyDescent="0.35">
      <c r="A8942" s="3" t="s">
        <v>227</v>
      </c>
      <c r="B8942" s="3" t="s">
        <v>245</v>
      </c>
      <c r="C8942" s="5">
        <v>5.9</v>
      </c>
      <c r="D8942" s="5">
        <v>3</v>
      </c>
      <c r="E8942" s="5">
        <v>1</v>
      </c>
      <c r="F8942" s="5">
        <v>35</v>
      </c>
      <c r="G8942" s="5">
        <v>15</v>
      </c>
    </row>
    <row r="8943" spans="1:7" x14ac:dyDescent="0.35">
      <c r="A8943" t="s">
        <v>227</v>
      </c>
      <c r="B8943" t="s">
        <v>244</v>
      </c>
      <c r="C8943">
        <v>4.22</v>
      </c>
      <c r="D8943">
        <v>3</v>
      </c>
      <c r="E8943">
        <v>1</v>
      </c>
      <c r="F8943">
        <v>24</v>
      </c>
      <c r="G8943">
        <v>63</v>
      </c>
    </row>
    <row r="8944" spans="1:7" x14ac:dyDescent="0.35">
      <c r="A8944" t="s">
        <v>228</v>
      </c>
      <c r="B8944" t="s">
        <v>228</v>
      </c>
      <c r="C8944">
        <v>4.47</v>
      </c>
      <c r="D8944">
        <v>3</v>
      </c>
      <c r="E8944">
        <v>1</v>
      </c>
      <c r="F8944">
        <v>35</v>
      </c>
      <c r="G8944">
        <v>78</v>
      </c>
    </row>
    <row r="8946" spans="1:7" x14ac:dyDescent="0.35">
      <c r="A8946" s="1" t="s">
        <v>2169</v>
      </c>
    </row>
    <row r="8947" spans="1:7" x14ac:dyDescent="0.35">
      <c r="A8947" t="s">
        <v>219</v>
      </c>
      <c r="B8947" t="s">
        <v>301</v>
      </c>
      <c r="C8947" t="s">
        <v>524</v>
      </c>
      <c r="D8947" t="s">
        <v>525</v>
      </c>
      <c r="E8947" t="s">
        <v>526</v>
      </c>
      <c r="F8947" t="s">
        <v>527</v>
      </c>
      <c r="G8947" t="s">
        <v>226</v>
      </c>
    </row>
    <row r="8948" spans="1:7" x14ac:dyDescent="0.35">
      <c r="A8948" s="3" t="s">
        <v>227</v>
      </c>
      <c r="B8948" s="3" t="s">
        <v>259</v>
      </c>
      <c r="C8948" s="5">
        <v>2</v>
      </c>
      <c r="D8948" s="5">
        <v>2</v>
      </c>
      <c r="E8948" s="5">
        <v>2</v>
      </c>
      <c r="F8948" s="5">
        <v>2</v>
      </c>
      <c r="G8948" s="5">
        <v>1</v>
      </c>
    </row>
    <row r="8949" spans="1:7" x14ac:dyDescent="0.35">
      <c r="A8949" t="s">
        <v>227</v>
      </c>
      <c r="B8949" t="s">
        <v>257</v>
      </c>
      <c r="C8949">
        <v>5.29</v>
      </c>
      <c r="D8949">
        <v>4</v>
      </c>
      <c r="E8949">
        <v>1</v>
      </c>
      <c r="F8949">
        <v>24</v>
      </c>
      <c r="G8949">
        <v>38</v>
      </c>
    </row>
    <row r="8950" spans="1:7" x14ac:dyDescent="0.35">
      <c r="A8950" s="3" t="s">
        <v>227</v>
      </c>
      <c r="B8950" s="3" t="s">
        <v>256</v>
      </c>
      <c r="C8950" s="5">
        <v>2.81</v>
      </c>
      <c r="D8950" s="5">
        <v>3</v>
      </c>
      <c r="E8950" s="5">
        <v>1</v>
      </c>
      <c r="F8950" s="5">
        <v>9</v>
      </c>
      <c r="G8950" s="5">
        <v>26</v>
      </c>
    </row>
    <row r="8951" spans="1:7" x14ac:dyDescent="0.35">
      <c r="A8951" s="3" t="s">
        <v>227</v>
      </c>
      <c r="B8951" s="3" t="s">
        <v>258</v>
      </c>
      <c r="C8951" s="5">
        <v>4.6900000000000004</v>
      </c>
      <c r="D8951" s="5">
        <v>3</v>
      </c>
      <c r="E8951" s="5">
        <v>1</v>
      </c>
      <c r="F8951" s="5">
        <v>35</v>
      </c>
      <c r="G8951" s="5">
        <v>13</v>
      </c>
    </row>
    <row r="8952" spans="1:7" x14ac:dyDescent="0.35">
      <c r="A8952" t="s">
        <v>228</v>
      </c>
      <c r="B8952" t="s">
        <v>228</v>
      </c>
      <c r="C8952">
        <v>4.47</v>
      </c>
      <c r="D8952">
        <v>3</v>
      </c>
      <c r="E8952">
        <v>1</v>
      </c>
      <c r="F8952">
        <v>35</v>
      </c>
      <c r="G8952">
        <v>78</v>
      </c>
    </row>
    <row r="8954" spans="1:7" x14ac:dyDescent="0.35">
      <c r="A8954" s="1" t="s">
        <v>2170</v>
      </c>
    </row>
    <row r="8955" spans="1:7" x14ac:dyDescent="0.35">
      <c r="A8955" t="s">
        <v>219</v>
      </c>
      <c r="B8955" t="s">
        <v>301</v>
      </c>
      <c r="C8955" t="s">
        <v>524</v>
      </c>
      <c r="D8955" t="s">
        <v>525</v>
      </c>
      <c r="E8955" t="s">
        <v>526</v>
      </c>
      <c r="F8955" t="s">
        <v>527</v>
      </c>
      <c r="G8955" t="s">
        <v>226</v>
      </c>
    </row>
    <row r="8956" spans="1:7" x14ac:dyDescent="0.35">
      <c r="A8956" t="s">
        <v>227</v>
      </c>
      <c r="B8956" t="s">
        <v>343</v>
      </c>
      <c r="C8956">
        <v>5.29</v>
      </c>
      <c r="D8956">
        <v>4</v>
      </c>
      <c r="E8956">
        <v>1</v>
      </c>
      <c r="F8956">
        <v>24</v>
      </c>
      <c r="G8956">
        <v>38</v>
      </c>
    </row>
    <row r="8957" spans="1:7" x14ac:dyDescent="0.35">
      <c r="A8957" t="s">
        <v>227</v>
      </c>
      <c r="B8957" t="s">
        <v>344</v>
      </c>
      <c r="C8957">
        <v>3.52</v>
      </c>
      <c r="D8957">
        <v>3</v>
      </c>
      <c r="E8957">
        <v>1</v>
      </c>
      <c r="F8957">
        <v>35</v>
      </c>
      <c r="G8957">
        <v>40</v>
      </c>
    </row>
    <row r="8958" spans="1:7" x14ac:dyDescent="0.35">
      <c r="A8958" t="s">
        <v>228</v>
      </c>
      <c r="B8958" t="s">
        <v>228</v>
      </c>
      <c r="C8958">
        <v>4.47</v>
      </c>
      <c r="D8958">
        <v>3</v>
      </c>
      <c r="E8958">
        <v>1</v>
      </c>
      <c r="F8958">
        <v>35</v>
      </c>
      <c r="G8958">
        <v>78</v>
      </c>
    </row>
    <row r="8960" spans="1:7" x14ac:dyDescent="0.35">
      <c r="A8960" s="1" t="s">
        <v>2171</v>
      </c>
    </row>
    <row r="8961" spans="1:12" x14ac:dyDescent="0.35">
      <c r="A8961" t="s">
        <v>219</v>
      </c>
      <c r="B8961" t="s">
        <v>301</v>
      </c>
      <c r="C8961" t="s">
        <v>524</v>
      </c>
      <c r="D8961" t="s">
        <v>525</v>
      </c>
      <c r="E8961" t="s">
        <v>526</v>
      </c>
      <c r="F8961" t="s">
        <v>527</v>
      </c>
      <c r="G8961" t="s">
        <v>226</v>
      </c>
    </row>
    <row r="8962" spans="1:12" x14ac:dyDescent="0.35">
      <c r="A8962" t="s">
        <v>227</v>
      </c>
      <c r="B8962" t="s">
        <v>346</v>
      </c>
      <c r="C8962">
        <v>4.37</v>
      </c>
      <c r="D8962">
        <v>3</v>
      </c>
      <c r="E8962">
        <v>1</v>
      </c>
      <c r="F8962">
        <v>15</v>
      </c>
      <c r="G8962">
        <v>47</v>
      </c>
    </row>
    <row r="8963" spans="1:12" x14ac:dyDescent="0.35">
      <c r="A8963" s="3" t="s">
        <v>227</v>
      </c>
      <c r="B8963" s="3" t="s">
        <v>347</v>
      </c>
      <c r="C8963" s="5">
        <v>6.78</v>
      </c>
      <c r="D8963" s="5">
        <v>2</v>
      </c>
      <c r="E8963" s="5">
        <v>1</v>
      </c>
      <c r="F8963" s="5">
        <v>24</v>
      </c>
      <c r="G8963" s="5">
        <v>14</v>
      </c>
    </row>
    <row r="8964" spans="1:12" x14ac:dyDescent="0.35">
      <c r="A8964" s="3" t="s">
        <v>227</v>
      </c>
      <c r="B8964" s="3" t="s">
        <v>348</v>
      </c>
      <c r="C8964" s="5">
        <v>5</v>
      </c>
      <c r="D8964" s="5">
        <v>3</v>
      </c>
      <c r="E8964" s="5">
        <v>1</v>
      </c>
      <c r="F8964" s="5">
        <v>35</v>
      </c>
      <c r="G8964" s="5">
        <v>17</v>
      </c>
    </row>
    <row r="8965" spans="1:12" x14ac:dyDescent="0.35">
      <c r="A8965" t="s">
        <v>228</v>
      </c>
      <c r="B8965" t="s">
        <v>228</v>
      </c>
      <c r="C8965">
        <v>4.47</v>
      </c>
      <c r="D8965">
        <v>3</v>
      </c>
      <c r="E8965">
        <v>1</v>
      </c>
      <c r="F8965">
        <v>35</v>
      </c>
      <c r="G8965">
        <v>78</v>
      </c>
    </row>
    <row r="8967" spans="1:12" x14ac:dyDescent="0.35">
      <c r="A8967" s="1" t="s">
        <v>2172</v>
      </c>
    </row>
    <row r="8968" spans="1:12" x14ac:dyDescent="0.35">
      <c r="A8968" t="s">
        <v>219</v>
      </c>
      <c r="B8968" t="s">
        <v>301</v>
      </c>
      <c r="C8968" t="s">
        <v>524</v>
      </c>
      <c r="D8968" t="s">
        <v>525</v>
      </c>
      <c r="E8968" t="s">
        <v>526</v>
      </c>
      <c r="F8968" t="s">
        <v>527</v>
      </c>
      <c r="G8968" t="s">
        <v>226</v>
      </c>
    </row>
    <row r="8969" spans="1:12" x14ac:dyDescent="0.35">
      <c r="A8969" t="s">
        <v>227</v>
      </c>
      <c r="B8969" t="s">
        <v>251</v>
      </c>
      <c r="C8969">
        <v>4.22</v>
      </c>
      <c r="D8969">
        <v>3</v>
      </c>
      <c r="E8969">
        <v>1</v>
      </c>
      <c r="F8969">
        <v>24</v>
      </c>
      <c r="G8969">
        <v>63</v>
      </c>
    </row>
    <row r="8970" spans="1:12" x14ac:dyDescent="0.35">
      <c r="A8970" s="3" t="s">
        <v>227</v>
      </c>
      <c r="B8970" s="3" t="s">
        <v>252</v>
      </c>
      <c r="C8970" s="5">
        <v>2.33</v>
      </c>
      <c r="D8970" s="5">
        <v>3</v>
      </c>
      <c r="E8970" s="5">
        <v>1</v>
      </c>
      <c r="F8970" s="5">
        <v>7</v>
      </c>
      <c r="G8970" s="5">
        <v>9</v>
      </c>
    </row>
    <row r="8971" spans="1:12" x14ac:dyDescent="0.35">
      <c r="A8971" s="3" t="s">
        <v>227</v>
      </c>
      <c r="B8971" s="3" t="s">
        <v>253</v>
      </c>
      <c r="C8971" s="5">
        <v>9.75</v>
      </c>
      <c r="D8971" s="5">
        <v>15</v>
      </c>
      <c r="E8971" s="5">
        <v>2</v>
      </c>
      <c r="F8971" s="5">
        <v>35</v>
      </c>
      <c r="G8971" s="5">
        <v>6</v>
      </c>
    </row>
    <row r="8972" spans="1:12" x14ac:dyDescent="0.35">
      <c r="A8972" t="s">
        <v>228</v>
      </c>
      <c r="B8972" t="s">
        <v>228</v>
      </c>
      <c r="C8972">
        <v>4.47</v>
      </c>
      <c r="D8972">
        <v>3</v>
      </c>
      <c r="E8972">
        <v>1</v>
      </c>
      <c r="F8972">
        <v>35</v>
      </c>
      <c r="G8972">
        <v>78</v>
      </c>
    </row>
    <row r="8974" spans="1:12" x14ac:dyDescent="0.35">
      <c r="A8974" s="1" t="s">
        <v>2173</v>
      </c>
    </row>
    <row r="8975" spans="1:12" x14ac:dyDescent="0.35">
      <c r="A8975" t="s">
        <v>219</v>
      </c>
      <c r="B8975" t="s">
        <v>2174</v>
      </c>
      <c r="C8975" t="s">
        <v>2175</v>
      </c>
      <c r="D8975" t="s">
        <v>2176</v>
      </c>
      <c r="E8975" t="s">
        <v>2177</v>
      </c>
      <c r="F8975" t="s">
        <v>2178</v>
      </c>
      <c r="G8975" t="s">
        <v>2179</v>
      </c>
      <c r="H8975" t="s">
        <v>2180</v>
      </c>
      <c r="I8975" t="s">
        <v>2181</v>
      </c>
      <c r="J8975" t="s">
        <v>277</v>
      </c>
      <c r="K8975" t="s">
        <v>282</v>
      </c>
      <c r="L8975" t="s">
        <v>226</v>
      </c>
    </row>
    <row r="8976" spans="1:12" x14ac:dyDescent="0.35">
      <c r="A8976" t="s">
        <v>227</v>
      </c>
      <c r="B8976" s="2">
        <v>0.68469999999999998</v>
      </c>
      <c r="C8976" s="2">
        <v>0.17730000000000001</v>
      </c>
      <c r="D8976" s="2">
        <v>7.1999999999999995E-2</v>
      </c>
      <c r="E8976" s="2">
        <v>3.5799999999999998E-2</v>
      </c>
      <c r="F8976" s="2">
        <v>8.8999999999999999E-3</v>
      </c>
      <c r="G8976" s="2">
        <v>8.0999999999999996E-3</v>
      </c>
      <c r="H8976" s="2">
        <v>5.1999999999999998E-3</v>
      </c>
      <c r="I8976" s="2">
        <v>4.3E-3</v>
      </c>
      <c r="J8976" s="2">
        <v>3.3999999999999998E-3</v>
      </c>
      <c r="K8976" s="2">
        <v>4.0000000000000002E-4</v>
      </c>
      <c r="L8976">
        <v>1093</v>
      </c>
    </row>
    <row r="8977" spans="1:13" x14ac:dyDescent="0.35">
      <c r="A8977" t="s">
        <v>228</v>
      </c>
      <c r="B8977" s="2">
        <v>0.68469999999999998</v>
      </c>
      <c r="C8977" s="2">
        <v>0.17730000000000001</v>
      </c>
      <c r="D8977" s="2">
        <v>7.1999999999999995E-2</v>
      </c>
      <c r="E8977" s="2">
        <v>3.5799999999999998E-2</v>
      </c>
      <c r="F8977" s="2">
        <v>8.8999999999999999E-3</v>
      </c>
      <c r="G8977" s="2">
        <v>8.0999999999999996E-3</v>
      </c>
      <c r="H8977" s="2">
        <v>5.1999999999999998E-3</v>
      </c>
      <c r="I8977" s="2">
        <v>4.3E-3</v>
      </c>
      <c r="J8977" s="2">
        <v>3.3999999999999998E-3</v>
      </c>
      <c r="K8977" s="2">
        <v>4.0000000000000002E-4</v>
      </c>
      <c r="L8977">
        <v>1093</v>
      </c>
    </row>
    <row r="8979" spans="1:13" x14ac:dyDescent="0.35">
      <c r="A8979" s="1" t="s">
        <v>2182</v>
      </c>
    </row>
    <row r="8980" spans="1:13" x14ac:dyDescent="0.35">
      <c r="A8980" t="s">
        <v>219</v>
      </c>
      <c r="B8980" t="s">
        <v>301</v>
      </c>
      <c r="C8980" t="s">
        <v>2174</v>
      </c>
      <c r="D8980" t="s">
        <v>2175</v>
      </c>
      <c r="E8980" t="s">
        <v>2176</v>
      </c>
      <c r="F8980" t="s">
        <v>2177</v>
      </c>
      <c r="G8980" t="s">
        <v>2178</v>
      </c>
      <c r="H8980" t="s">
        <v>2179</v>
      </c>
      <c r="I8980" t="s">
        <v>2180</v>
      </c>
      <c r="J8980" t="s">
        <v>2181</v>
      </c>
      <c r="K8980" t="s">
        <v>277</v>
      </c>
      <c r="L8980" t="s">
        <v>282</v>
      </c>
      <c r="M8980" t="s">
        <v>226</v>
      </c>
    </row>
    <row r="8981" spans="1:13" x14ac:dyDescent="0.35">
      <c r="A8981" t="s">
        <v>227</v>
      </c>
      <c r="B8981" t="s">
        <v>238</v>
      </c>
      <c r="C8981" s="2">
        <v>0.68689999999999996</v>
      </c>
      <c r="D8981" s="2">
        <v>0.15160000000000001</v>
      </c>
      <c r="E8981" s="2">
        <v>8.9099999999999999E-2</v>
      </c>
      <c r="F8981" s="2">
        <v>5.04E-2</v>
      </c>
      <c r="G8981" s="2">
        <v>0.01</v>
      </c>
      <c r="H8981" s="2">
        <v>5.3E-3</v>
      </c>
      <c r="I8981" s="2">
        <v>3.5000000000000001E-3</v>
      </c>
      <c r="J8981" s="2">
        <v>1.6000000000000001E-3</v>
      </c>
      <c r="K8981" s="2">
        <v>1.2999999999999999E-3</v>
      </c>
      <c r="L8981" s="2">
        <v>2.9999999999999997E-4</v>
      </c>
      <c r="M8981">
        <v>417</v>
      </c>
    </row>
    <row r="8982" spans="1:13" x14ac:dyDescent="0.35">
      <c r="A8982" t="s">
        <v>227</v>
      </c>
      <c r="B8982" t="s">
        <v>237</v>
      </c>
      <c r="C8982" s="2">
        <v>0.68300000000000005</v>
      </c>
      <c r="D8982" s="2">
        <v>0.1956</v>
      </c>
      <c r="E8982" s="2">
        <v>5.9799999999999999E-2</v>
      </c>
      <c r="F8982" s="2">
        <v>2.5499999999999998E-2</v>
      </c>
      <c r="G8982" s="2">
        <v>8.0999999999999996E-3</v>
      </c>
      <c r="H8982" s="2">
        <v>1.0200000000000001E-2</v>
      </c>
      <c r="I8982" s="2">
        <v>6.4000000000000003E-3</v>
      </c>
      <c r="J8982" s="2">
        <v>6.1000000000000004E-3</v>
      </c>
      <c r="K8982" s="2">
        <v>4.7999999999999996E-3</v>
      </c>
      <c r="L8982" s="2">
        <v>5.0000000000000001E-4</v>
      </c>
      <c r="M8982">
        <v>676</v>
      </c>
    </row>
    <row r="8983" spans="1:13" x14ac:dyDescent="0.35">
      <c r="A8983" t="s">
        <v>228</v>
      </c>
      <c r="B8983" t="s">
        <v>228</v>
      </c>
      <c r="C8983" s="2">
        <v>0.68469999999999998</v>
      </c>
      <c r="D8983" s="2">
        <v>0.17730000000000001</v>
      </c>
      <c r="E8983" s="2">
        <v>7.1999999999999995E-2</v>
      </c>
      <c r="F8983" s="2">
        <v>3.5799999999999998E-2</v>
      </c>
      <c r="G8983" s="2">
        <v>8.8999999999999999E-3</v>
      </c>
      <c r="H8983" s="2">
        <v>8.0999999999999996E-3</v>
      </c>
      <c r="I8983" s="2">
        <v>5.1999999999999998E-3</v>
      </c>
      <c r="J8983" s="2">
        <v>4.3E-3</v>
      </c>
      <c r="K8983" s="2">
        <v>3.3999999999999998E-3</v>
      </c>
      <c r="L8983" s="2">
        <v>4.0000000000000002E-4</v>
      </c>
      <c r="M8983">
        <v>1093</v>
      </c>
    </row>
    <row r="8985" spans="1:13" x14ac:dyDescent="0.35">
      <c r="A8985" s="1" t="s">
        <v>2183</v>
      </c>
    </row>
    <row r="8986" spans="1:13" x14ac:dyDescent="0.35">
      <c r="A8986" t="s">
        <v>219</v>
      </c>
      <c r="B8986" t="s">
        <v>301</v>
      </c>
      <c r="C8986" t="s">
        <v>2174</v>
      </c>
      <c r="D8986" t="s">
        <v>2175</v>
      </c>
      <c r="E8986" t="s">
        <v>2176</v>
      </c>
      <c r="F8986" t="s">
        <v>2177</v>
      </c>
      <c r="G8986" t="s">
        <v>2178</v>
      </c>
      <c r="H8986" t="s">
        <v>2179</v>
      </c>
      <c r="I8986" t="s">
        <v>2180</v>
      </c>
      <c r="J8986" t="s">
        <v>2181</v>
      </c>
      <c r="K8986" t="s">
        <v>277</v>
      </c>
      <c r="L8986" t="s">
        <v>282</v>
      </c>
      <c r="M8986" t="s">
        <v>226</v>
      </c>
    </row>
    <row r="8987" spans="1:13" x14ac:dyDescent="0.35">
      <c r="A8987" t="s">
        <v>227</v>
      </c>
      <c r="B8987" t="s">
        <v>235</v>
      </c>
      <c r="C8987" s="2">
        <v>0.65200000000000002</v>
      </c>
      <c r="D8987" s="2">
        <v>0.20960000000000001</v>
      </c>
      <c r="E8987" s="2">
        <v>6.8699999999999997E-2</v>
      </c>
      <c r="F8987" s="2">
        <v>3.2300000000000002E-2</v>
      </c>
      <c r="G8987" s="2">
        <v>1.38E-2</v>
      </c>
      <c r="H8987" s="2">
        <v>5.5999999999999999E-3</v>
      </c>
      <c r="I8987" s="2">
        <v>6.8999999999999999E-3</v>
      </c>
      <c r="J8987" s="2">
        <v>6.1999999999999998E-3</v>
      </c>
      <c r="K8987" s="2">
        <v>4.4000000000000003E-3</v>
      </c>
      <c r="L8987" s="2">
        <v>4.0000000000000002E-4</v>
      </c>
      <c r="M8987">
        <v>675</v>
      </c>
    </row>
    <row r="8988" spans="1:13" x14ac:dyDescent="0.35">
      <c r="A8988" t="s">
        <v>227</v>
      </c>
      <c r="B8988" t="s">
        <v>234</v>
      </c>
      <c r="C8988" s="2">
        <v>0.73729999999999996</v>
      </c>
      <c r="D8988" s="2">
        <v>0.12520000000000001</v>
      </c>
      <c r="E8988" s="2">
        <v>7.7299999999999994E-2</v>
      </c>
      <c r="F8988" s="2">
        <v>4.1500000000000002E-2</v>
      </c>
      <c r="G8988" s="2">
        <v>1E-3</v>
      </c>
      <c r="H8988" s="2">
        <v>1.2200000000000001E-2</v>
      </c>
      <c r="I8988" s="2">
        <v>2.3999999999999998E-3</v>
      </c>
      <c r="J8988" s="2">
        <v>1.1000000000000001E-3</v>
      </c>
      <c r="K8988" s="2">
        <v>1.6000000000000001E-3</v>
      </c>
      <c r="L8988" s="2">
        <v>4.0000000000000002E-4</v>
      </c>
      <c r="M8988">
        <v>418</v>
      </c>
    </row>
    <row r="8989" spans="1:13" x14ac:dyDescent="0.35">
      <c r="A8989" t="s">
        <v>228</v>
      </c>
      <c r="B8989" t="s">
        <v>228</v>
      </c>
      <c r="C8989" s="2">
        <v>0.68469999999999998</v>
      </c>
      <c r="D8989" s="2">
        <v>0.17730000000000001</v>
      </c>
      <c r="E8989" s="2">
        <v>7.1999999999999995E-2</v>
      </c>
      <c r="F8989" s="2">
        <v>3.5799999999999998E-2</v>
      </c>
      <c r="G8989" s="2">
        <v>8.8999999999999999E-3</v>
      </c>
      <c r="H8989" s="2">
        <v>8.0999999999999996E-3</v>
      </c>
      <c r="I8989" s="2">
        <v>5.1999999999999998E-3</v>
      </c>
      <c r="J8989" s="2">
        <v>4.3E-3</v>
      </c>
      <c r="K8989" s="2">
        <v>3.3999999999999998E-3</v>
      </c>
      <c r="L8989" s="2">
        <v>4.0000000000000002E-4</v>
      </c>
      <c r="M8989">
        <v>1093</v>
      </c>
    </row>
    <row r="8991" spans="1:13" x14ac:dyDescent="0.35">
      <c r="A8991" s="1" t="s">
        <v>2184</v>
      </c>
    </row>
    <row r="8992" spans="1:13" x14ac:dyDescent="0.35">
      <c r="A8992" t="s">
        <v>219</v>
      </c>
      <c r="B8992" t="s">
        <v>301</v>
      </c>
      <c r="C8992" t="s">
        <v>2174</v>
      </c>
      <c r="D8992" t="s">
        <v>2175</v>
      </c>
      <c r="E8992" t="s">
        <v>2176</v>
      </c>
      <c r="F8992" t="s">
        <v>2177</v>
      </c>
      <c r="G8992" t="s">
        <v>2178</v>
      </c>
      <c r="H8992" t="s">
        <v>2179</v>
      </c>
      <c r="I8992" t="s">
        <v>2180</v>
      </c>
      <c r="J8992" t="s">
        <v>2181</v>
      </c>
      <c r="K8992" t="s">
        <v>277</v>
      </c>
      <c r="L8992" t="s">
        <v>282</v>
      </c>
      <c r="M8992" t="s">
        <v>226</v>
      </c>
    </row>
    <row r="8993" spans="1:13" x14ac:dyDescent="0.35">
      <c r="A8993" t="s">
        <v>227</v>
      </c>
      <c r="B8993" t="s">
        <v>240</v>
      </c>
      <c r="C8993" s="2">
        <v>0.69350000000000001</v>
      </c>
      <c r="D8993" s="2">
        <v>0.16850000000000001</v>
      </c>
      <c r="E8993" s="2">
        <v>7.5800000000000006E-2</v>
      </c>
      <c r="F8993" s="2">
        <v>0.03</v>
      </c>
      <c r="G8993" s="2">
        <v>1.04E-2</v>
      </c>
      <c r="H8993" s="2">
        <v>8.8999999999999999E-3</v>
      </c>
      <c r="I8993" s="2">
        <v>6.1000000000000004E-3</v>
      </c>
      <c r="J8993" s="2">
        <v>1.6000000000000001E-3</v>
      </c>
      <c r="K8993" s="2">
        <v>4.7999999999999996E-3</v>
      </c>
      <c r="L8993" s="2">
        <v>4.0000000000000002E-4</v>
      </c>
      <c r="M8993">
        <v>685</v>
      </c>
    </row>
    <row r="8994" spans="1:13" x14ac:dyDescent="0.35">
      <c r="A8994" t="s">
        <v>227</v>
      </c>
      <c r="B8994" t="s">
        <v>241</v>
      </c>
      <c r="C8994" s="2">
        <v>0.68259999999999998</v>
      </c>
      <c r="D8994" s="2">
        <v>0.224</v>
      </c>
      <c r="E8994" s="2">
        <v>3.3700000000000001E-2</v>
      </c>
      <c r="F8994" s="2">
        <v>3.2500000000000001E-2</v>
      </c>
      <c r="G8994" s="2">
        <v>9.1000000000000004E-3</v>
      </c>
      <c r="H8994" s="2">
        <v>1E-3</v>
      </c>
      <c r="I8994" s="2">
        <v>2.5000000000000001E-3</v>
      </c>
      <c r="J8994" s="2">
        <v>1.2999999999999999E-2</v>
      </c>
      <c r="K8994" s="2">
        <v>8.9999999999999998E-4</v>
      </c>
      <c r="L8994" s="2">
        <v>5.9999999999999995E-4</v>
      </c>
      <c r="M8994">
        <v>303</v>
      </c>
    </row>
    <row r="8995" spans="1:13" x14ac:dyDescent="0.35">
      <c r="A8995" t="s">
        <v>227</v>
      </c>
      <c r="B8995" t="s">
        <v>242</v>
      </c>
      <c r="C8995" s="2">
        <v>0.6391</v>
      </c>
      <c r="D8995" s="2">
        <v>0.13650000000000001</v>
      </c>
      <c r="E8995" s="2">
        <v>0.12429999999999999</v>
      </c>
      <c r="F8995" s="2">
        <v>7.5200000000000003E-2</v>
      </c>
      <c r="H8995" s="2">
        <v>1.7500000000000002E-2</v>
      </c>
      <c r="I8995" s="2">
        <v>5.1999999999999998E-3</v>
      </c>
      <c r="J8995" s="2">
        <v>2.3E-3</v>
      </c>
      <c r="M8995">
        <v>105</v>
      </c>
    </row>
    <row r="8996" spans="1:13" x14ac:dyDescent="0.35">
      <c r="A8996" t="s">
        <v>228</v>
      </c>
      <c r="B8996" t="s">
        <v>228</v>
      </c>
      <c r="C8996" s="2">
        <v>0.68469999999999998</v>
      </c>
      <c r="D8996" s="2">
        <v>0.17730000000000001</v>
      </c>
      <c r="E8996" s="2">
        <v>7.1999999999999995E-2</v>
      </c>
      <c r="F8996" s="2">
        <v>3.5799999999999998E-2</v>
      </c>
      <c r="G8996" s="2">
        <v>8.8999999999999999E-3</v>
      </c>
      <c r="H8996" s="2">
        <v>8.0999999999999996E-3</v>
      </c>
      <c r="I8996" s="2">
        <v>5.1999999999999998E-3</v>
      </c>
      <c r="J8996" s="2">
        <v>4.3E-3</v>
      </c>
      <c r="K8996" s="2">
        <v>3.3999999999999998E-3</v>
      </c>
      <c r="L8996" s="2">
        <v>4.0000000000000002E-4</v>
      </c>
      <c r="M8996">
        <v>1093</v>
      </c>
    </row>
    <row r="8998" spans="1:13" x14ac:dyDescent="0.35">
      <c r="A8998" s="1" t="s">
        <v>2185</v>
      </c>
    </row>
    <row r="8999" spans="1:13" x14ac:dyDescent="0.35">
      <c r="A8999" t="s">
        <v>219</v>
      </c>
      <c r="B8999" t="s">
        <v>301</v>
      </c>
      <c r="C8999" t="s">
        <v>2174</v>
      </c>
      <c r="D8999" t="s">
        <v>2175</v>
      </c>
      <c r="E8999" t="s">
        <v>2176</v>
      </c>
      <c r="F8999" t="s">
        <v>2177</v>
      </c>
      <c r="G8999" t="s">
        <v>2178</v>
      </c>
      <c r="H8999" t="s">
        <v>2179</v>
      </c>
      <c r="I8999" t="s">
        <v>2180</v>
      </c>
      <c r="J8999" t="s">
        <v>2181</v>
      </c>
      <c r="K8999" t="s">
        <v>277</v>
      </c>
      <c r="L8999" t="s">
        <v>282</v>
      </c>
      <c r="M8999" t="s">
        <v>226</v>
      </c>
    </row>
    <row r="9000" spans="1:13" x14ac:dyDescent="0.35">
      <c r="A9000" t="s">
        <v>227</v>
      </c>
      <c r="B9000" t="s">
        <v>334</v>
      </c>
      <c r="C9000" s="2">
        <v>0.68379999999999996</v>
      </c>
      <c r="D9000" s="2">
        <v>0.14050000000000001</v>
      </c>
      <c r="E9000" s="2">
        <v>6.9199999999999998E-2</v>
      </c>
      <c r="F9000" s="2">
        <v>7.4899999999999994E-2</v>
      </c>
      <c r="G9000" s="2">
        <v>1.17E-2</v>
      </c>
      <c r="H9000" s="2">
        <v>1.09E-2</v>
      </c>
      <c r="I9000" s="2">
        <v>7.7000000000000002E-3</v>
      </c>
      <c r="J9000" s="2">
        <v>8.0000000000000004E-4</v>
      </c>
      <c r="L9000" s="2">
        <v>4.0000000000000002E-4</v>
      </c>
      <c r="M9000">
        <v>344</v>
      </c>
    </row>
    <row r="9001" spans="1:13" x14ac:dyDescent="0.35">
      <c r="A9001" t="s">
        <v>227</v>
      </c>
      <c r="B9001" t="s">
        <v>335</v>
      </c>
      <c r="C9001" s="2">
        <v>0.81220000000000003</v>
      </c>
      <c r="D9001" s="2">
        <v>9.3799999999999994E-2</v>
      </c>
      <c r="E9001" s="2">
        <v>6.1899999999999997E-2</v>
      </c>
      <c r="F9001" s="2">
        <v>1.5100000000000001E-2</v>
      </c>
      <c r="J9001" s="2">
        <v>1.5699999999999999E-2</v>
      </c>
      <c r="K9001" s="2">
        <v>1.2999999999999999E-3</v>
      </c>
      <c r="M9001">
        <v>157</v>
      </c>
    </row>
    <row r="9002" spans="1:13" x14ac:dyDescent="0.35">
      <c r="A9002" t="s">
        <v>227</v>
      </c>
      <c r="B9002" t="s">
        <v>336</v>
      </c>
      <c r="C9002" s="2">
        <v>0.62219999999999998</v>
      </c>
      <c r="D9002" s="2">
        <v>0.22670000000000001</v>
      </c>
      <c r="E9002" s="2">
        <v>7.8100000000000003E-2</v>
      </c>
      <c r="F9002" s="2">
        <v>3.2899999999999999E-2</v>
      </c>
      <c r="G9002" s="2">
        <v>2.0500000000000001E-2</v>
      </c>
      <c r="I9002" s="2">
        <v>8.3999999999999995E-3</v>
      </c>
      <c r="J9002" s="2">
        <v>2.3999999999999998E-3</v>
      </c>
      <c r="K9002" s="2">
        <v>8.6999999999999994E-3</v>
      </c>
      <c r="M9002">
        <v>260</v>
      </c>
    </row>
    <row r="9003" spans="1:13" x14ac:dyDescent="0.35">
      <c r="A9003" t="s">
        <v>227</v>
      </c>
      <c r="B9003" t="s">
        <v>337</v>
      </c>
      <c r="C9003" s="2">
        <v>0.71</v>
      </c>
      <c r="D9003" s="2">
        <v>0.20619999999999999</v>
      </c>
      <c r="E9003" s="2">
        <v>5.5100000000000003E-2</v>
      </c>
      <c r="F9003" s="2">
        <v>4.0000000000000002E-4</v>
      </c>
      <c r="G9003" s="2">
        <v>6.9999999999999999E-4</v>
      </c>
      <c r="H9003" s="2">
        <v>2.3199999999999998E-2</v>
      </c>
      <c r="I9003" s="2">
        <v>4.0000000000000002E-4</v>
      </c>
      <c r="J9003" s="2">
        <v>1.6000000000000001E-3</v>
      </c>
      <c r="K9003" s="2">
        <v>1E-3</v>
      </c>
      <c r="L9003" s="2">
        <v>1.4E-3</v>
      </c>
      <c r="M9003">
        <v>221</v>
      </c>
    </row>
    <row r="9004" spans="1:13" x14ac:dyDescent="0.35">
      <c r="A9004" t="s">
        <v>228</v>
      </c>
      <c r="B9004" t="s">
        <v>228</v>
      </c>
      <c r="C9004" s="2">
        <v>0.68469999999999998</v>
      </c>
      <c r="D9004" s="2">
        <v>0.17730000000000001</v>
      </c>
      <c r="E9004" s="2">
        <v>7.1999999999999995E-2</v>
      </c>
      <c r="F9004" s="2">
        <v>3.5799999999999998E-2</v>
      </c>
      <c r="G9004" s="2">
        <v>8.8999999999999999E-3</v>
      </c>
      <c r="H9004" s="2">
        <v>8.0999999999999996E-3</v>
      </c>
      <c r="I9004" s="2">
        <v>5.1999999999999998E-3</v>
      </c>
      <c r="J9004" s="2">
        <v>4.3E-3</v>
      </c>
      <c r="K9004" s="2">
        <v>3.3999999999999998E-3</v>
      </c>
      <c r="L9004" s="2">
        <v>4.0000000000000002E-4</v>
      </c>
      <c r="M9004">
        <v>982</v>
      </c>
    </row>
    <row r="9006" spans="1:13" x14ac:dyDescent="0.35">
      <c r="A9006" s="1" t="s">
        <v>2186</v>
      </c>
    </row>
    <row r="9007" spans="1:13" x14ac:dyDescent="0.35">
      <c r="A9007" t="s">
        <v>219</v>
      </c>
      <c r="B9007" t="s">
        <v>301</v>
      </c>
      <c r="C9007" t="s">
        <v>2174</v>
      </c>
      <c r="D9007" t="s">
        <v>2175</v>
      </c>
      <c r="E9007" t="s">
        <v>2176</v>
      </c>
      <c r="F9007" t="s">
        <v>2177</v>
      </c>
      <c r="G9007" t="s">
        <v>2178</v>
      </c>
      <c r="H9007" t="s">
        <v>2179</v>
      </c>
      <c r="I9007" t="s">
        <v>2180</v>
      </c>
      <c r="J9007" t="s">
        <v>2181</v>
      </c>
      <c r="K9007" t="s">
        <v>277</v>
      </c>
      <c r="L9007" t="s">
        <v>282</v>
      </c>
      <c r="M9007" t="s">
        <v>226</v>
      </c>
    </row>
    <row r="9008" spans="1:13" x14ac:dyDescent="0.35">
      <c r="A9008" t="s">
        <v>227</v>
      </c>
      <c r="B9008" t="s">
        <v>263</v>
      </c>
      <c r="C9008" s="2">
        <v>0.6704</v>
      </c>
      <c r="D9008" s="2">
        <v>0.2364</v>
      </c>
      <c r="E9008" s="2">
        <v>7.9500000000000001E-2</v>
      </c>
      <c r="F9008" s="2">
        <v>5.1000000000000004E-3</v>
      </c>
      <c r="I9008" s="2">
        <v>5.4999999999999997E-3</v>
      </c>
      <c r="J9008" s="2">
        <v>1.1000000000000001E-3</v>
      </c>
      <c r="K9008" s="2">
        <v>2.0999999999999999E-3</v>
      </c>
      <c r="M9008">
        <v>228</v>
      </c>
    </row>
    <row r="9009" spans="1:13" x14ac:dyDescent="0.35">
      <c r="A9009" t="s">
        <v>227</v>
      </c>
      <c r="B9009" t="s">
        <v>262</v>
      </c>
      <c r="C9009" s="2">
        <v>0.63319999999999999</v>
      </c>
      <c r="D9009" s="2">
        <v>0.18959999999999999</v>
      </c>
      <c r="E9009" s="2">
        <v>7.0000000000000007E-2</v>
      </c>
      <c r="F9009" s="2">
        <v>6.2700000000000006E-2</v>
      </c>
      <c r="G9009" s="2">
        <v>2.1000000000000001E-2</v>
      </c>
      <c r="H9009" s="2">
        <v>6.9999999999999999E-4</v>
      </c>
      <c r="I9009" s="2">
        <v>0.01</v>
      </c>
      <c r="J9009" s="2">
        <v>9.5999999999999992E-3</v>
      </c>
      <c r="K9009" s="2">
        <v>2.8E-3</v>
      </c>
      <c r="L9009" s="2">
        <v>4.0000000000000002E-4</v>
      </c>
      <c r="M9009">
        <v>411</v>
      </c>
    </row>
    <row r="9010" spans="1:13" x14ac:dyDescent="0.35">
      <c r="A9010" t="s">
        <v>227</v>
      </c>
      <c r="B9010" t="s">
        <v>261</v>
      </c>
      <c r="C9010" s="2">
        <v>0.72719999999999996</v>
      </c>
      <c r="D9010" s="2">
        <v>0.14449999999999999</v>
      </c>
      <c r="E9010" s="2">
        <v>6.6500000000000004E-2</v>
      </c>
      <c r="F9010" s="2">
        <v>3.1600000000000003E-2</v>
      </c>
      <c r="G9010" s="2">
        <v>4.7999999999999996E-3</v>
      </c>
      <c r="H9010" s="2">
        <v>1.6500000000000001E-2</v>
      </c>
      <c r="I9010" s="2">
        <v>1.9E-3</v>
      </c>
      <c r="J9010" s="2">
        <v>2.0999999999999999E-3</v>
      </c>
      <c r="K9010" s="2">
        <v>4.3E-3</v>
      </c>
      <c r="L9010" s="2">
        <v>5.9999999999999995E-4</v>
      </c>
      <c r="M9010">
        <v>453</v>
      </c>
    </row>
    <row r="9011" spans="1:13" x14ac:dyDescent="0.35">
      <c r="A9011" s="3" t="s">
        <v>227</v>
      </c>
      <c r="B9011" s="3" t="s">
        <v>232</v>
      </c>
      <c r="C9011" s="5"/>
      <c r="D9011" s="5"/>
      <c r="E9011" s="4">
        <v>1</v>
      </c>
      <c r="F9011" s="5"/>
      <c r="G9011" s="5"/>
      <c r="H9011" s="5"/>
      <c r="I9011" s="5"/>
      <c r="J9011" s="5"/>
      <c r="K9011" s="5"/>
      <c r="L9011" s="5"/>
      <c r="M9011" s="5" t="s">
        <v>323</v>
      </c>
    </row>
    <row r="9012" spans="1:13" x14ac:dyDescent="0.35">
      <c r="A9012" t="s">
        <v>228</v>
      </c>
      <c r="B9012" t="s">
        <v>228</v>
      </c>
      <c r="C9012" s="2">
        <v>0.68469999999999998</v>
      </c>
      <c r="D9012" s="2">
        <v>0.17730000000000001</v>
      </c>
      <c r="E9012" s="2">
        <v>7.1999999999999995E-2</v>
      </c>
      <c r="F9012" s="2">
        <v>3.5799999999999998E-2</v>
      </c>
      <c r="G9012" s="2">
        <v>8.8999999999999999E-3</v>
      </c>
      <c r="H9012" s="2">
        <v>8.0999999999999996E-3</v>
      </c>
      <c r="I9012" s="2">
        <v>5.1999999999999998E-3</v>
      </c>
      <c r="J9012" s="2">
        <v>4.3E-3</v>
      </c>
      <c r="K9012" s="2">
        <v>3.3999999999999998E-3</v>
      </c>
      <c r="L9012" s="2">
        <v>4.0000000000000002E-4</v>
      </c>
      <c r="M9012">
        <v>1093</v>
      </c>
    </row>
    <row r="9014" spans="1:13" x14ac:dyDescent="0.35">
      <c r="A9014" s="1" t="s">
        <v>2187</v>
      </c>
    </row>
    <row r="9015" spans="1:13" x14ac:dyDescent="0.35">
      <c r="A9015" t="s">
        <v>219</v>
      </c>
      <c r="B9015" t="s">
        <v>301</v>
      </c>
      <c r="C9015" t="s">
        <v>2174</v>
      </c>
      <c r="D9015" t="s">
        <v>2175</v>
      </c>
      <c r="E9015" t="s">
        <v>2176</v>
      </c>
      <c r="F9015" t="s">
        <v>2177</v>
      </c>
      <c r="G9015" t="s">
        <v>2178</v>
      </c>
      <c r="H9015" t="s">
        <v>2179</v>
      </c>
      <c r="I9015" t="s">
        <v>2180</v>
      </c>
      <c r="J9015" t="s">
        <v>2181</v>
      </c>
      <c r="K9015" t="s">
        <v>277</v>
      </c>
      <c r="L9015" t="s">
        <v>282</v>
      </c>
      <c r="M9015" t="s">
        <v>226</v>
      </c>
    </row>
    <row r="9016" spans="1:13" x14ac:dyDescent="0.35">
      <c r="A9016" t="s">
        <v>227</v>
      </c>
      <c r="B9016" t="s">
        <v>248</v>
      </c>
      <c r="C9016" s="2">
        <v>0.67559999999999998</v>
      </c>
      <c r="D9016" s="2">
        <v>0.24199999999999999</v>
      </c>
      <c r="E9016" s="2">
        <v>3.6200000000000003E-2</v>
      </c>
      <c r="F9016" s="2">
        <v>1.78E-2</v>
      </c>
      <c r="G9016" s="2">
        <v>7.3000000000000001E-3</v>
      </c>
      <c r="H9016" s="2">
        <v>5.0000000000000001E-4</v>
      </c>
      <c r="I9016" s="2">
        <v>2.0999999999999999E-3</v>
      </c>
      <c r="J9016" s="2">
        <v>1.06E-2</v>
      </c>
      <c r="K9016" s="2">
        <v>7.4999999999999997E-3</v>
      </c>
      <c r="L9016" s="2">
        <v>5.0000000000000001E-4</v>
      </c>
      <c r="M9016">
        <v>328</v>
      </c>
    </row>
    <row r="9017" spans="1:13" x14ac:dyDescent="0.35">
      <c r="A9017" t="s">
        <v>227</v>
      </c>
      <c r="B9017" t="s">
        <v>249</v>
      </c>
      <c r="C9017" s="2">
        <v>0.68710000000000004</v>
      </c>
      <c r="D9017" s="2">
        <v>0.13070000000000001</v>
      </c>
      <c r="E9017" s="2">
        <v>0.10929999999999999</v>
      </c>
      <c r="F9017" s="2">
        <v>5.0999999999999997E-2</v>
      </c>
      <c r="G9017" s="2">
        <v>1.0200000000000001E-2</v>
      </c>
      <c r="H9017" s="2">
        <v>8.2000000000000007E-3</v>
      </c>
      <c r="I9017" s="2">
        <v>2.7000000000000001E-3</v>
      </c>
      <c r="J9017" s="2">
        <v>8.9999999999999998E-4</v>
      </c>
      <c r="M9017">
        <v>247</v>
      </c>
    </row>
    <row r="9018" spans="1:13" x14ac:dyDescent="0.35">
      <c r="A9018" t="s">
        <v>227</v>
      </c>
      <c r="B9018" t="s">
        <v>247</v>
      </c>
      <c r="C9018" s="2">
        <v>0.68930000000000002</v>
      </c>
      <c r="D9018" s="2">
        <v>0.16009999999999999</v>
      </c>
      <c r="E9018" s="2">
        <v>7.51E-2</v>
      </c>
      <c r="F9018" s="2">
        <v>3.9399999999999998E-2</v>
      </c>
      <c r="G9018" s="2">
        <v>9.2999999999999992E-3</v>
      </c>
      <c r="H9018" s="2">
        <v>1.32E-2</v>
      </c>
      <c r="I9018" s="2">
        <v>8.6E-3</v>
      </c>
      <c r="J9018" s="2">
        <v>2E-3</v>
      </c>
      <c r="K9018" s="2">
        <v>2.3999999999999998E-3</v>
      </c>
      <c r="L9018" s="2">
        <v>5.9999999999999995E-4</v>
      </c>
      <c r="M9018">
        <v>518</v>
      </c>
    </row>
    <row r="9019" spans="1:13" x14ac:dyDescent="0.35">
      <c r="A9019" t="s">
        <v>228</v>
      </c>
      <c r="B9019" t="s">
        <v>228</v>
      </c>
      <c r="C9019" s="2">
        <v>0.68469999999999998</v>
      </c>
      <c r="D9019" s="2">
        <v>0.17730000000000001</v>
      </c>
      <c r="E9019" s="2">
        <v>7.1999999999999995E-2</v>
      </c>
      <c r="F9019" s="2">
        <v>3.5799999999999998E-2</v>
      </c>
      <c r="G9019" s="2">
        <v>8.8999999999999999E-3</v>
      </c>
      <c r="H9019" s="2">
        <v>8.0999999999999996E-3</v>
      </c>
      <c r="I9019" s="2">
        <v>5.1999999999999998E-3</v>
      </c>
      <c r="J9019" s="2">
        <v>4.3E-3</v>
      </c>
      <c r="K9019" s="2">
        <v>3.3999999999999998E-3</v>
      </c>
      <c r="L9019" s="2">
        <v>4.0000000000000002E-4</v>
      </c>
      <c r="M9019">
        <v>1093</v>
      </c>
    </row>
    <row r="9021" spans="1:13" x14ac:dyDescent="0.35">
      <c r="A9021" s="1" t="s">
        <v>2188</v>
      </c>
    </row>
    <row r="9022" spans="1:13" x14ac:dyDescent="0.35">
      <c r="A9022" t="s">
        <v>219</v>
      </c>
      <c r="B9022" t="s">
        <v>301</v>
      </c>
      <c r="C9022" t="s">
        <v>2174</v>
      </c>
      <c r="D9022" t="s">
        <v>2175</v>
      </c>
      <c r="E9022" t="s">
        <v>2176</v>
      </c>
      <c r="F9022" t="s">
        <v>2177</v>
      </c>
      <c r="G9022" t="s">
        <v>2178</v>
      </c>
      <c r="H9022" t="s">
        <v>2179</v>
      </c>
      <c r="I9022" t="s">
        <v>2180</v>
      </c>
      <c r="J9022" t="s">
        <v>2181</v>
      </c>
      <c r="K9022" t="s">
        <v>277</v>
      </c>
      <c r="L9022" t="s">
        <v>282</v>
      </c>
      <c r="M9022" t="s">
        <v>226</v>
      </c>
    </row>
    <row r="9023" spans="1:13" x14ac:dyDescent="0.35">
      <c r="A9023" t="s">
        <v>227</v>
      </c>
      <c r="B9023" t="s">
        <v>245</v>
      </c>
      <c r="C9023" s="2">
        <v>0.629</v>
      </c>
      <c r="D9023" s="2">
        <v>0.1188</v>
      </c>
      <c r="E9023" s="2">
        <v>0.1207</v>
      </c>
      <c r="F9023" s="2">
        <v>7.22E-2</v>
      </c>
      <c r="G9023" s="2">
        <v>2.1399999999999999E-2</v>
      </c>
      <c r="H9023" s="2">
        <v>2.3800000000000002E-2</v>
      </c>
      <c r="I9023" s="2">
        <v>8.9999999999999993E-3</v>
      </c>
      <c r="J9023" s="2">
        <v>1.8E-3</v>
      </c>
      <c r="K9023" s="2">
        <v>3.3999999999999998E-3</v>
      </c>
      <c r="M9023">
        <v>327</v>
      </c>
    </row>
    <row r="9024" spans="1:13" x14ac:dyDescent="0.35">
      <c r="A9024" t="s">
        <v>227</v>
      </c>
      <c r="B9024" t="s">
        <v>244</v>
      </c>
      <c r="C9024" s="2">
        <v>0.70889999999999997</v>
      </c>
      <c r="D9024" s="2">
        <v>0.20280000000000001</v>
      </c>
      <c r="E9024" s="2">
        <v>5.0799999999999998E-2</v>
      </c>
      <c r="F9024" s="2">
        <v>0.02</v>
      </c>
      <c r="G9024" s="2">
        <v>3.5000000000000001E-3</v>
      </c>
      <c r="H9024" s="2">
        <v>1.2999999999999999E-3</v>
      </c>
      <c r="I9024" s="2">
        <v>3.5000000000000001E-3</v>
      </c>
      <c r="J9024" s="2">
        <v>5.3E-3</v>
      </c>
      <c r="K9024" s="2">
        <v>3.3E-3</v>
      </c>
      <c r="L9024" s="2">
        <v>5.9999999999999995E-4</v>
      </c>
      <c r="M9024">
        <v>766</v>
      </c>
    </row>
    <row r="9025" spans="1:13" x14ac:dyDescent="0.35">
      <c r="A9025" t="s">
        <v>228</v>
      </c>
      <c r="B9025" t="s">
        <v>228</v>
      </c>
      <c r="C9025" s="2">
        <v>0.68469999999999998</v>
      </c>
      <c r="D9025" s="2">
        <v>0.17730000000000001</v>
      </c>
      <c r="E9025" s="2">
        <v>7.1999999999999995E-2</v>
      </c>
      <c r="F9025" s="2">
        <v>3.5799999999999998E-2</v>
      </c>
      <c r="G9025" s="2">
        <v>8.8999999999999999E-3</v>
      </c>
      <c r="H9025" s="2">
        <v>8.0999999999999996E-3</v>
      </c>
      <c r="I9025" s="2">
        <v>5.1999999999999998E-3</v>
      </c>
      <c r="J9025" s="2">
        <v>4.3E-3</v>
      </c>
      <c r="K9025" s="2">
        <v>3.3999999999999998E-3</v>
      </c>
      <c r="L9025" s="2">
        <v>4.0000000000000002E-4</v>
      </c>
      <c r="M9025">
        <v>1093</v>
      </c>
    </row>
    <row r="9027" spans="1:13" x14ac:dyDescent="0.35">
      <c r="A9027" s="1" t="s">
        <v>2189</v>
      </c>
    </row>
    <row r="9028" spans="1:13" x14ac:dyDescent="0.35">
      <c r="A9028" t="s">
        <v>219</v>
      </c>
      <c r="B9028" t="s">
        <v>301</v>
      </c>
      <c r="C9028" t="s">
        <v>2174</v>
      </c>
      <c r="D9028" t="s">
        <v>2175</v>
      </c>
      <c r="E9028" t="s">
        <v>2176</v>
      </c>
      <c r="F9028" t="s">
        <v>2177</v>
      </c>
      <c r="G9028" t="s">
        <v>2178</v>
      </c>
      <c r="H9028" t="s">
        <v>2179</v>
      </c>
      <c r="I9028" t="s">
        <v>2180</v>
      </c>
      <c r="J9028" t="s">
        <v>2181</v>
      </c>
      <c r="K9028" t="s">
        <v>277</v>
      </c>
      <c r="L9028" t="s">
        <v>282</v>
      </c>
      <c r="M9028" t="s">
        <v>226</v>
      </c>
    </row>
    <row r="9029" spans="1:13" x14ac:dyDescent="0.35">
      <c r="A9029" s="3" t="s">
        <v>227</v>
      </c>
      <c r="B9029" s="3" t="s">
        <v>259</v>
      </c>
      <c r="C9029" s="4">
        <v>0.21410000000000001</v>
      </c>
      <c r="D9029" s="4">
        <v>0.27810000000000001</v>
      </c>
      <c r="E9029" s="4">
        <v>0.1457</v>
      </c>
      <c r="F9029" s="4">
        <v>0.34699999999999998</v>
      </c>
      <c r="G9029" s="4">
        <v>9.7000000000000003E-3</v>
      </c>
      <c r="H9029" s="5"/>
      <c r="I9029" s="4">
        <v>5.4000000000000003E-3</v>
      </c>
      <c r="J9029" s="5"/>
      <c r="K9029" s="5"/>
      <c r="L9029" s="5"/>
      <c r="M9029" s="5" t="s">
        <v>1552</v>
      </c>
    </row>
    <row r="9030" spans="1:13" x14ac:dyDescent="0.35">
      <c r="A9030" t="s">
        <v>227</v>
      </c>
      <c r="B9030" t="s">
        <v>257</v>
      </c>
      <c r="C9030" s="2">
        <v>0.59560000000000002</v>
      </c>
      <c r="D9030" s="2">
        <v>0.25440000000000002</v>
      </c>
      <c r="E9030" s="2">
        <v>8.4599999999999995E-2</v>
      </c>
      <c r="F9030" s="2">
        <v>5.0000000000000001E-4</v>
      </c>
      <c r="G9030" s="2">
        <v>1.4999999999999999E-2</v>
      </c>
      <c r="H9030" s="2">
        <v>1.9E-2</v>
      </c>
      <c r="I9030" s="2">
        <v>2.2000000000000001E-3</v>
      </c>
      <c r="J9030" s="2">
        <v>2.5600000000000001E-2</v>
      </c>
      <c r="K9030" s="2">
        <v>3.0999999999999999E-3</v>
      </c>
      <c r="M9030">
        <v>145</v>
      </c>
    </row>
    <row r="9031" spans="1:13" x14ac:dyDescent="0.35">
      <c r="A9031" t="s">
        <v>227</v>
      </c>
      <c r="B9031" t="s">
        <v>256</v>
      </c>
      <c r="C9031" s="2">
        <v>0.70550000000000002</v>
      </c>
      <c r="D9031" s="2">
        <v>0.1658</v>
      </c>
      <c r="E9031" s="2">
        <v>6.9199999999999998E-2</v>
      </c>
      <c r="F9031" s="2">
        <v>3.4799999999999998E-2</v>
      </c>
      <c r="G9031" s="2">
        <v>8.3999999999999995E-3</v>
      </c>
      <c r="H9031" s="2">
        <v>6.4999999999999997E-3</v>
      </c>
      <c r="I9031" s="2">
        <v>5.8999999999999999E-3</v>
      </c>
      <c r="J9031" s="2">
        <v>5.9999999999999995E-4</v>
      </c>
      <c r="K9031" s="2">
        <v>3.0000000000000001E-3</v>
      </c>
      <c r="L9031" s="2">
        <v>5.0000000000000001E-4</v>
      </c>
      <c r="M9031">
        <v>766</v>
      </c>
    </row>
    <row r="9032" spans="1:13" x14ac:dyDescent="0.35">
      <c r="A9032" s="3" t="s">
        <v>227</v>
      </c>
      <c r="B9032" s="3" t="s">
        <v>232</v>
      </c>
      <c r="C9032" s="4">
        <v>0.67110000000000003</v>
      </c>
      <c r="D9032" s="4">
        <v>0.27600000000000002</v>
      </c>
      <c r="E9032" s="5"/>
      <c r="F9032" s="4">
        <v>5.2900000000000003E-2</v>
      </c>
      <c r="G9032" s="5"/>
      <c r="H9032" s="5"/>
      <c r="I9032" s="5"/>
      <c r="J9032" s="5"/>
      <c r="K9032" s="5"/>
      <c r="L9032" s="5"/>
      <c r="M9032" s="5" t="s">
        <v>366</v>
      </c>
    </row>
    <row r="9033" spans="1:13" x14ac:dyDescent="0.35">
      <c r="A9033" t="s">
        <v>227</v>
      </c>
      <c r="B9033" t="s">
        <v>258</v>
      </c>
      <c r="C9033" s="2">
        <v>0.72119999999999995</v>
      </c>
      <c r="D9033" s="2">
        <v>0.13200000000000001</v>
      </c>
      <c r="E9033" s="2">
        <v>6.6299999999999998E-2</v>
      </c>
      <c r="F9033" s="2">
        <v>5.3699999999999998E-2</v>
      </c>
      <c r="G9033" s="2">
        <v>3.3999999999999998E-3</v>
      </c>
      <c r="H9033" s="2">
        <v>7.4999999999999997E-3</v>
      </c>
      <c r="I9033" s="2">
        <v>3.7000000000000002E-3</v>
      </c>
      <c r="J9033" s="2">
        <v>3.7000000000000002E-3</v>
      </c>
      <c r="K9033" s="2">
        <v>8.5000000000000006E-3</v>
      </c>
      <c r="M9033">
        <v>154</v>
      </c>
    </row>
    <row r="9034" spans="1:13" x14ac:dyDescent="0.35">
      <c r="A9034" t="s">
        <v>228</v>
      </c>
      <c r="B9034" t="s">
        <v>228</v>
      </c>
      <c r="C9034" s="2">
        <v>0.68469999999999998</v>
      </c>
      <c r="D9034" s="2">
        <v>0.17730000000000001</v>
      </c>
      <c r="E9034" s="2">
        <v>7.1999999999999995E-2</v>
      </c>
      <c r="F9034" s="2">
        <v>3.5799999999999998E-2</v>
      </c>
      <c r="G9034" s="2">
        <v>8.8999999999999999E-3</v>
      </c>
      <c r="H9034" s="2">
        <v>8.0999999999999996E-3</v>
      </c>
      <c r="I9034" s="2">
        <v>5.1999999999999998E-3</v>
      </c>
      <c r="J9034" s="2">
        <v>4.3E-3</v>
      </c>
      <c r="K9034" s="2">
        <v>3.3999999999999998E-3</v>
      </c>
      <c r="L9034" s="2">
        <v>4.0000000000000002E-4</v>
      </c>
      <c r="M9034">
        <v>1093</v>
      </c>
    </row>
    <row r="9036" spans="1:13" x14ac:dyDescent="0.35">
      <c r="A9036" s="1" t="s">
        <v>2190</v>
      </c>
    </row>
    <row r="9037" spans="1:13" x14ac:dyDescent="0.35">
      <c r="A9037" t="s">
        <v>219</v>
      </c>
      <c r="B9037" t="s">
        <v>301</v>
      </c>
      <c r="C9037" t="s">
        <v>2174</v>
      </c>
      <c r="D9037" t="s">
        <v>2175</v>
      </c>
      <c r="E9037" t="s">
        <v>2176</v>
      </c>
      <c r="F9037" t="s">
        <v>2177</v>
      </c>
      <c r="G9037" t="s">
        <v>2178</v>
      </c>
      <c r="H9037" t="s">
        <v>2179</v>
      </c>
      <c r="I9037" t="s">
        <v>2180</v>
      </c>
      <c r="J9037" t="s">
        <v>2181</v>
      </c>
      <c r="K9037" t="s">
        <v>277</v>
      </c>
      <c r="L9037" t="s">
        <v>282</v>
      </c>
      <c r="M9037" t="s">
        <v>226</v>
      </c>
    </row>
    <row r="9038" spans="1:13" x14ac:dyDescent="0.35">
      <c r="A9038" t="s">
        <v>227</v>
      </c>
      <c r="B9038" t="s">
        <v>343</v>
      </c>
      <c r="C9038" s="2">
        <v>0.59560000000000002</v>
      </c>
      <c r="D9038" s="2">
        <v>0.25440000000000002</v>
      </c>
      <c r="E9038" s="2">
        <v>8.4599999999999995E-2</v>
      </c>
      <c r="F9038" s="2">
        <v>5.0000000000000001E-4</v>
      </c>
      <c r="G9038" s="2">
        <v>1.4999999999999999E-2</v>
      </c>
      <c r="H9038" s="2">
        <v>1.9E-2</v>
      </c>
      <c r="I9038" s="2">
        <v>2.2000000000000001E-3</v>
      </c>
      <c r="J9038" s="2">
        <v>2.5600000000000001E-2</v>
      </c>
      <c r="K9038" s="2">
        <v>3.0999999999999999E-3</v>
      </c>
      <c r="M9038">
        <v>145</v>
      </c>
    </row>
    <row r="9039" spans="1:13" x14ac:dyDescent="0.35">
      <c r="A9039" t="s">
        <v>227</v>
      </c>
      <c r="B9039" t="s">
        <v>344</v>
      </c>
      <c r="C9039" s="2">
        <v>0.69879999999999998</v>
      </c>
      <c r="D9039" s="2">
        <v>0.16500000000000001</v>
      </c>
      <c r="E9039" s="2">
        <v>7.0000000000000007E-2</v>
      </c>
      <c r="F9039" s="2">
        <v>4.1399999999999999E-2</v>
      </c>
      <c r="G9039" s="2">
        <v>7.9000000000000008E-3</v>
      </c>
      <c r="H9039" s="2">
        <v>6.4000000000000003E-3</v>
      </c>
      <c r="I9039" s="2">
        <v>5.5999999999999999E-3</v>
      </c>
      <c r="J9039" s="2">
        <v>8.9999999999999998E-4</v>
      </c>
      <c r="K9039" s="2">
        <v>3.3999999999999998E-3</v>
      </c>
      <c r="L9039" s="2">
        <v>5.0000000000000001E-4</v>
      </c>
      <c r="M9039">
        <v>948</v>
      </c>
    </row>
    <row r="9040" spans="1:13" x14ac:dyDescent="0.35">
      <c r="A9040" t="s">
        <v>228</v>
      </c>
      <c r="B9040" t="s">
        <v>228</v>
      </c>
      <c r="C9040" s="2">
        <v>0.68469999999999998</v>
      </c>
      <c r="D9040" s="2">
        <v>0.17730000000000001</v>
      </c>
      <c r="E9040" s="2">
        <v>7.1999999999999995E-2</v>
      </c>
      <c r="F9040" s="2">
        <v>3.5799999999999998E-2</v>
      </c>
      <c r="G9040" s="2">
        <v>8.8999999999999999E-3</v>
      </c>
      <c r="H9040" s="2">
        <v>8.0999999999999996E-3</v>
      </c>
      <c r="I9040" s="2">
        <v>5.1999999999999998E-3</v>
      </c>
      <c r="J9040" s="2">
        <v>4.3E-3</v>
      </c>
      <c r="K9040" s="2">
        <v>3.3999999999999998E-3</v>
      </c>
      <c r="L9040" s="2">
        <v>4.0000000000000002E-4</v>
      </c>
      <c r="M9040">
        <v>1093</v>
      </c>
    </row>
    <row r="9042" spans="1:13" x14ac:dyDescent="0.35">
      <c r="A9042" s="1" t="s">
        <v>2191</v>
      </c>
    </row>
    <row r="9043" spans="1:13" x14ac:dyDescent="0.35">
      <c r="A9043" t="s">
        <v>219</v>
      </c>
      <c r="B9043" t="s">
        <v>301</v>
      </c>
      <c r="C9043" t="s">
        <v>2174</v>
      </c>
      <c r="D9043" t="s">
        <v>2175</v>
      </c>
      <c r="E9043" t="s">
        <v>2176</v>
      </c>
      <c r="F9043" t="s">
        <v>2177</v>
      </c>
      <c r="G9043" t="s">
        <v>2178</v>
      </c>
      <c r="H9043" t="s">
        <v>2179</v>
      </c>
      <c r="I9043" t="s">
        <v>2180</v>
      </c>
      <c r="J9043" t="s">
        <v>2181</v>
      </c>
      <c r="K9043" t="s">
        <v>277</v>
      </c>
      <c r="L9043" t="s">
        <v>282</v>
      </c>
      <c r="M9043" t="s">
        <v>226</v>
      </c>
    </row>
    <row r="9044" spans="1:13" x14ac:dyDescent="0.35">
      <c r="A9044" t="s">
        <v>227</v>
      </c>
      <c r="B9044" t="s">
        <v>346</v>
      </c>
      <c r="C9044" s="2">
        <v>0.69189999999999996</v>
      </c>
      <c r="D9044" s="2">
        <v>0.1719</v>
      </c>
      <c r="E9044" s="2">
        <v>6.8900000000000003E-2</v>
      </c>
      <c r="F9044" s="2">
        <v>3.8800000000000001E-2</v>
      </c>
      <c r="G9044" s="2">
        <v>9.5999999999999992E-3</v>
      </c>
      <c r="H9044" s="2">
        <v>8.6999999999999994E-3</v>
      </c>
      <c r="I9044" s="2">
        <v>3.0999999999999999E-3</v>
      </c>
      <c r="J9044" s="2">
        <v>3.5000000000000001E-3</v>
      </c>
      <c r="K9044" s="2">
        <v>3.7000000000000002E-3</v>
      </c>
      <c r="M9044">
        <v>594</v>
      </c>
    </row>
    <row r="9045" spans="1:13" x14ac:dyDescent="0.35">
      <c r="A9045" t="s">
        <v>227</v>
      </c>
      <c r="B9045" t="s">
        <v>347</v>
      </c>
      <c r="C9045" s="2">
        <v>0.5887</v>
      </c>
      <c r="D9045" s="2">
        <v>0.2442</v>
      </c>
      <c r="E9045" s="2">
        <v>7.8899999999999998E-2</v>
      </c>
      <c r="F9045" s="2">
        <v>1.5699999999999999E-2</v>
      </c>
      <c r="G9045" s="2">
        <v>7.9000000000000008E-3</v>
      </c>
      <c r="H9045" s="2">
        <v>9.4999999999999998E-3</v>
      </c>
      <c r="I9045" s="2">
        <v>2.9700000000000001E-2</v>
      </c>
      <c r="J9045" s="2">
        <v>1.4999999999999999E-2</v>
      </c>
      <c r="K9045" s="2">
        <v>1.6000000000000001E-3</v>
      </c>
      <c r="L9045" s="2">
        <v>8.6999999999999994E-3</v>
      </c>
      <c r="M9045">
        <v>259</v>
      </c>
    </row>
    <row r="9046" spans="1:13" x14ac:dyDescent="0.35">
      <c r="A9046" t="s">
        <v>227</v>
      </c>
      <c r="B9046" t="s">
        <v>348</v>
      </c>
      <c r="C9046" s="2">
        <v>0.65449999999999997</v>
      </c>
      <c r="D9046" s="2">
        <v>0.2034</v>
      </c>
      <c r="E9046" s="2">
        <v>0.1085</v>
      </c>
      <c r="F9046" s="2">
        <v>9.2999999999999992E-3</v>
      </c>
      <c r="I9046" s="2">
        <v>1.66E-2</v>
      </c>
      <c r="J9046" s="2">
        <v>7.6E-3</v>
      </c>
      <c r="M9046">
        <v>240</v>
      </c>
    </row>
    <row r="9047" spans="1:13" x14ac:dyDescent="0.35">
      <c r="A9047" t="s">
        <v>228</v>
      </c>
      <c r="B9047" t="s">
        <v>228</v>
      </c>
      <c r="C9047" s="2">
        <v>0.68469999999999998</v>
      </c>
      <c r="D9047" s="2">
        <v>0.17730000000000001</v>
      </c>
      <c r="E9047" s="2">
        <v>7.1999999999999995E-2</v>
      </c>
      <c r="F9047" s="2">
        <v>3.5799999999999998E-2</v>
      </c>
      <c r="G9047" s="2">
        <v>8.8999999999999999E-3</v>
      </c>
      <c r="H9047" s="2">
        <v>8.0999999999999996E-3</v>
      </c>
      <c r="I9047" s="2">
        <v>5.1999999999999998E-3</v>
      </c>
      <c r="J9047" s="2">
        <v>4.3E-3</v>
      </c>
      <c r="K9047" s="2">
        <v>3.3999999999999998E-3</v>
      </c>
      <c r="L9047" s="2">
        <v>4.0000000000000002E-4</v>
      </c>
      <c r="M9047">
        <v>1093</v>
      </c>
    </row>
    <row r="9049" spans="1:13" x14ac:dyDescent="0.35">
      <c r="A9049" s="1" t="s">
        <v>2192</v>
      </c>
    </row>
    <row r="9050" spans="1:13" x14ac:dyDescent="0.35">
      <c r="A9050" t="s">
        <v>219</v>
      </c>
      <c r="B9050" t="s">
        <v>301</v>
      </c>
      <c r="C9050" t="s">
        <v>2174</v>
      </c>
      <c r="D9050" t="s">
        <v>2175</v>
      </c>
      <c r="E9050" t="s">
        <v>2176</v>
      </c>
      <c r="F9050" t="s">
        <v>2177</v>
      </c>
      <c r="G9050" t="s">
        <v>2178</v>
      </c>
      <c r="H9050" t="s">
        <v>2179</v>
      </c>
      <c r="I9050" t="s">
        <v>2180</v>
      </c>
      <c r="J9050" t="s">
        <v>2181</v>
      </c>
      <c r="K9050" t="s">
        <v>277</v>
      </c>
      <c r="L9050" t="s">
        <v>282</v>
      </c>
      <c r="M9050" t="s">
        <v>226</v>
      </c>
    </row>
    <row r="9051" spans="1:13" x14ac:dyDescent="0.35">
      <c r="A9051" t="s">
        <v>227</v>
      </c>
      <c r="B9051" t="s">
        <v>251</v>
      </c>
      <c r="C9051" s="2">
        <v>0.70889999999999997</v>
      </c>
      <c r="D9051" s="2">
        <v>0.20280000000000001</v>
      </c>
      <c r="E9051" s="2">
        <v>5.0799999999999998E-2</v>
      </c>
      <c r="F9051" s="2">
        <v>0.02</v>
      </c>
      <c r="G9051" s="2">
        <v>3.5000000000000001E-3</v>
      </c>
      <c r="H9051" s="2">
        <v>1.2999999999999999E-3</v>
      </c>
      <c r="I9051" s="2">
        <v>3.5000000000000001E-3</v>
      </c>
      <c r="J9051" s="2">
        <v>5.3E-3</v>
      </c>
      <c r="K9051" s="2">
        <v>3.3E-3</v>
      </c>
      <c r="L9051" s="2">
        <v>5.9999999999999995E-4</v>
      </c>
      <c r="M9051">
        <v>766</v>
      </c>
    </row>
    <row r="9052" spans="1:13" x14ac:dyDescent="0.35">
      <c r="A9052" t="s">
        <v>227</v>
      </c>
      <c r="B9052" t="s">
        <v>252</v>
      </c>
      <c r="C9052" s="2">
        <v>0.63109999999999999</v>
      </c>
      <c r="D9052" s="2">
        <v>0.1187</v>
      </c>
      <c r="E9052" s="2">
        <v>0.13519999999999999</v>
      </c>
      <c r="F9052" s="2">
        <v>7.2599999999999998E-2</v>
      </c>
      <c r="G9052" s="2">
        <v>8.6999999999999994E-3</v>
      </c>
      <c r="H9052" s="2">
        <v>2.7400000000000001E-2</v>
      </c>
      <c r="I9052" s="2">
        <v>2.3E-3</v>
      </c>
      <c r="J9052" s="2">
        <v>2E-3</v>
      </c>
      <c r="K9052" s="2">
        <v>1.8E-3</v>
      </c>
      <c r="M9052">
        <v>272</v>
      </c>
    </row>
    <row r="9053" spans="1:13" x14ac:dyDescent="0.35">
      <c r="A9053" t="s">
        <v>227</v>
      </c>
      <c r="B9053" t="s">
        <v>253</v>
      </c>
      <c r="C9053" s="2">
        <v>0.60419999999999996</v>
      </c>
      <c r="D9053" s="2">
        <v>0.12189999999999999</v>
      </c>
      <c r="E9053" s="2">
        <v>2.7E-2</v>
      </c>
      <c r="F9053" s="2">
        <v>6.6000000000000003E-2</v>
      </c>
      <c r="G9053" s="2">
        <v>0.1108</v>
      </c>
      <c r="I9053" s="2">
        <v>5.57E-2</v>
      </c>
      <c r="K9053" s="2">
        <v>1.4500000000000001E-2</v>
      </c>
      <c r="M9053">
        <v>50</v>
      </c>
    </row>
    <row r="9054" spans="1:13" x14ac:dyDescent="0.35">
      <c r="A9054" s="3" t="s">
        <v>227</v>
      </c>
      <c r="B9054" s="3" t="s">
        <v>254</v>
      </c>
      <c r="C9054" s="4">
        <v>0.79269999999999996</v>
      </c>
      <c r="D9054" s="4">
        <v>6.9199999999999998E-2</v>
      </c>
      <c r="E9054" s="5"/>
      <c r="F9054" s="4">
        <v>0.1381</v>
      </c>
      <c r="G9054" s="5"/>
      <c r="H9054" s="5"/>
      <c r="I9054" s="5"/>
      <c r="J9054" s="5"/>
      <c r="K9054" s="5"/>
      <c r="L9054" s="5"/>
      <c r="M9054" s="5" t="s">
        <v>327</v>
      </c>
    </row>
    <row r="9055" spans="1:13" x14ac:dyDescent="0.35">
      <c r="A9055" t="s">
        <v>228</v>
      </c>
      <c r="B9055" t="s">
        <v>228</v>
      </c>
      <c r="C9055" s="2">
        <v>0.68469999999999998</v>
      </c>
      <c r="D9055" s="2">
        <v>0.17730000000000001</v>
      </c>
      <c r="E9055" s="2">
        <v>7.1999999999999995E-2</v>
      </c>
      <c r="F9055" s="2">
        <v>3.5799999999999998E-2</v>
      </c>
      <c r="G9055" s="2">
        <v>8.8999999999999999E-3</v>
      </c>
      <c r="H9055" s="2">
        <v>8.0999999999999996E-3</v>
      </c>
      <c r="I9055" s="2">
        <v>5.1999999999999998E-3</v>
      </c>
      <c r="J9055" s="2">
        <v>4.3E-3</v>
      </c>
      <c r="K9055" s="2">
        <v>3.3999999999999998E-3</v>
      </c>
      <c r="L9055" s="2">
        <v>4.0000000000000002E-4</v>
      </c>
      <c r="M9055">
        <v>1093</v>
      </c>
    </row>
    <row r="9057" spans="1:10" x14ac:dyDescent="0.35">
      <c r="A9057" s="1" t="s">
        <v>2193</v>
      </c>
    </row>
    <row r="9058" spans="1:10" x14ac:dyDescent="0.35">
      <c r="A9058" t="s">
        <v>219</v>
      </c>
      <c r="B9058" t="s">
        <v>2046</v>
      </c>
      <c r="C9058" t="s">
        <v>2047</v>
      </c>
      <c r="D9058" t="s">
        <v>2048</v>
      </c>
      <c r="E9058" t="s">
        <v>277</v>
      </c>
      <c r="F9058" t="s">
        <v>2049</v>
      </c>
      <c r="G9058" t="s">
        <v>2050</v>
      </c>
      <c r="H9058" t="s">
        <v>282</v>
      </c>
      <c r="I9058" t="s">
        <v>226</v>
      </c>
    </row>
    <row r="9059" spans="1:10" x14ac:dyDescent="0.35">
      <c r="A9059" t="s">
        <v>227</v>
      </c>
      <c r="B9059" s="2">
        <v>0.96540000000000004</v>
      </c>
      <c r="C9059" s="2">
        <v>2.3E-2</v>
      </c>
      <c r="D9059" s="2">
        <v>5.1999999999999998E-3</v>
      </c>
      <c r="E9059" s="2">
        <v>3.3999999999999998E-3</v>
      </c>
      <c r="F9059" s="2">
        <v>1.5E-3</v>
      </c>
      <c r="G9059" s="2">
        <v>8.9999999999999998E-4</v>
      </c>
      <c r="H9059" s="2">
        <v>5.9999999999999995E-4</v>
      </c>
      <c r="I9059">
        <v>2813</v>
      </c>
    </row>
    <row r="9060" spans="1:10" x14ac:dyDescent="0.35">
      <c r="A9060" t="s">
        <v>228</v>
      </c>
      <c r="B9060" s="2">
        <v>0.96540000000000004</v>
      </c>
      <c r="C9060" s="2">
        <v>2.3E-2</v>
      </c>
      <c r="D9060" s="2">
        <v>5.1999999999999998E-3</v>
      </c>
      <c r="E9060" s="2">
        <v>3.3999999999999998E-3</v>
      </c>
      <c r="F9060" s="2">
        <v>1.5E-3</v>
      </c>
      <c r="G9060" s="2">
        <v>8.9999999999999998E-4</v>
      </c>
      <c r="H9060" s="2">
        <v>5.9999999999999995E-4</v>
      </c>
      <c r="I9060">
        <v>2813</v>
      </c>
    </row>
    <row r="9062" spans="1:10" x14ac:dyDescent="0.35">
      <c r="A9062" s="1" t="s">
        <v>2194</v>
      </c>
    </row>
    <row r="9063" spans="1:10" x14ac:dyDescent="0.35">
      <c r="A9063" t="s">
        <v>219</v>
      </c>
      <c r="B9063" t="s">
        <v>301</v>
      </c>
      <c r="C9063" t="s">
        <v>2046</v>
      </c>
      <c r="D9063" t="s">
        <v>2047</v>
      </c>
      <c r="E9063" t="s">
        <v>2048</v>
      </c>
      <c r="F9063" t="s">
        <v>277</v>
      </c>
      <c r="G9063" t="s">
        <v>2049</v>
      </c>
      <c r="H9063" t="s">
        <v>2050</v>
      </c>
      <c r="I9063" t="s">
        <v>282</v>
      </c>
      <c r="J9063" t="s">
        <v>226</v>
      </c>
    </row>
    <row r="9064" spans="1:10" x14ac:dyDescent="0.35">
      <c r="A9064" t="s">
        <v>227</v>
      </c>
      <c r="B9064" t="s">
        <v>238</v>
      </c>
      <c r="C9064" s="2">
        <v>0.97340000000000004</v>
      </c>
      <c r="D9064" s="2">
        <v>1.7500000000000002E-2</v>
      </c>
      <c r="E9064" s="2">
        <v>5.4999999999999997E-3</v>
      </c>
      <c r="G9064" s="2">
        <v>1.9E-3</v>
      </c>
      <c r="H9064" s="2">
        <v>1.6999999999999999E-3</v>
      </c>
      <c r="J9064">
        <v>1005</v>
      </c>
    </row>
    <row r="9065" spans="1:10" x14ac:dyDescent="0.35">
      <c r="A9065" t="s">
        <v>227</v>
      </c>
      <c r="B9065" t="s">
        <v>237</v>
      </c>
      <c r="C9065" s="2">
        <v>0.96079999999999999</v>
      </c>
      <c r="D9065" s="2">
        <v>2.63E-2</v>
      </c>
      <c r="E9065" s="2">
        <v>5.1000000000000004E-3</v>
      </c>
      <c r="F9065" s="2">
        <v>5.4000000000000003E-3</v>
      </c>
      <c r="G9065" s="2">
        <v>1.2999999999999999E-3</v>
      </c>
      <c r="H9065" s="2">
        <v>2.9999999999999997E-4</v>
      </c>
      <c r="I9065" s="2">
        <v>8.9999999999999998E-4</v>
      </c>
      <c r="J9065">
        <v>1808</v>
      </c>
    </row>
    <row r="9066" spans="1:10" x14ac:dyDescent="0.35">
      <c r="A9066" t="s">
        <v>228</v>
      </c>
      <c r="B9066" t="s">
        <v>228</v>
      </c>
      <c r="C9066" s="2">
        <v>0.96540000000000004</v>
      </c>
      <c r="D9066" s="2">
        <v>2.3E-2</v>
      </c>
      <c r="E9066" s="2">
        <v>5.1999999999999998E-3</v>
      </c>
      <c r="F9066" s="2">
        <v>3.3999999999999998E-3</v>
      </c>
      <c r="G9066" s="2">
        <v>1.5E-3</v>
      </c>
      <c r="H9066" s="2">
        <v>8.9999999999999998E-4</v>
      </c>
      <c r="I9066" s="2">
        <v>5.9999999999999995E-4</v>
      </c>
      <c r="J9066">
        <v>2813</v>
      </c>
    </row>
    <row r="9068" spans="1:10" x14ac:dyDescent="0.35">
      <c r="A9068" s="1" t="s">
        <v>2195</v>
      </c>
    </row>
    <row r="9069" spans="1:10" x14ac:dyDescent="0.35">
      <c r="A9069" t="s">
        <v>219</v>
      </c>
      <c r="B9069" t="s">
        <v>301</v>
      </c>
      <c r="C9069" t="s">
        <v>2046</v>
      </c>
      <c r="D9069" t="s">
        <v>2047</v>
      </c>
      <c r="E9069" t="s">
        <v>2048</v>
      </c>
      <c r="F9069" t="s">
        <v>277</v>
      </c>
      <c r="G9069" t="s">
        <v>2049</v>
      </c>
      <c r="H9069" t="s">
        <v>2050</v>
      </c>
      <c r="I9069" t="s">
        <v>282</v>
      </c>
      <c r="J9069" t="s">
        <v>226</v>
      </c>
    </row>
    <row r="9070" spans="1:10" x14ac:dyDescent="0.35">
      <c r="A9070" t="s">
        <v>227</v>
      </c>
      <c r="B9070" t="s">
        <v>235</v>
      </c>
      <c r="C9070" s="2">
        <v>0.96950000000000003</v>
      </c>
      <c r="D9070" s="2">
        <v>1.95E-2</v>
      </c>
      <c r="E9070" s="2">
        <v>6.8999999999999999E-3</v>
      </c>
      <c r="F9070" s="2">
        <v>2.9999999999999997E-4</v>
      </c>
      <c r="G9070" s="2">
        <v>2.8999999999999998E-3</v>
      </c>
      <c r="H9070" s="2">
        <v>2.9999999999999997E-4</v>
      </c>
      <c r="I9070" s="2">
        <v>5.9999999999999995E-4</v>
      </c>
      <c r="J9070">
        <v>992</v>
      </c>
    </row>
    <row r="9071" spans="1:10" x14ac:dyDescent="0.35">
      <c r="A9071" t="s">
        <v>227</v>
      </c>
      <c r="B9071" t="s">
        <v>234</v>
      </c>
      <c r="C9071" s="2">
        <v>0.9637</v>
      </c>
      <c r="D9071" s="2">
        <v>2.4500000000000001E-2</v>
      </c>
      <c r="E9071" s="2">
        <v>4.4999999999999997E-3</v>
      </c>
      <c r="F9071" s="2">
        <v>4.7000000000000002E-3</v>
      </c>
      <c r="G9071" s="2">
        <v>8.9999999999999998E-4</v>
      </c>
      <c r="H9071" s="2">
        <v>1.1000000000000001E-3</v>
      </c>
      <c r="I9071" s="2">
        <v>5.0000000000000001E-4</v>
      </c>
      <c r="J9071">
        <v>1821</v>
      </c>
    </row>
    <row r="9072" spans="1:10" x14ac:dyDescent="0.35">
      <c r="A9072" t="s">
        <v>228</v>
      </c>
      <c r="B9072" t="s">
        <v>228</v>
      </c>
      <c r="C9072" s="2">
        <v>0.96540000000000004</v>
      </c>
      <c r="D9072" s="2">
        <v>2.3E-2</v>
      </c>
      <c r="E9072" s="2">
        <v>5.1999999999999998E-3</v>
      </c>
      <c r="F9072" s="2">
        <v>3.3999999999999998E-3</v>
      </c>
      <c r="G9072" s="2">
        <v>1.5E-3</v>
      </c>
      <c r="H9072" s="2">
        <v>8.9999999999999998E-4</v>
      </c>
      <c r="I9072" s="2">
        <v>5.9999999999999995E-4</v>
      </c>
      <c r="J9072">
        <v>2813</v>
      </c>
    </row>
    <row r="9074" spans="1:10" x14ac:dyDescent="0.35">
      <c r="A9074" s="1" t="s">
        <v>2196</v>
      </c>
    </row>
    <row r="9075" spans="1:10" x14ac:dyDescent="0.35">
      <c r="A9075" t="s">
        <v>219</v>
      </c>
      <c r="B9075" t="s">
        <v>301</v>
      </c>
      <c r="C9075" t="s">
        <v>2046</v>
      </c>
      <c r="D9075" t="s">
        <v>2047</v>
      </c>
      <c r="E9075" t="s">
        <v>2048</v>
      </c>
      <c r="F9075" t="s">
        <v>277</v>
      </c>
      <c r="G9075" t="s">
        <v>2049</v>
      </c>
      <c r="H9075" t="s">
        <v>2050</v>
      </c>
      <c r="I9075" t="s">
        <v>282</v>
      </c>
      <c r="J9075" t="s">
        <v>226</v>
      </c>
    </row>
    <row r="9076" spans="1:10" x14ac:dyDescent="0.35">
      <c r="A9076" t="s">
        <v>227</v>
      </c>
      <c r="B9076" t="s">
        <v>240</v>
      </c>
      <c r="C9076" s="2">
        <v>0.96819999999999995</v>
      </c>
      <c r="D9076" s="2">
        <v>2.1600000000000001E-2</v>
      </c>
      <c r="E9076" s="2">
        <v>4.3E-3</v>
      </c>
      <c r="F9076" s="2">
        <v>2.7000000000000001E-3</v>
      </c>
      <c r="G9076" s="2">
        <v>2.2000000000000001E-3</v>
      </c>
      <c r="H9076" s="2">
        <v>2.9999999999999997E-4</v>
      </c>
      <c r="I9076" s="2">
        <v>5.9999999999999995E-4</v>
      </c>
      <c r="J9076">
        <v>1756</v>
      </c>
    </row>
    <row r="9077" spans="1:10" x14ac:dyDescent="0.35">
      <c r="A9077" t="s">
        <v>227</v>
      </c>
      <c r="B9077" t="s">
        <v>241</v>
      </c>
      <c r="C9077" s="2">
        <v>0.96289999999999998</v>
      </c>
      <c r="D9077" s="2">
        <v>2.47E-2</v>
      </c>
      <c r="E9077" s="2">
        <v>4.1999999999999997E-3</v>
      </c>
      <c r="F9077" s="2">
        <v>5.7000000000000002E-3</v>
      </c>
      <c r="H9077" s="2">
        <v>2.2000000000000001E-3</v>
      </c>
      <c r="I9077" s="2">
        <v>2.9999999999999997E-4</v>
      </c>
      <c r="J9077">
        <v>891</v>
      </c>
    </row>
    <row r="9078" spans="1:10" x14ac:dyDescent="0.35">
      <c r="A9078" t="s">
        <v>227</v>
      </c>
      <c r="B9078" t="s">
        <v>242</v>
      </c>
      <c r="C9078" s="2">
        <v>0.94889999999999997</v>
      </c>
      <c r="D9078" s="2">
        <v>2.8899999999999999E-2</v>
      </c>
      <c r="E9078" s="2">
        <v>1.9199999999999998E-2</v>
      </c>
      <c r="G9078" s="2">
        <v>1.2999999999999999E-3</v>
      </c>
      <c r="I9078" s="2">
        <v>1.6000000000000001E-3</v>
      </c>
      <c r="J9078">
        <v>166</v>
      </c>
    </row>
    <row r="9079" spans="1:10" x14ac:dyDescent="0.35">
      <c r="A9079" t="s">
        <v>228</v>
      </c>
      <c r="B9079" t="s">
        <v>228</v>
      </c>
      <c r="C9079" s="2">
        <v>0.96540000000000004</v>
      </c>
      <c r="D9079" s="2">
        <v>2.3E-2</v>
      </c>
      <c r="E9079" s="2">
        <v>5.1999999999999998E-3</v>
      </c>
      <c r="F9079" s="2">
        <v>3.3999999999999998E-3</v>
      </c>
      <c r="G9079" s="2">
        <v>1.5E-3</v>
      </c>
      <c r="H9079" s="2">
        <v>8.9999999999999998E-4</v>
      </c>
      <c r="I9079" s="2">
        <v>5.9999999999999995E-4</v>
      </c>
      <c r="J9079">
        <v>2813</v>
      </c>
    </row>
    <row r="9081" spans="1:10" x14ac:dyDescent="0.35">
      <c r="A9081" s="1" t="s">
        <v>2197</v>
      </c>
    </row>
    <row r="9082" spans="1:10" x14ac:dyDescent="0.35">
      <c r="A9082" t="s">
        <v>219</v>
      </c>
      <c r="B9082" t="s">
        <v>301</v>
      </c>
      <c r="C9082" t="s">
        <v>2046</v>
      </c>
      <c r="D9082" t="s">
        <v>2047</v>
      </c>
      <c r="E9082" t="s">
        <v>2048</v>
      </c>
      <c r="F9082" t="s">
        <v>277</v>
      </c>
      <c r="G9082" t="s">
        <v>2049</v>
      </c>
      <c r="H9082" t="s">
        <v>2050</v>
      </c>
      <c r="I9082" t="s">
        <v>282</v>
      </c>
      <c r="J9082" t="s">
        <v>226</v>
      </c>
    </row>
    <row r="9083" spans="1:10" x14ac:dyDescent="0.35">
      <c r="A9083" t="s">
        <v>227</v>
      </c>
      <c r="B9083" t="s">
        <v>334</v>
      </c>
      <c r="C9083" s="2">
        <v>0.95820000000000005</v>
      </c>
      <c r="D9083" s="2">
        <v>2.9499999999999998E-2</v>
      </c>
      <c r="E9083" s="2">
        <v>7.1999999999999998E-3</v>
      </c>
      <c r="H9083" s="2">
        <v>3.7000000000000002E-3</v>
      </c>
      <c r="I9083" s="2">
        <v>1.4E-3</v>
      </c>
      <c r="J9083">
        <v>625</v>
      </c>
    </row>
    <row r="9084" spans="1:10" x14ac:dyDescent="0.35">
      <c r="A9084" t="s">
        <v>227</v>
      </c>
      <c r="B9084" t="s">
        <v>335</v>
      </c>
      <c r="C9084" s="2">
        <v>0.95009999999999994</v>
      </c>
      <c r="D9084" s="2">
        <v>3.2399999999999998E-2</v>
      </c>
      <c r="E9084" s="2">
        <v>3.3E-3</v>
      </c>
      <c r="F9084" s="2">
        <v>1.14E-2</v>
      </c>
      <c r="G9084" s="2">
        <v>2.8E-3</v>
      </c>
      <c r="J9084">
        <v>628</v>
      </c>
    </row>
    <row r="9085" spans="1:10" x14ac:dyDescent="0.35">
      <c r="A9085" t="s">
        <v>227</v>
      </c>
      <c r="B9085" t="s">
        <v>336</v>
      </c>
      <c r="C9085" s="2">
        <v>0.9657</v>
      </c>
      <c r="D9085" s="2">
        <v>2.35E-2</v>
      </c>
      <c r="E9085" s="2">
        <v>6.4999999999999997E-3</v>
      </c>
      <c r="G9085" s="2">
        <v>3.3999999999999998E-3</v>
      </c>
      <c r="H9085" s="2">
        <v>4.0000000000000002E-4</v>
      </c>
      <c r="I9085" s="2">
        <v>4.0000000000000002E-4</v>
      </c>
      <c r="J9085">
        <v>621</v>
      </c>
    </row>
    <row r="9086" spans="1:10" x14ac:dyDescent="0.35">
      <c r="A9086" t="s">
        <v>227</v>
      </c>
      <c r="B9086" t="s">
        <v>337</v>
      </c>
      <c r="C9086" s="2">
        <v>0.98309999999999997</v>
      </c>
      <c r="D9086" s="2">
        <v>1.09E-2</v>
      </c>
      <c r="E9086" s="2">
        <v>6.0000000000000001E-3</v>
      </c>
      <c r="J9086">
        <v>602</v>
      </c>
    </row>
    <row r="9087" spans="1:10" x14ac:dyDescent="0.35">
      <c r="A9087" t="s">
        <v>228</v>
      </c>
      <c r="B9087" t="s">
        <v>228</v>
      </c>
      <c r="C9087" s="2">
        <v>0.96540000000000004</v>
      </c>
      <c r="D9087" s="2">
        <v>2.3E-2</v>
      </c>
      <c r="E9087" s="2">
        <v>5.1999999999999998E-3</v>
      </c>
      <c r="F9087" s="2">
        <v>3.3999999999999998E-3</v>
      </c>
      <c r="G9087" s="2">
        <v>1.5E-3</v>
      </c>
      <c r="H9087" s="2">
        <v>8.9999999999999998E-4</v>
      </c>
      <c r="I9087" s="2">
        <v>5.9999999999999995E-4</v>
      </c>
      <c r="J9087">
        <v>2476</v>
      </c>
    </row>
    <row r="9089" spans="1:10" x14ac:dyDescent="0.35">
      <c r="A9089" s="1" t="s">
        <v>2198</v>
      </c>
    </row>
    <row r="9090" spans="1:10" x14ac:dyDescent="0.35">
      <c r="A9090" t="s">
        <v>219</v>
      </c>
      <c r="B9090" t="s">
        <v>301</v>
      </c>
      <c r="C9090" t="s">
        <v>2046</v>
      </c>
      <c r="D9090" t="s">
        <v>2047</v>
      </c>
      <c r="E9090" t="s">
        <v>2048</v>
      </c>
      <c r="F9090" t="s">
        <v>277</v>
      </c>
      <c r="G9090" t="s">
        <v>2049</v>
      </c>
      <c r="H9090" t="s">
        <v>2050</v>
      </c>
      <c r="I9090" t="s">
        <v>282</v>
      </c>
      <c r="J9090" t="s">
        <v>226</v>
      </c>
    </row>
    <row r="9091" spans="1:10" x14ac:dyDescent="0.35">
      <c r="A9091" t="s">
        <v>227</v>
      </c>
      <c r="B9091" t="s">
        <v>263</v>
      </c>
      <c r="C9091" s="2">
        <v>0.97230000000000005</v>
      </c>
      <c r="D9091" s="2">
        <v>9.7000000000000003E-3</v>
      </c>
      <c r="E9091" s="2">
        <v>0.01</v>
      </c>
      <c r="F9091" s="2">
        <v>8.0999999999999996E-3</v>
      </c>
      <c r="J9091">
        <v>589</v>
      </c>
    </row>
    <row r="9092" spans="1:10" x14ac:dyDescent="0.35">
      <c r="A9092" t="s">
        <v>227</v>
      </c>
      <c r="B9092" t="s">
        <v>262</v>
      </c>
      <c r="C9092" s="2">
        <v>0.96540000000000004</v>
      </c>
      <c r="D9092" s="2">
        <v>2.35E-2</v>
      </c>
      <c r="E9092" s="2">
        <v>4.8999999999999998E-3</v>
      </c>
      <c r="F9092" s="2">
        <v>2.0000000000000001E-4</v>
      </c>
      <c r="G9092" s="2">
        <v>3.3999999999999998E-3</v>
      </c>
      <c r="H9092" s="2">
        <v>2.3E-3</v>
      </c>
      <c r="I9092" s="2">
        <v>2.0000000000000001E-4</v>
      </c>
      <c r="J9092">
        <v>1160</v>
      </c>
    </row>
    <row r="9093" spans="1:10" x14ac:dyDescent="0.35">
      <c r="A9093" t="s">
        <v>227</v>
      </c>
      <c r="B9093" t="s">
        <v>261</v>
      </c>
      <c r="C9093" s="2">
        <v>0.96189999999999998</v>
      </c>
      <c r="D9093" s="2">
        <v>2.92E-2</v>
      </c>
      <c r="E9093" s="2">
        <v>3.2000000000000002E-3</v>
      </c>
      <c r="F9093" s="2">
        <v>3.8999999999999998E-3</v>
      </c>
      <c r="G9093" s="2">
        <v>5.9999999999999995E-4</v>
      </c>
      <c r="I9093" s="2">
        <v>1.1000000000000001E-3</v>
      </c>
      <c r="J9093">
        <v>1062</v>
      </c>
    </row>
    <row r="9094" spans="1:10" x14ac:dyDescent="0.35">
      <c r="A9094" s="3" t="s">
        <v>227</v>
      </c>
      <c r="B9094" s="3" t="s">
        <v>232</v>
      </c>
      <c r="C9094" s="4">
        <v>1</v>
      </c>
      <c r="D9094" s="5"/>
      <c r="E9094" s="5"/>
      <c r="F9094" s="5"/>
      <c r="G9094" s="5"/>
      <c r="H9094" s="5"/>
      <c r="I9094" s="5"/>
      <c r="J9094" s="5" t="s">
        <v>434</v>
      </c>
    </row>
    <row r="9095" spans="1:10" x14ac:dyDescent="0.35">
      <c r="A9095" t="s">
        <v>228</v>
      </c>
      <c r="B9095" t="s">
        <v>228</v>
      </c>
      <c r="C9095" s="2">
        <v>0.96540000000000004</v>
      </c>
      <c r="D9095" s="2">
        <v>2.3E-2</v>
      </c>
      <c r="E9095" s="2">
        <v>5.1999999999999998E-3</v>
      </c>
      <c r="F9095" s="2">
        <v>3.3999999999999998E-3</v>
      </c>
      <c r="G9095" s="2">
        <v>1.5E-3</v>
      </c>
      <c r="H9095" s="2">
        <v>8.9999999999999998E-4</v>
      </c>
      <c r="I9095" s="2">
        <v>5.9999999999999995E-4</v>
      </c>
      <c r="J9095">
        <v>2813</v>
      </c>
    </row>
    <row r="9097" spans="1:10" x14ac:dyDescent="0.35">
      <c r="A9097" s="1" t="s">
        <v>2199</v>
      </c>
    </row>
    <row r="9098" spans="1:10" x14ac:dyDescent="0.35">
      <c r="A9098" t="s">
        <v>219</v>
      </c>
      <c r="B9098" t="s">
        <v>301</v>
      </c>
      <c r="C9098" t="s">
        <v>2046</v>
      </c>
      <c r="D9098" t="s">
        <v>2047</v>
      </c>
      <c r="E9098" t="s">
        <v>2048</v>
      </c>
      <c r="F9098" t="s">
        <v>277</v>
      </c>
      <c r="G9098" t="s">
        <v>2049</v>
      </c>
      <c r="H9098" t="s">
        <v>2050</v>
      </c>
      <c r="I9098" t="s">
        <v>282</v>
      </c>
      <c r="J9098" t="s">
        <v>226</v>
      </c>
    </row>
    <row r="9099" spans="1:10" x14ac:dyDescent="0.35">
      <c r="A9099" t="s">
        <v>227</v>
      </c>
      <c r="B9099" t="s">
        <v>248</v>
      </c>
      <c r="C9099" s="2">
        <v>0.97370000000000001</v>
      </c>
      <c r="D9099" s="2">
        <v>1.2800000000000001E-2</v>
      </c>
      <c r="E9099" s="2">
        <v>4.4000000000000003E-3</v>
      </c>
      <c r="F9099" s="2">
        <v>6.1000000000000004E-3</v>
      </c>
      <c r="H9099" s="2">
        <v>2.3E-3</v>
      </c>
      <c r="I9099" s="2">
        <v>5.9999999999999995E-4</v>
      </c>
      <c r="J9099">
        <v>796</v>
      </c>
    </row>
    <row r="9100" spans="1:10" x14ac:dyDescent="0.35">
      <c r="A9100" t="s">
        <v>227</v>
      </c>
      <c r="B9100" t="s">
        <v>249</v>
      </c>
      <c r="C9100" s="2">
        <v>0.96489999999999998</v>
      </c>
      <c r="D9100" s="2">
        <v>2.5100000000000001E-2</v>
      </c>
      <c r="E9100" s="2">
        <v>7.7999999999999996E-3</v>
      </c>
      <c r="H9100" s="2">
        <v>6.9999999999999999E-4</v>
      </c>
      <c r="I9100" s="2">
        <v>1.5E-3</v>
      </c>
      <c r="J9100">
        <v>541</v>
      </c>
    </row>
    <row r="9101" spans="1:10" x14ac:dyDescent="0.35">
      <c r="A9101" t="s">
        <v>227</v>
      </c>
      <c r="B9101" t="s">
        <v>247</v>
      </c>
      <c r="C9101" s="2">
        <v>0.96130000000000004</v>
      </c>
      <c r="D9101" s="2">
        <v>2.75E-2</v>
      </c>
      <c r="E9101" s="2">
        <v>4.7000000000000002E-3</v>
      </c>
      <c r="F9101" s="2">
        <v>3.3E-3</v>
      </c>
      <c r="G9101" s="2">
        <v>2.8E-3</v>
      </c>
      <c r="H9101" s="2">
        <v>2.0000000000000001E-4</v>
      </c>
      <c r="I9101" s="2">
        <v>2.0000000000000001E-4</v>
      </c>
      <c r="J9101">
        <v>1476</v>
      </c>
    </row>
    <row r="9102" spans="1:10" x14ac:dyDescent="0.35">
      <c r="A9102" t="s">
        <v>228</v>
      </c>
      <c r="B9102" t="s">
        <v>228</v>
      </c>
      <c r="C9102" s="2">
        <v>0.96540000000000004</v>
      </c>
      <c r="D9102" s="2">
        <v>2.3E-2</v>
      </c>
      <c r="E9102" s="2">
        <v>5.1999999999999998E-3</v>
      </c>
      <c r="F9102" s="2">
        <v>3.3999999999999998E-3</v>
      </c>
      <c r="G9102" s="2">
        <v>1.5E-3</v>
      </c>
      <c r="H9102" s="2">
        <v>8.9999999999999998E-4</v>
      </c>
      <c r="I9102" s="2">
        <v>5.9999999999999995E-4</v>
      </c>
      <c r="J9102">
        <v>2813</v>
      </c>
    </row>
    <row r="9104" spans="1:10" x14ac:dyDescent="0.35">
      <c r="A9104" s="1" t="s">
        <v>2200</v>
      </c>
    </row>
    <row r="9105" spans="1:10" x14ac:dyDescent="0.35">
      <c r="A9105" t="s">
        <v>219</v>
      </c>
      <c r="B9105" t="s">
        <v>301</v>
      </c>
      <c r="C9105" t="s">
        <v>2046</v>
      </c>
      <c r="D9105" t="s">
        <v>2047</v>
      </c>
      <c r="E9105" t="s">
        <v>2048</v>
      </c>
      <c r="F9105" t="s">
        <v>277</v>
      </c>
      <c r="G9105" t="s">
        <v>2049</v>
      </c>
      <c r="H9105" t="s">
        <v>2050</v>
      </c>
      <c r="I9105" t="s">
        <v>282</v>
      </c>
      <c r="J9105" t="s">
        <v>226</v>
      </c>
    </row>
    <row r="9106" spans="1:10" x14ac:dyDescent="0.35">
      <c r="A9106" t="s">
        <v>227</v>
      </c>
      <c r="B9106" t="s">
        <v>245</v>
      </c>
      <c r="C9106" s="2">
        <v>0.95669999999999999</v>
      </c>
      <c r="D9106" s="2">
        <v>3.0499999999999999E-2</v>
      </c>
      <c r="E9106" s="2">
        <v>8.6E-3</v>
      </c>
      <c r="F9106" s="2">
        <v>2.9999999999999997E-4</v>
      </c>
      <c r="G9106" s="2">
        <v>2.7000000000000001E-3</v>
      </c>
      <c r="H9106" s="2">
        <v>8.0000000000000004E-4</v>
      </c>
      <c r="I9106" s="2">
        <v>4.0000000000000002E-4</v>
      </c>
      <c r="J9106">
        <v>783</v>
      </c>
    </row>
    <row r="9107" spans="1:10" x14ac:dyDescent="0.35">
      <c r="A9107" t="s">
        <v>227</v>
      </c>
      <c r="B9107" t="s">
        <v>244</v>
      </c>
      <c r="C9107" s="2">
        <v>0.96889999999999998</v>
      </c>
      <c r="D9107" s="2">
        <v>0.02</v>
      </c>
      <c r="E9107" s="2">
        <v>3.8999999999999998E-3</v>
      </c>
      <c r="F9107" s="2">
        <v>4.7000000000000002E-3</v>
      </c>
      <c r="G9107" s="2">
        <v>1E-3</v>
      </c>
      <c r="H9107" s="2">
        <v>8.9999999999999998E-4</v>
      </c>
      <c r="I9107" s="2">
        <v>5.9999999999999995E-4</v>
      </c>
      <c r="J9107">
        <v>2030</v>
      </c>
    </row>
    <row r="9108" spans="1:10" x14ac:dyDescent="0.35">
      <c r="A9108" t="s">
        <v>228</v>
      </c>
      <c r="B9108" t="s">
        <v>228</v>
      </c>
      <c r="C9108" s="2">
        <v>0.96540000000000004</v>
      </c>
      <c r="D9108" s="2">
        <v>2.3E-2</v>
      </c>
      <c r="E9108" s="2">
        <v>5.1999999999999998E-3</v>
      </c>
      <c r="F9108" s="2">
        <v>3.3999999999999998E-3</v>
      </c>
      <c r="G9108" s="2">
        <v>1.5E-3</v>
      </c>
      <c r="H9108" s="2">
        <v>8.9999999999999998E-4</v>
      </c>
      <c r="I9108" s="2">
        <v>5.9999999999999995E-4</v>
      </c>
      <c r="J9108">
        <v>2813</v>
      </c>
    </row>
    <row r="9110" spans="1:10" x14ac:dyDescent="0.35">
      <c r="A9110" s="1" t="s">
        <v>2201</v>
      </c>
    </row>
    <row r="9111" spans="1:10" x14ac:dyDescent="0.35">
      <c r="A9111" t="s">
        <v>219</v>
      </c>
      <c r="B9111" t="s">
        <v>301</v>
      </c>
      <c r="C9111" t="s">
        <v>2046</v>
      </c>
      <c r="D9111" t="s">
        <v>2047</v>
      </c>
      <c r="E9111" t="s">
        <v>2048</v>
      </c>
      <c r="F9111" t="s">
        <v>277</v>
      </c>
      <c r="G9111" t="s">
        <v>2049</v>
      </c>
      <c r="H9111" t="s">
        <v>2050</v>
      </c>
      <c r="I9111" t="s">
        <v>282</v>
      </c>
      <c r="J9111" t="s">
        <v>226</v>
      </c>
    </row>
    <row r="9112" spans="1:10" x14ac:dyDescent="0.35">
      <c r="A9112" t="s">
        <v>227</v>
      </c>
      <c r="B9112" t="s">
        <v>259</v>
      </c>
      <c r="C9112" s="2">
        <v>0.92989999999999995</v>
      </c>
      <c r="D9112" s="2">
        <v>5.74E-2</v>
      </c>
      <c r="E9112" s="2">
        <v>1.26E-2</v>
      </c>
      <c r="J9112">
        <v>69</v>
      </c>
    </row>
    <row r="9113" spans="1:10" x14ac:dyDescent="0.35">
      <c r="A9113" t="s">
        <v>227</v>
      </c>
      <c r="B9113" t="s">
        <v>257</v>
      </c>
      <c r="C9113" s="2">
        <v>0.9506</v>
      </c>
      <c r="D9113" s="2">
        <v>3.73E-2</v>
      </c>
      <c r="E9113" s="2">
        <v>1.1999999999999999E-3</v>
      </c>
      <c r="F9113" s="2">
        <v>9.9000000000000008E-3</v>
      </c>
      <c r="H9113" s="2">
        <v>5.0000000000000001E-4</v>
      </c>
      <c r="I9113" s="2">
        <v>5.0000000000000001E-4</v>
      </c>
      <c r="J9113">
        <v>405</v>
      </c>
    </row>
    <row r="9114" spans="1:10" x14ac:dyDescent="0.35">
      <c r="A9114" t="s">
        <v>227</v>
      </c>
      <c r="B9114" t="s">
        <v>256</v>
      </c>
      <c r="C9114" s="2">
        <v>0.9698</v>
      </c>
      <c r="D9114" s="2">
        <v>1.83E-2</v>
      </c>
      <c r="E9114" s="2">
        <v>5.5999999999999999E-3</v>
      </c>
      <c r="F9114" s="2">
        <v>2.5999999999999999E-3</v>
      </c>
      <c r="G9114" s="2">
        <v>2.0999999999999999E-3</v>
      </c>
      <c r="H9114" s="2">
        <v>1.1000000000000001E-3</v>
      </c>
      <c r="I9114" s="2">
        <v>4.0000000000000002E-4</v>
      </c>
      <c r="J9114">
        <v>1803</v>
      </c>
    </row>
    <row r="9115" spans="1:10" x14ac:dyDescent="0.35">
      <c r="A9115" s="3" t="s">
        <v>227</v>
      </c>
      <c r="B9115" s="3" t="s">
        <v>232</v>
      </c>
      <c r="C9115" s="4">
        <v>1</v>
      </c>
      <c r="D9115" s="5"/>
      <c r="E9115" s="5"/>
      <c r="F9115" s="5"/>
      <c r="G9115" s="5"/>
      <c r="H9115" s="5"/>
      <c r="I9115" s="5"/>
      <c r="J9115" s="5" t="s">
        <v>307</v>
      </c>
    </row>
    <row r="9116" spans="1:10" x14ac:dyDescent="0.35">
      <c r="A9116" t="s">
        <v>227</v>
      </c>
      <c r="B9116" t="s">
        <v>258</v>
      </c>
      <c r="C9116" s="2">
        <v>0.96619999999999995</v>
      </c>
      <c r="D9116" s="2">
        <v>2.4400000000000002E-2</v>
      </c>
      <c r="E9116" s="2">
        <v>7.3000000000000001E-3</v>
      </c>
      <c r="G9116" s="2">
        <v>5.9999999999999995E-4</v>
      </c>
      <c r="H9116" s="2">
        <v>2.9999999999999997E-4</v>
      </c>
      <c r="I9116" s="2">
        <v>1.1999999999999999E-3</v>
      </c>
      <c r="J9116">
        <v>525</v>
      </c>
    </row>
    <row r="9117" spans="1:10" x14ac:dyDescent="0.35">
      <c r="A9117" t="s">
        <v>228</v>
      </c>
      <c r="B9117" t="s">
        <v>228</v>
      </c>
      <c r="C9117" s="2">
        <v>0.96540000000000004</v>
      </c>
      <c r="D9117" s="2">
        <v>2.3E-2</v>
      </c>
      <c r="E9117" s="2">
        <v>5.1999999999999998E-3</v>
      </c>
      <c r="F9117" s="2">
        <v>3.3999999999999998E-3</v>
      </c>
      <c r="G9117" s="2">
        <v>1.5E-3</v>
      </c>
      <c r="H9117" s="2">
        <v>8.9999999999999998E-4</v>
      </c>
      <c r="I9117" s="2">
        <v>5.9999999999999995E-4</v>
      </c>
      <c r="J9117">
        <v>2813</v>
      </c>
    </row>
    <row r="9119" spans="1:10" x14ac:dyDescent="0.35">
      <c r="A9119" s="1" t="s">
        <v>2202</v>
      </c>
    </row>
    <row r="9120" spans="1:10" x14ac:dyDescent="0.35">
      <c r="A9120" t="s">
        <v>219</v>
      </c>
      <c r="B9120" t="s">
        <v>301</v>
      </c>
      <c r="C9120" t="s">
        <v>2046</v>
      </c>
      <c r="D9120" t="s">
        <v>2047</v>
      </c>
      <c r="E9120" t="s">
        <v>2048</v>
      </c>
      <c r="F9120" t="s">
        <v>277</v>
      </c>
      <c r="G9120" t="s">
        <v>2049</v>
      </c>
      <c r="H9120" t="s">
        <v>2050</v>
      </c>
      <c r="I9120" t="s">
        <v>282</v>
      </c>
      <c r="J9120" t="s">
        <v>226</v>
      </c>
    </row>
    <row r="9121" spans="1:10" x14ac:dyDescent="0.35">
      <c r="A9121" t="s">
        <v>227</v>
      </c>
      <c r="B9121" t="s">
        <v>343</v>
      </c>
      <c r="C9121" s="2">
        <v>0.9506</v>
      </c>
      <c r="D9121" s="2">
        <v>3.73E-2</v>
      </c>
      <c r="E9121" s="2">
        <v>1.1999999999999999E-3</v>
      </c>
      <c r="F9121" s="2">
        <v>9.9000000000000008E-3</v>
      </c>
      <c r="H9121" s="2">
        <v>5.0000000000000001E-4</v>
      </c>
      <c r="I9121" s="2">
        <v>5.0000000000000001E-4</v>
      </c>
      <c r="J9121">
        <v>405</v>
      </c>
    </row>
    <row r="9122" spans="1:10" x14ac:dyDescent="0.35">
      <c r="A9122" t="s">
        <v>227</v>
      </c>
      <c r="B9122" t="s">
        <v>344</v>
      </c>
      <c r="C9122" s="2">
        <v>0.96840000000000004</v>
      </c>
      <c r="D9122" s="2">
        <v>2.01E-2</v>
      </c>
      <c r="E9122" s="2">
        <v>6.1000000000000004E-3</v>
      </c>
      <c r="F9122" s="2">
        <v>2.0999999999999999E-3</v>
      </c>
      <c r="G9122" s="2">
        <v>1.8E-3</v>
      </c>
      <c r="H9122" s="2">
        <v>8.9999999999999998E-4</v>
      </c>
      <c r="I9122" s="2">
        <v>5.9999999999999995E-4</v>
      </c>
      <c r="J9122">
        <v>2408</v>
      </c>
    </row>
    <row r="9123" spans="1:10" x14ac:dyDescent="0.35">
      <c r="A9123" t="s">
        <v>228</v>
      </c>
      <c r="B9123" t="s">
        <v>228</v>
      </c>
      <c r="C9123" s="2">
        <v>0.96540000000000004</v>
      </c>
      <c r="D9123" s="2">
        <v>2.3E-2</v>
      </c>
      <c r="E9123" s="2">
        <v>5.1999999999999998E-3</v>
      </c>
      <c r="F9123" s="2">
        <v>3.3999999999999998E-3</v>
      </c>
      <c r="G9123" s="2">
        <v>1.5E-3</v>
      </c>
      <c r="H9123" s="2">
        <v>8.9999999999999998E-4</v>
      </c>
      <c r="I9123" s="2">
        <v>5.9999999999999995E-4</v>
      </c>
      <c r="J9123">
        <v>2813</v>
      </c>
    </row>
    <row r="9125" spans="1:10" x14ac:dyDescent="0.35">
      <c r="A9125" s="1" t="s">
        <v>2203</v>
      </c>
    </row>
    <row r="9126" spans="1:10" x14ac:dyDescent="0.35">
      <c r="A9126" t="s">
        <v>219</v>
      </c>
      <c r="B9126" t="s">
        <v>301</v>
      </c>
      <c r="C9126" t="s">
        <v>2046</v>
      </c>
      <c r="D9126" t="s">
        <v>2047</v>
      </c>
      <c r="E9126" t="s">
        <v>2048</v>
      </c>
      <c r="F9126" t="s">
        <v>277</v>
      </c>
      <c r="G9126" t="s">
        <v>2049</v>
      </c>
      <c r="H9126" t="s">
        <v>2050</v>
      </c>
      <c r="I9126" t="s">
        <v>282</v>
      </c>
      <c r="J9126" t="s">
        <v>226</v>
      </c>
    </row>
    <row r="9127" spans="1:10" x14ac:dyDescent="0.35">
      <c r="A9127" t="s">
        <v>227</v>
      </c>
      <c r="B9127" t="s">
        <v>346</v>
      </c>
      <c r="C9127" s="2">
        <v>0.9657</v>
      </c>
      <c r="D9127" s="2">
        <v>2.3900000000000001E-2</v>
      </c>
      <c r="E9127" s="2">
        <v>4.0000000000000001E-3</v>
      </c>
      <c r="F9127" s="2">
        <v>3.8999999999999998E-3</v>
      </c>
      <c r="G9127" s="2">
        <v>1.5E-3</v>
      </c>
      <c r="H9127" s="2">
        <v>8.0000000000000004E-4</v>
      </c>
      <c r="I9127" s="2">
        <v>2.0000000000000001E-4</v>
      </c>
      <c r="J9127">
        <v>1463</v>
      </c>
    </row>
    <row r="9128" spans="1:10" x14ac:dyDescent="0.35">
      <c r="A9128" t="s">
        <v>227</v>
      </c>
      <c r="B9128" t="s">
        <v>347</v>
      </c>
      <c r="C9128" s="2">
        <v>0.93769999999999998</v>
      </c>
      <c r="D9128" s="2">
        <v>3.0700000000000002E-2</v>
      </c>
      <c r="E9128" s="2">
        <v>1.8700000000000001E-2</v>
      </c>
      <c r="F9128" s="2">
        <v>2.3E-3</v>
      </c>
      <c r="G9128" s="2">
        <v>2.2000000000000001E-3</v>
      </c>
      <c r="H9128" s="2">
        <v>3.5000000000000001E-3</v>
      </c>
      <c r="I9128" s="2">
        <v>4.7999999999999996E-3</v>
      </c>
      <c r="J9128">
        <v>585</v>
      </c>
    </row>
    <row r="9129" spans="1:10" x14ac:dyDescent="0.35">
      <c r="A9129" t="s">
        <v>227</v>
      </c>
      <c r="B9129" t="s">
        <v>348</v>
      </c>
      <c r="C9129" s="2">
        <v>0.97340000000000004</v>
      </c>
      <c r="D9129" s="2">
        <v>1.23E-2</v>
      </c>
      <c r="E9129" s="2">
        <v>1.15E-2</v>
      </c>
      <c r="G9129" s="2">
        <v>8.9999999999999998E-4</v>
      </c>
      <c r="I9129" s="2">
        <v>1.9E-3</v>
      </c>
      <c r="J9129">
        <v>765</v>
      </c>
    </row>
    <row r="9130" spans="1:10" x14ac:dyDescent="0.35">
      <c r="A9130" t="s">
        <v>228</v>
      </c>
      <c r="B9130" t="s">
        <v>228</v>
      </c>
      <c r="C9130" s="2">
        <v>0.96540000000000004</v>
      </c>
      <c r="D9130" s="2">
        <v>2.3E-2</v>
      </c>
      <c r="E9130" s="2">
        <v>5.1999999999999998E-3</v>
      </c>
      <c r="F9130" s="2">
        <v>3.3999999999999998E-3</v>
      </c>
      <c r="G9130" s="2">
        <v>1.5E-3</v>
      </c>
      <c r="H9130" s="2">
        <v>8.9999999999999998E-4</v>
      </c>
      <c r="I9130" s="2">
        <v>5.9999999999999995E-4</v>
      </c>
      <c r="J9130">
        <v>2813</v>
      </c>
    </row>
    <row r="9132" spans="1:10" x14ac:dyDescent="0.35">
      <c r="A9132" s="1" t="s">
        <v>2204</v>
      </c>
    </row>
    <row r="9133" spans="1:10" x14ac:dyDescent="0.35">
      <c r="A9133" t="s">
        <v>219</v>
      </c>
      <c r="B9133" t="s">
        <v>301</v>
      </c>
      <c r="C9133" t="s">
        <v>2046</v>
      </c>
      <c r="D9133" t="s">
        <v>2047</v>
      </c>
      <c r="E9133" t="s">
        <v>2048</v>
      </c>
      <c r="F9133" t="s">
        <v>277</v>
      </c>
      <c r="G9133" t="s">
        <v>2049</v>
      </c>
      <c r="H9133" t="s">
        <v>2050</v>
      </c>
      <c r="I9133" t="s">
        <v>282</v>
      </c>
      <c r="J9133" t="s">
        <v>226</v>
      </c>
    </row>
    <row r="9134" spans="1:10" x14ac:dyDescent="0.35">
      <c r="A9134" t="s">
        <v>227</v>
      </c>
      <c r="B9134" t="s">
        <v>251</v>
      </c>
      <c r="C9134" s="2">
        <v>0.96889999999999998</v>
      </c>
      <c r="D9134" s="2">
        <v>0.02</v>
      </c>
      <c r="E9134" s="2">
        <v>3.8999999999999998E-3</v>
      </c>
      <c r="F9134" s="2">
        <v>4.7000000000000002E-3</v>
      </c>
      <c r="G9134" s="2">
        <v>1E-3</v>
      </c>
      <c r="H9134" s="2">
        <v>8.9999999999999998E-4</v>
      </c>
      <c r="I9134" s="2">
        <v>5.9999999999999995E-4</v>
      </c>
      <c r="J9134">
        <v>2030</v>
      </c>
    </row>
    <row r="9135" spans="1:10" x14ac:dyDescent="0.35">
      <c r="A9135" t="s">
        <v>227</v>
      </c>
      <c r="B9135" t="s">
        <v>252</v>
      </c>
      <c r="C9135" s="2">
        <v>0.95630000000000004</v>
      </c>
      <c r="D9135" s="2">
        <v>3.1600000000000003E-2</v>
      </c>
      <c r="E9135" s="2">
        <v>1.03E-2</v>
      </c>
      <c r="G9135" s="2">
        <v>6.9999999999999999E-4</v>
      </c>
      <c r="H9135" s="2">
        <v>5.9999999999999995E-4</v>
      </c>
      <c r="I9135" s="2">
        <v>5.0000000000000001E-4</v>
      </c>
      <c r="J9135">
        <v>621</v>
      </c>
    </row>
    <row r="9136" spans="1:10" x14ac:dyDescent="0.35">
      <c r="A9136" t="s">
        <v>227</v>
      </c>
      <c r="B9136" t="s">
        <v>253</v>
      </c>
      <c r="C9136" s="2">
        <v>0.95689999999999997</v>
      </c>
      <c r="D9136" s="2">
        <v>2.6800000000000001E-2</v>
      </c>
      <c r="E9136" s="2">
        <v>1.6999999999999999E-3</v>
      </c>
      <c r="F9136" s="2">
        <v>1.6000000000000001E-3</v>
      </c>
      <c r="G9136" s="2">
        <v>1.15E-2</v>
      </c>
      <c r="H9136" s="2">
        <v>1.5E-3</v>
      </c>
      <c r="J9136">
        <v>153</v>
      </c>
    </row>
    <row r="9137" spans="1:10" x14ac:dyDescent="0.35">
      <c r="A9137" s="3" t="s">
        <v>227</v>
      </c>
      <c r="B9137" s="3" t="s">
        <v>254</v>
      </c>
      <c r="C9137" s="4">
        <v>1</v>
      </c>
      <c r="D9137" s="5"/>
      <c r="E9137" s="5"/>
      <c r="F9137" s="5"/>
      <c r="G9137" s="5"/>
      <c r="H9137" s="5"/>
      <c r="I9137" s="5"/>
      <c r="J9137" s="5" t="s">
        <v>515</v>
      </c>
    </row>
    <row r="9138" spans="1:10" x14ac:dyDescent="0.35">
      <c r="A9138" t="s">
        <v>228</v>
      </c>
      <c r="B9138" t="s">
        <v>228</v>
      </c>
      <c r="C9138" s="2">
        <v>0.96540000000000004</v>
      </c>
      <c r="D9138" s="2">
        <v>2.3E-2</v>
      </c>
      <c r="E9138" s="2">
        <v>5.1999999999999998E-3</v>
      </c>
      <c r="F9138" s="2">
        <v>3.3999999999999998E-3</v>
      </c>
      <c r="G9138" s="2">
        <v>1.5E-3</v>
      </c>
      <c r="H9138" s="2">
        <v>8.9999999999999998E-4</v>
      </c>
      <c r="I9138" s="2">
        <v>5.9999999999999995E-4</v>
      </c>
      <c r="J9138">
        <v>2813</v>
      </c>
    </row>
    <row r="9140" spans="1:10" x14ac:dyDescent="0.35">
      <c r="A9140" s="1" t="s">
        <v>2205</v>
      </c>
    </row>
    <row r="9141" spans="1:10" x14ac:dyDescent="0.35">
      <c r="A9141" t="s">
        <v>219</v>
      </c>
      <c r="B9141" t="s">
        <v>2046</v>
      </c>
      <c r="C9141" t="s">
        <v>2047</v>
      </c>
      <c r="D9141" t="s">
        <v>2048</v>
      </c>
      <c r="E9141" t="s">
        <v>2050</v>
      </c>
      <c r="F9141" t="s">
        <v>2049</v>
      </c>
      <c r="G9141" t="s">
        <v>277</v>
      </c>
      <c r="H9141" t="s">
        <v>282</v>
      </c>
      <c r="I9141" t="s">
        <v>226</v>
      </c>
    </row>
    <row r="9142" spans="1:10" x14ac:dyDescent="0.35">
      <c r="A9142" t="s">
        <v>227</v>
      </c>
      <c r="B9142" s="2">
        <v>0.92430000000000001</v>
      </c>
      <c r="C9142" s="2">
        <v>4.2900000000000001E-2</v>
      </c>
      <c r="D9142" s="2">
        <v>1.7299999999999999E-2</v>
      </c>
      <c r="E9142" s="2">
        <v>5.7000000000000002E-3</v>
      </c>
      <c r="F9142" s="2">
        <v>4.7999999999999996E-3</v>
      </c>
      <c r="G9142" s="2">
        <v>3.3999999999999998E-3</v>
      </c>
      <c r="H9142" s="2">
        <v>1.6000000000000001E-3</v>
      </c>
      <c r="I9142">
        <v>2813</v>
      </c>
    </row>
    <row r="9143" spans="1:10" x14ac:dyDescent="0.35">
      <c r="A9143" t="s">
        <v>228</v>
      </c>
      <c r="B9143" s="2">
        <v>0.92430000000000001</v>
      </c>
      <c r="C9143" s="2">
        <v>4.2900000000000001E-2</v>
      </c>
      <c r="D9143" s="2">
        <v>1.7299999999999999E-2</v>
      </c>
      <c r="E9143" s="2">
        <v>5.7000000000000002E-3</v>
      </c>
      <c r="F9143" s="2">
        <v>4.7999999999999996E-3</v>
      </c>
      <c r="G9143" s="2">
        <v>3.3999999999999998E-3</v>
      </c>
      <c r="H9143" s="2">
        <v>1.6000000000000001E-3</v>
      </c>
      <c r="I9143">
        <v>2813</v>
      </c>
    </row>
    <row r="9145" spans="1:10" x14ac:dyDescent="0.35">
      <c r="A9145" s="1" t="s">
        <v>2206</v>
      </c>
    </row>
    <row r="9146" spans="1:10" x14ac:dyDescent="0.35">
      <c r="A9146" t="s">
        <v>219</v>
      </c>
      <c r="B9146" t="s">
        <v>301</v>
      </c>
      <c r="C9146" t="s">
        <v>2046</v>
      </c>
      <c r="D9146" t="s">
        <v>2047</v>
      </c>
      <c r="E9146" t="s">
        <v>2048</v>
      </c>
      <c r="F9146" t="s">
        <v>2050</v>
      </c>
      <c r="G9146" t="s">
        <v>2049</v>
      </c>
      <c r="H9146" t="s">
        <v>277</v>
      </c>
      <c r="I9146" t="s">
        <v>282</v>
      </c>
      <c r="J9146" t="s">
        <v>226</v>
      </c>
    </row>
    <row r="9147" spans="1:10" x14ac:dyDescent="0.35">
      <c r="A9147" t="s">
        <v>227</v>
      </c>
      <c r="B9147" t="s">
        <v>238</v>
      </c>
      <c r="C9147" s="2">
        <v>0.9113</v>
      </c>
      <c r="D9147" s="2">
        <v>5.1700000000000003E-2</v>
      </c>
      <c r="E9147" s="2">
        <v>1.3599999999999999E-2</v>
      </c>
      <c r="F9147" s="2">
        <v>1.0999999999999999E-2</v>
      </c>
      <c r="G9147" s="2">
        <v>8.9999999999999993E-3</v>
      </c>
      <c r="H9147" s="2">
        <v>5.0000000000000001E-4</v>
      </c>
      <c r="I9147" s="2">
        <v>2.8E-3</v>
      </c>
      <c r="J9147">
        <v>1005</v>
      </c>
    </row>
    <row r="9148" spans="1:10" x14ac:dyDescent="0.35">
      <c r="A9148" t="s">
        <v>227</v>
      </c>
      <c r="B9148" t="s">
        <v>237</v>
      </c>
      <c r="C9148" s="2">
        <v>0.93189999999999995</v>
      </c>
      <c r="D9148" s="2">
        <v>3.78E-2</v>
      </c>
      <c r="E9148" s="2">
        <v>1.95E-2</v>
      </c>
      <c r="F9148" s="2">
        <v>2.5999999999999999E-3</v>
      </c>
      <c r="G9148" s="2">
        <v>2.3999999999999998E-3</v>
      </c>
      <c r="H9148" s="2">
        <v>5.0000000000000001E-3</v>
      </c>
      <c r="I9148" s="2">
        <v>8.9999999999999998E-4</v>
      </c>
      <c r="J9148">
        <v>1808</v>
      </c>
    </row>
    <row r="9149" spans="1:10" x14ac:dyDescent="0.35">
      <c r="A9149" t="s">
        <v>228</v>
      </c>
      <c r="B9149" t="s">
        <v>228</v>
      </c>
      <c r="C9149" s="2">
        <v>0.92430000000000001</v>
      </c>
      <c r="D9149" s="2">
        <v>4.2900000000000001E-2</v>
      </c>
      <c r="E9149" s="2">
        <v>1.7299999999999999E-2</v>
      </c>
      <c r="F9149" s="2">
        <v>5.7000000000000002E-3</v>
      </c>
      <c r="G9149" s="2">
        <v>4.7999999999999996E-3</v>
      </c>
      <c r="H9149" s="2">
        <v>3.3999999999999998E-3</v>
      </c>
      <c r="I9149" s="2">
        <v>1.6000000000000001E-3</v>
      </c>
      <c r="J9149">
        <v>2813</v>
      </c>
    </row>
    <row r="9151" spans="1:10" x14ac:dyDescent="0.35">
      <c r="A9151" s="1" t="s">
        <v>2207</v>
      </c>
    </row>
    <row r="9152" spans="1:10" x14ac:dyDescent="0.35">
      <c r="A9152" t="s">
        <v>219</v>
      </c>
      <c r="B9152" t="s">
        <v>301</v>
      </c>
      <c r="C9152" t="s">
        <v>2046</v>
      </c>
      <c r="D9152" t="s">
        <v>2047</v>
      </c>
      <c r="E9152" t="s">
        <v>2048</v>
      </c>
      <c r="F9152" t="s">
        <v>2050</v>
      </c>
      <c r="G9152" t="s">
        <v>2049</v>
      </c>
      <c r="H9152" t="s">
        <v>277</v>
      </c>
      <c r="I9152" t="s">
        <v>282</v>
      </c>
      <c r="J9152" t="s">
        <v>226</v>
      </c>
    </row>
    <row r="9153" spans="1:10" x14ac:dyDescent="0.35">
      <c r="A9153" t="s">
        <v>227</v>
      </c>
      <c r="B9153" t="s">
        <v>235</v>
      </c>
      <c r="C9153" s="2">
        <v>0.90629999999999999</v>
      </c>
      <c r="D9153" s="2">
        <v>5.5100000000000003E-2</v>
      </c>
      <c r="E9153" s="2">
        <v>1.95E-2</v>
      </c>
      <c r="F9153" s="2">
        <v>9.2999999999999992E-3</v>
      </c>
      <c r="G9153" s="2">
        <v>8.0999999999999996E-3</v>
      </c>
      <c r="H9153" s="2">
        <v>4.0000000000000002E-4</v>
      </c>
      <c r="I9153" s="2">
        <v>1.2999999999999999E-3</v>
      </c>
      <c r="J9153">
        <v>992</v>
      </c>
    </row>
    <row r="9154" spans="1:10" x14ac:dyDescent="0.35">
      <c r="A9154" t="s">
        <v>227</v>
      </c>
      <c r="B9154" t="s">
        <v>234</v>
      </c>
      <c r="C9154" s="2">
        <v>0.93189999999999995</v>
      </c>
      <c r="D9154" s="2">
        <v>3.78E-2</v>
      </c>
      <c r="E9154" s="2">
        <v>1.6400000000000001E-2</v>
      </c>
      <c r="F9154" s="2">
        <v>4.1999999999999997E-3</v>
      </c>
      <c r="G9154" s="2">
        <v>3.3999999999999998E-3</v>
      </c>
      <c r="H9154" s="2">
        <v>4.5999999999999999E-3</v>
      </c>
      <c r="I9154" s="2">
        <v>1.6999999999999999E-3</v>
      </c>
      <c r="J9154">
        <v>1821</v>
      </c>
    </row>
    <row r="9155" spans="1:10" x14ac:dyDescent="0.35">
      <c r="A9155" t="s">
        <v>228</v>
      </c>
      <c r="B9155" t="s">
        <v>228</v>
      </c>
      <c r="C9155" s="2">
        <v>0.92430000000000001</v>
      </c>
      <c r="D9155" s="2">
        <v>4.2900000000000001E-2</v>
      </c>
      <c r="E9155" s="2">
        <v>1.7299999999999999E-2</v>
      </c>
      <c r="F9155" s="2">
        <v>5.7000000000000002E-3</v>
      </c>
      <c r="G9155" s="2">
        <v>4.7999999999999996E-3</v>
      </c>
      <c r="H9155" s="2">
        <v>3.3999999999999998E-3</v>
      </c>
      <c r="I9155" s="2">
        <v>1.6000000000000001E-3</v>
      </c>
      <c r="J9155">
        <v>2813</v>
      </c>
    </row>
    <row r="9157" spans="1:10" x14ac:dyDescent="0.35">
      <c r="A9157" s="1" t="s">
        <v>2208</v>
      </c>
    </row>
    <row r="9158" spans="1:10" x14ac:dyDescent="0.35">
      <c r="A9158" t="s">
        <v>219</v>
      </c>
      <c r="B9158" t="s">
        <v>301</v>
      </c>
      <c r="C9158" t="s">
        <v>2046</v>
      </c>
      <c r="D9158" t="s">
        <v>2047</v>
      </c>
      <c r="E9158" t="s">
        <v>2048</v>
      </c>
      <c r="F9158" t="s">
        <v>2050</v>
      </c>
      <c r="G9158" t="s">
        <v>2049</v>
      </c>
      <c r="H9158" t="s">
        <v>277</v>
      </c>
      <c r="I9158" t="s">
        <v>282</v>
      </c>
      <c r="J9158" t="s">
        <v>226</v>
      </c>
    </row>
    <row r="9159" spans="1:10" x14ac:dyDescent="0.35">
      <c r="A9159" t="s">
        <v>227</v>
      </c>
      <c r="B9159" t="s">
        <v>240</v>
      </c>
      <c r="C9159" s="2">
        <v>0.92459999999999998</v>
      </c>
      <c r="D9159" s="2">
        <v>4.36E-2</v>
      </c>
      <c r="E9159" s="2">
        <v>1.6199999999999999E-2</v>
      </c>
      <c r="F9159" s="2">
        <v>4.8999999999999998E-3</v>
      </c>
      <c r="G9159" s="2">
        <v>5.3E-3</v>
      </c>
      <c r="H9159" s="2">
        <v>3.2000000000000002E-3</v>
      </c>
      <c r="I9159" s="2">
        <v>2.2000000000000001E-3</v>
      </c>
      <c r="J9159">
        <v>1756</v>
      </c>
    </row>
    <row r="9160" spans="1:10" x14ac:dyDescent="0.35">
      <c r="A9160" t="s">
        <v>227</v>
      </c>
      <c r="B9160" t="s">
        <v>241</v>
      </c>
      <c r="C9160" s="2">
        <v>0.93059999999999998</v>
      </c>
      <c r="D9160" s="2">
        <v>4.1700000000000001E-2</v>
      </c>
      <c r="E9160" s="2">
        <v>1.44E-2</v>
      </c>
      <c r="F9160" s="2">
        <v>5.4000000000000003E-3</v>
      </c>
      <c r="G9160" s="2">
        <v>3.5000000000000001E-3</v>
      </c>
      <c r="H9160" s="2">
        <v>4.1999999999999997E-3</v>
      </c>
      <c r="I9160" s="2">
        <v>2.9999999999999997E-4</v>
      </c>
      <c r="J9160">
        <v>891</v>
      </c>
    </row>
    <row r="9161" spans="1:10" x14ac:dyDescent="0.35">
      <c r="A9161" t="s">
        <v>227</v>
      </c>
      <c r="B9161" t="s">
        <v>242</v>
      </c>
      <c r="C9161" s="2">
        <v>0.89370000000000005</v>
      </c>
      <c r="D9161" s="2">
        <v>4.1200000000000001E-2</v>
      </c>
      <c r="E9161" s="2">
        <v>4.1500000000000002E-2</v>
      </c>
      <c r="F9161" s="2">
        <v>1.47E-2</v>
      </c>
      <c r="G9161" s="2">
        <v>5.8999999999999999E-3</v>
      </c>
      <c r="H9161" s="2">
        <v>1.2999999999999999E-3</v>
      </c>
      <c r="I9161" s="2">
        <v>1.6000000000000001E-3</v>
      </c>
      <c r="J9161">
        <v>166</v>
      </c>
    </row>
    <row r="9162" spans="1:10" x14ac:dyDescent="0.35">
      <c r="A9162" t="s">
        <v>228</v>
      </c>
      <c r="B9162" t="s">
        <v>228</v>
      </c>
      <c r="C9162" s="2">
        <v>0.92430000000000001</v>
      </c>
      <c r="D9162" s="2">
        <v>4.2900000000000001E-2</v>
      </c>
      <c r="E9162" s="2">
        <v>1.7299999999999999E-2</v>
      </c>
      <c r="F9162" s="2">
        <v>5.7000000000000002E-3</v>
      </c>
      <c r="G9162" s="2">
        <v>4.7999999999999996E-3</v>
      </c>
      <c r="H9162" s="2">
        <v>3.3999999999999998E-3</v>
      </c>
      <c r="I9162" s="2">
        <v>1.6000000000000001E-3</v>
      </c>
      <c r="J9162">
        <v>2813</v>
      </c>
    </row>
    <row r="9164" spans="1:10" x14ac:dyDescent="0.35">
      <c r="A9164" s="1" t="s">
        <v>2209</v>
      </c>
    </row>
    <row r="9165" spans="1:10" x14ac:dyDescent="0.35">
      <c r="A9165" t="s">
        <v>219</v>
      </c>
      <c r="B9165" t="s">
        <v>301</v>
      </c>
      <c r="C9165" t="s">
        <v>2046</v>
      </c>
      <c r="D9165" t="s">
        <v>2047</v>
      </c>
      <c r="E9165" t="s">
        <v>2048</v>
      </c>
      <c r="F9165" t="s">
        <v>2050</v>
      </c>
      <c r="G9165" t="s">
        <v>2049</v>
      </c>
      <c r="H9165" t="s">
        <v>277</v>
      </c>
      <c r="I9165" t="s">
        <v>282</v>
      </c>
      <c r="J9165" t="s">
        <v>226</v>
      </c>
    </row>
    <row r="9166" spans="1:10" x14ac:dyDescent="0.35">
      <c r="A9166" t="s">
        <v>227</v>
      </c>
      <c r="B9166" t="s">
        <v>334</v>
      </c>
      <c r="C9166" s="2">
        <v>0.86819999999999997</v>
      </c>
      <c r="D9166" s="2">
        <v>6.3200000000000006E-2</v>
      </c>
      <c r="E9166" s="2">
        <v>2.93E-2</v>
      </c>
      <c r="F9166" s="2">
        <v>1.06E-2</v>
      </c>
      <c r="G9166" s="2">
        <v>1.12E-2</v>
      </c>
      <c r="H9166" s="2">
        <v>1.5100000000000001E-2</v>
      </c>
      <c r="I9166" s="2">
        <v>2.3E-3</v>
      </c>
      <c r="J9166">
        <v>625</v>
      </c>
    </row>
    <row r="9167" spans="1:10" x14ac:dyDescent="0.35">
      <c r="A9167" t="s">
        <v>227</v>
      </c>
      <c r="B9167" t="s">
        <v>335</v>
      </c>
      <c r="C9167" s="2">
        <v>0.94510000000000005</v>
      </c>
      <c r="D9167" s="2">
        <v>3.2500000000000001E-2</v>
      </c>
      <c r="E9167" s="2">
        <v>1.4800000000000001E-2</v>
      </c>
      <c r="F9167" s="2">
        <v>4.0000000000000001E-3</v>
      </c>
      <c r="G9167" s="2">
        <v>3.5999999999999999E-3</v>
      </c>
      <c r="J9167">
        <v>628</v>
      </c>
    </row>
    <row r="9168" spans="1:10" x14ac:dyDescent="0.35">
      <c r="A9168" t="s">
        <v>227</v>
      </c>
      <c r="B9168" t="s">
        <v>336</v>
      </c>
      <c r="C9168" s="2">
        <v>0.93679999999999997</v>
      </c>
      <c r="D9168" s="2">
        <v>3.7400000000000003E-2</v>
      </c>
      <c r="E9168" s="2">
        <v>1.12E-2</v>
      </c>
      <c r="F9168" s="2">
        <v>9.7000000000000003E-3</v>
      </c>
      <c r="G9168" s="2">
        <v>4.1000000000000003E-3</v>
      </c>
      <c r="H9168" s="2">
        <v>4.0000000000000002E-4</v>
      </c>
      <c r="I9168" s="2">
        <v>4.0000000000000002E-4</v>
      </c>
      <c r="J9168">
        <v>621</v>
      </c>
    </row>
    <row r="9169" spans="1:10" x14ac:dyDescent="0.35">
      <c r="A9169" t="s">
        <v>227</v>
      </c>
      <c r="B9169" t="s">
        <v>337</v>
      </c>
      <c r="C9169" s="2">
        <v>0.93359999999999999</v>
      </c>
      <c r="D9169" s="2">
        <v>3.8800000000000001E-2</v>
      </c>
      <c r="E9169" s="2">
        <v>2.0500000000000001E-2</v>
      </c>
      <c r="F9169" s="2">
        <v>1E-3</v>
      </c>
      <c r="G9169" s="2">
        <v>1.9E-3</v>
      </c>
      <c r="I9169" s="2">
        <v>4.1000000000000003E-3</v>
      </c>
      <c r="J9169">
        <v>602</v>
      </c>
    </row>
    <row r="9170" spans="1:10" x14ac:dyDescent="0.35">
      <c r="A9170" t="s">
        <v>228</v>
      </c>
      <c r="B9170" t="s">
        <v>228</v>
      </c>
      <c r="C9170" s="2">
        <v>0.92430000000000001</v>
      </c>
      <c r="D9170" s="2">
        <v>4.2900000000000001E-2</v>
      </c>
      <c r="E9170" s="2">
        <v>1.7299999999999999E-2</v>
      </c>
      <c r="F9170" s="2">
        <v>5.7000000000000002E-3</v>
      </c>
      <c r="G9170" s="2">
        <v>4.7999999999999996E-3</v>
      </c>
      <c r="H9170" s="2">
        <v>3.3999999999999998E-3</v>
      </c>
      <c r="I9170" s="2">
        <v>1.6000000000000001E-3</v>
      </c>
      <c r="J9170">
        <v>2476</v>
      </c>
    </row>
    <row r="9172" spans="1:10" x14ac:dyDescent="0.35">
      <c r="A9172" s="1" t="s">
        <v>2210</v>
      </c>
    </row>
    <row r="9173" spans="1:10" x14ac:dyDescent="0.35">
      <c r="A9173" t="s">
        <v>219</v>
      </c>
      <c r="B9173" t="s">
        <v>301</v>
      </c>
      <c r="C9173" t="s">
        <v>2046</v>
      </c>
      <c r="D9173" t="s">
        <v>2047</v>
      </c>
      <c r="E9173" t="s">
        <v>2048</v>
      </c>
      <c r="F9173" t="s">
        <v>2050</v>
      </c>
      <c r="G9173" t="s">
        <v>2049</v>
      </c>
      <c r="H9173" t="s">
        <v>277</v>
      </c>
      <c r="I9173" t="s">
        <v>282</v>
      </c>
      <c r="J9173" t="s">
        <v>226</v>
      </c>
    </row>
    <row r="9174" spans="1:10" x14ac:dyDescent="0.35">
      <c r="A9174" t="s">
        <v>227</v>
      </c>
      <c r="B9174" t="s">
        <v>263</v>
      </c>
      <c r="C9174" s="2">
        <v>0.93489999999999995</v>
      </c>
      <c r="D9174" s="2">
        <v>4.4299999999999999E-2</v>
      </c>
      <c r="E9174" s="2">
        <v>9.7999999999999997E-3</v>
      </c>
      <c r="F9174" s="2">
        <v>5.7999999999999996E-3</v>
      </c>
      <c r="G9174" s="2">
        <v>6.9999999999999999E-4</v>
      </c>
      <c r="H9174" s="2">
        <v>4.4999999999999997E-3</v>
      </c>
      <c r="J9174">
        <v>589</v>
      </c>
    </row>
    <row r="9175" spans="1:10" x14ac:dyDescent="0.35">
      <c r="A9175" t="s">
        <v>227</v>
      </c>
      <c r="B9175" t="s">
        <v>262</v>
      </c>
      <c r="C9175" s="2">
        <v>0.92010000000000003</v>
      </c>
      <c r="D9175" s="2">
        <v>4.07E-2</v>
      </c>
      <c r="E9175" s="2">
        <v>1.9E-2</v>
      </c>
      <c r="F9175" s="2">
        <v>7.7999999999999996E-3</v>
      </c>
      <c r="G9175" s="2">
        <v>8.2000000000000007E-3</v>
      </c>
      <c r="H9175" s="2">
        <v>1E-3</v>
      </c>
      <c r="I9175" s="2">
        <v>3.0999999999999999E-3</v>
      </c>
      <c r="J9175">
        <v>1160</v>
      </c>
    </row>
    <row r="9176" spans="1:10" x14ac:dyDescent="0.35">
      <c r="A9176" t="s">
        <v>227</v>
      </c>
      <c r="B9176" t="s">
        <v>261</v>
      </c>
      <c r="C9176" s="2">
        <v>0.92259999999999998</v>
      </c>
      <c r="D9176" s="2">
        <v>4.4200000000000003E-2</v>
      </c>
      <c r="E9176" s="2">
        <v>1.9599999999999999E-2</v>
      </c>
      <c r="F9176" s="2">
        <v>3.8E-3</v>
      </c>
      <c r="G9176" s="2">
        <v>3.8999999999999998E-3</v>
      </c>
      <c r="H9176" s="2">
        <v>4.7999999999999996E-3</v>
      </c>
      <c r="I9176" s="2">
        <v>1.1000000000000001E-3</v>
      </c>
      <c r="J9176">
        <v>1062</v>
      </c>
    </row>
    <row r="9177" spans="1:10" x14ac:dyDescent="0.35">
      <c r="A9177" s="3" t="s">
        <v>227</v>
      </c>
      <c r="B9177" s="3" t="s">
        <v>232</v>
      </c>
      <c r="C9177" s="4">
        <v>1</v>
      </c>
      <c r="D9177" s="5"/>
      <c r="E9177" s="5"/>
      <c r="F9177" s="5"/>
      <c r="G9177" s="5"/>
      <c r="H9177" s="5"/>
      <c r="I9177" s="5"/>
      <c r="J9177" s="5" t="s">
        <v>434</v>
      </c>
    </row>
    <row r="9178" spans="1:10" x14ac:dyDescent="0.35">
      <c r="A9178" t="s">
        <v>228</v>
      </c>
      <c r="B9178" t="s">
        <v>228</v>
      </c>
      <c r="C9178" s="2">
        <v>0.92430000000000001</v>
      </c>
      <c r="D9178" s="2">
        <v>4.2900000000000001E-2</v>
      </c>
      <c r="E9178" s="2">
        <v>1.7299999999999999E-2</v>
      </c>
      <c r="F9178" s="2">
        <v>5.7000000000000002E-3</v>
      </c>
      <c r="G9178" s="2">
        <v>4.7999999999999996E-3</v>
      </c>
      <c r="H9178" s="2">
        <v>3.3999999999999998E-3</v>
      </c>
      <c r="I9178" s="2">
        <v>1.6000000000000001E-3</v>
      </c>
      <c r="J9178">
        <v>2813</v>
      </c>
    </row>
    <row r="9180" spans="1:10" x14ac:dyDescent="0.35">
      <c r="A9180" s="1" t="s">
        <v>2211</v>
      </c>
    </row>
    <row r="9181" spans="1:10" x14ac:dyDescent="0.35">
      <c r="A9181" t="s">
        <v>219</v>
      </c>
      <c r="B9181" t="s">
        <v>301</v>
      </c>
      <c r="C9181" t="s">
        <v>2046</v>
      </c>
      <c r="D9181" t="s">
        <v>2047</v>
      </c>
      <c r="E9181" t="s">
        <v>2048</v>
      </c>
      <c r="F9181" t="s">
        <v>2050</v>
      </c>
      <c r="G9181" t="s">
        <v>2049</v>
      </c>
      <c r="H9181" t="s">
        <v>277</v>
      </c>
      <c r="I9181" t="s">
        <v>282</v>
      </c>
      <c r="J9181" t="s">
        <v>226</v>
      </c>
    </row>
    <row r="9182" spans="1:10" x14ac:dyDescent="0.35">
      <c r="A9182" t="s">
        <v>227</v>
      </c>
      <c r="B9182" t="s">
        <v>248</v>
      </c>
      <c r="C9182" s="2">
        <v>0.94989999999999997</v>
      </c>
      <c r="D9182" s="2">
        <v>2.8799999999999999E-2</v>
      </c>
      <c r="E9182" s="2">
        <v>6.1000000000000004E-3</v>
      </c>
      <c r="F9182" s="2">
        <v>9.4999999999999998E-3</v>
      </c>
      <c r="G9182" s="2">
        <v>3.8999999999999998E-3</v>
      </c>
      <c r="H9182" s="2">
        <v>1.1999999999999999E-3</v>
      </c>
      <c r="I9182" s="2">
        <v>5.9999999999999995E-4</v>
      </c>
      <c r="J9182">
        <v>796</v>
      </c>
    </row>
    <row r="9183" spans="1:10" x14ac:dyDescent="0.35">
      <c r="A9183" t="s">
        <v>227</v>
      </c>
      <c r="B9183" t="s">
        <v>249</v>
      </c>
      <c r="C9183" s="2">
        <v>0.88859999999999995</v>
      </c>
      <c r="D9183" s="2">
        <v>6.0100000000000001E-2</v>
      </c>
      <c r="E9183" s="2">
        <v>3.5099999999999999E-2</v>
      </c>
      <c r="F9183" s="2">
        <v>1.0800000000000001E-2</v>
      </c>
      <c r="G9183" s="2">
        <v>2.5999999999999999E-3</v>
      </c>
      <c r="H9183" s="2">
        <v>1.1999999999999999E-3</v>
      </c>
      <c r="I9183" s="2">
        <v>1.5E-3</v>
      </c>
      <c r="J9183">
        <v>541</v>
      </c>
    </row>
    <row r="9184" spans="1:10" x14ac:dyDescent="0.35">
      <c r="A9184" t="s">
        <v>227</v>
      </c>
      <c r="B9184" t="s">
        <v>247</v>
      </c>
      <c r="C9184" s="2">
        <v>0.92420000000000002</v>
      </c>
      <c r="D9184" s="2">
        <v>4.3900000000000002E-2</v>
      </c>
      <c r="E9184" s="2">
        <v>1.66E-2</v>
      </c>
      <c r="F9184" s="2">
        <v>1.9E-3</v>
      </c>
      <c r="G9184" s="2">
        <v>6.0000000000000001E-3</v>
      </c>
      <c r="H9184" s="2">
        <v>5.1999999999999998E-3</v>
      </c>
      <c r="I9184" s="2">
        <v>2.0999999999999999E-3</v>
      </c>
      <c r="J9184">
        <v>1476</v>
      </c>
    </row>
    <row r="9185" spans="1:10" x14ac:dyDescent="0.35">
      <c r="A9185" t="s">
        <v>228</v>
      </c>
      <c r="B9185" t="s">
        <v>228</v>
      </c>
      <c r="C9185" s="2">
        <v>0.92430000000000001</v>
      </c>
      <c r="D9185" s="2">
        <v>4.2900000000000001E-2</v>
      </c>
      <c r="E9185" s="2">
        <v>1.7299999999999999E-2</v>
      </c>
      <c r="F9185" s="2">
        <v>5.7000000000000002E-3</v>
      </c>
      <c r="G9185" s="2">
        <v>4.7999999999999996E-3</v>
      </c>
      <c r="H9185" s="2">
        <v>3.3999999999999998E-3</v>
      </c>
      <c r="I9185" s="2">
        <v>1.6000000000000001E-3</v>
      </c>
      <c r="J9185">
        <v>2813</v>
      </c>
    </row>
    <row r="9187" spans="1:10" x14ac:dyDescent="0.35">
      <c r="A9187" s="1" t="s">
        <v>2212</v>
      </c>
    </row>
    <row r="9188" spans="1:10" x14ac:dyDescent="0.35">
      <c r="A9188" t="s">
        <v>219</v>
      </c>
      <c r="B9188" t="s">
        <v>301</v>
      </c>
      <c r="C9188" t="s">
        <v>2046</v>
      </c>
      <c r="D9188" t="s">
        <v>2047</v>
      </c>
      <c r="E9188" t="s">
        <v>2048</v>
      </c>
      <c r="F9188" t="s">
        <v>2050</v>
      </c>
      <c r="G9188" t="s">
        <v>2049</v>
      </c>
      <c r="H9188" t="s">
        <v>277</v>
      </c>
      <c r="I9188" t="s">
        <v>282</v>
      </c>
      <c r="J9188" t="s">
        <v>226</v>
      </c>
    </row>
    <row r="9189" spans="1:10" x14ac:dyDescent="0.35">
      <c r="A9189" t="s">
        <v>227</v>
      </c>
      <c r="B9189" t="s">
        <v>245</v>
      </c>
      <c r="C9189" s="2">
        <v>0.88370000000000004</v>
      </c>
      <c r="D9189" s="2">
        <v>7.3400000000000007E-2</v>
      </c>
      <c r="E9189" s="2">
        <v>2.2200000000000001E-2</v>
      </c>
      <c r="F9189" s="2">
        <v>6.1999999999999998E-3</v>
      </c>
      <c r="G9189" s="2">
        <v>6.1999999999999998E-3</v>
      </c>
      <c r="H9189" s="2">
        <v>7.3000000000000001E-3</v>
      </c>
      <c r="I9189" s="2">
        <v>1E-3</v>
      </c>
      <c r="J9189">
        <v>783</v>
      </c>
    </row>
    <row r="9190" spans="1:10" x14ac:dyDescent="0.35">
      <c r="A9190" t="s">
        <v>227</v>
      </c>
      <c r="B9190" t="s">
        <v>244</v>
      </c>
      <c r="C9190" s="2">
        <v>0.9405</v>
      </c>
      <c r="D9190" s="2">
        <v>3.0800000000000001E-2</v>
      </c>
      <c r="E9190" s="2">
        <v>1.54E-2</v>
      </c>
      <c r="F9190" s="2">
        <v>5.4999999999999997E-3</v>
      </c>
      <c r="G9190" s="2">
        <v>4.1999999999999997E-3</v>
      </c>
      <c r="H9190" s="2">
        <v>1.8E-3</v>
      </c>
      <c r="I9190" s="2">
        <v>1.8E-3</v>
      </c>
      <c r="J9190">
        <v>2030</v>
      </c>
    </row>
    <row r="9191" spans="1:10" x14ac:dyDescent="0.35">
      <c r="A9191" t="s">
        <v>228</v>
      </c>
      <c r="B9191" t="s">
        <v>228</v>
      </c>
      <c r="C9191" s="2">
        <v>0.92430000000000001</v>
      </c>
      <c r="D9191" s="2">
        <v>4.2900000000000001E-2</v>
      </c>
      <c r="E9191" s="2">
        <v>1.7299999999999999E-2</v>
      </c>
      <c r="F9191" s="2">
        <v>5.7000000000000002E-3</v>
      </c>
      <c r="G9191" s="2">
        <v>4.7999999999999996E-3</v>
      </c>
      <c r="H9191" s="2">
        <v>3.3999999999999998E-3</v>
      </c>
      <c r="I9191" s="2">
        <v>1.6000000000000001E-3</v>
      </c>
      <c r="J9191">
        <v>2813</v>
      </c>
    </row>
    <row r="9193" spans="1:10" x14ac:dyDescent="0.35">
      <c r="A9193" s="1" t="s">
        <v>2213</v>
      </c>
    </row>
    <row r="9194" spans="1:10" x14ac:dyDescent="0.35">
      <c r="A9194" t="s">
        <v>219</v>
      </c>
      <c r="B9194" t="s">
        <v>301</v>
      </c>
      <c r="C9194" t="s">
        <v>2046</v>
      </c>
      <c r="D9194" t="s">
        <v>2047</v>
      </c>
      <c r="E9194" t="s">
        <v>2048</v>
      </c>
      <c r="F9194" t="s">
        <v>2050</v>
      </c>
      <c r="G9194" t="s">
        <v>2049</v>
      </c>
      <c r="H9194" t="s">
        <v>277</v>
      </c>
      <c r="I9194" t="s">
        <v>282</v>
      </c>
      <c r="J9194" t="s">
        <v>226</v>
      </c>
    </row>
    <row r="9195" spans="1:10" x14ac:dyDescent="0.35">
      <c r="A9195" t="s">
        <v>227</v>
      </c>
      <c r="B9195" t="s">
        <v>259</v>
      </c>
      <c r="C9195" s="2">
        <v>0.8871</v>
      </c>
      <c r="D9195" s="2">
        <v>6.6799999999999998E-2</v>
      </c>
      <c r="E9195" s="2">
        <v>4.3299999999999998E-2</v>
      </c>
      <c r="F9195" s="2">
        <v>2.8E-3</v>
      </c>
      <c r="J9195">
        <v>69</v>
      </c>
    </row>
    <row r="9196" spans="1:10" x14ac:dyDescent="0.35">
      <c r="A9196" t="s">
        <v>227</v>
      </c>
      <c r="B9196" t="s">
        <v>257</v>
      </c>
      <c r="C9196" s="2">
        <v>0.95140000000000002</v>
      </c>
      <c r="D9196" s="2">
        <v>2.07E-2</v>
      </c>
      <c r="E9196" s="2">
        <v>1.44E-2</v>
      </c>
      <c r="F9196" s="2">
        <v>6.4999999999999997E-3</v>
      </c>
      <c r="G9196" s="2">
        <v>6.4999999999999997E-3</v>
      </c>
      <c r="I9196" s="2">
        <v>5.0000000000000001E-4</v>
      </c>
      <c r="J9196">
        <v>405</v>
      </c>
    </row>
    <row r="9197" spans="1:10" x14ac:dyDescent="0.35">
      <c r="A9197" t="s">
        <v>227</v>
      </c>
      <c r="B9197" t="s">
        <v>256</v>
      </c>
      <c r="C9197" s="2">
        <v>0.92449999999999999</v>
      </c>
      <c r="D9197" s="2">
        <v>4.48E-2</v>
      </c>
      <c r="E9197" s="2">
        <v>1.55E-2</v>
      </c>
      <c r="F9197" s="2">
        <v>5.1000000000000004E-3</v>
      </c>
      <c r="G9197" s="2">
        <v>4.5999999999999999E-3</v>
      </c>
      <c r="H9197" s="2">
        <v>4.7000000000000002E-3</v>
      </c>
      <c r="I9197" s="2">
        <v>6.9999999999999999E-4</v>
      </c>
      <c r="J9197">
        <v>1803</v>
      </c>
    </row>
    <row r="9198" spans="1:10" x14ac:dyDescent="0.35">
      <c r="A9198" s="3" t="s">
        <v>227</v>
      </c>
      <c r="B9198" s="3" t="s">
        <v>232</v>
      </c>
      <c r="C9198" s="4">
        <v>0.95930000000000004</v>
      </c>
      <c r="D9198" s="5"/>
      <c r="E9198" s="4">
        <v>4.07E-2</v>
      </c>
      <c r="F9198" s="5"/>
      <c r="G9198" s="5"/>
      <c r="H9198" s="5"/>
      <c r="I9198" s="5"/>
      <c r="J9198" s="5" t="s">
        <v>307</v>
      </c>
    </row>
    <row r="9199" spans="1:10" x14ac:dyDescent="0.35">
      <c r="A9199" t="s">
        <v>227</v>
      </c>
      <c r="B9199" t="s">
        <v>258</v>
      </c>
      <c r="C9199" s="2">
        <v>0.89639999999999997</v>
      </c>
      <c r="D9199" s="2">
        <v>5.74E-2</v>
      </c>
      <c r="E9199" s="2">
        <v>2.5499999999999998E-2</v>
      </c>
      <c r="F9199" s="2">
        <v>7.7999999999999996E-3</v>
      </c>
      <c r="G9199" s="2">
        <v>4.3E-3</v>
      </c>
      <c r="H9199" s="2">
        <v>1.5E-3</v>
      </c>
      <c r="I9199" s="2">
        <v>7.0000000000000001E-3</v>
      </c>
      <c r="J9199">
        <v>525</v>
      </c>
    </row>
    <row r="9200" spans="1:10" x14ac:dyDescent="0.35">
      <c r="A9200" t="s">
        <v>228</v>
      </c>
      <c r="B9200" t="s">
        <v>228</v>
      </c>
      <c r="C9200" s="2">
        <v>0.92430000000000001</v>
      </c>
      <c r="D9200" s="2">
        <v>4.2900000000000001E-2</v>
      </c>
      <c r="E9200" s="2">
        <v>1.7299999999999999E-2</v>
      </c>
      <c r="F9200" s="2">
        <v>5.7000000000000002E-3</v>
      </c>
      <c r="G9200" s="2">
        <v>4.7999999999999996E-3</v>
      </c>
      <c r="H9200" s="2">
        <v>3.3999999999999998E-3</v>
      </c>
      <c r="I9200" s="2">
        <v>1.6000000000000001E-3</v>
      </c>
      <c r="J9200">
        <v>2813</v>
      </c>
    </row>
    <row r="9202" spans="1:10" x14ac:dyDescent="0.35">
      <c r="A9202" s="1" t="s">
        <v>2214</v>
      </c>
    </row>
    <row r="9203" spans="1:10" x14ac:dyDescent="0.35">
      <c r="A9203" t="s">
        <v>219</v>
      </c>
      <c r="B9203" t="s">
        <v>301</v>
      </c>
      <c r="C9203" t="s">
        <v>2046</v>
      </c>
      <c r="D9203" t="s">
        <v>2047</v>
      </c>
      <c r="E9203" t="s">
        <v>2048</v>
      </c>
      <c r="F9203" t="s">
        <v>2050</v>
      </c>
      <c r="G9203" t="s">
        <v>2049</v>
      </c>
      <c r="H9203" t="s">
        <v>277</v>
      </c>
      <c r="I9203" t="s">
        <v>282</v>
      </c>
      <c r="J9203" t="s">
        <v>226</v>
      </c>
    </row>
    <row r="9204" spans="1:10" x14ac:dyDescent="0.35">
      <c r="A9204" t="s">
        <v>227</v>
      </c>
      <c r="B9204" t="s">
        <v>343</v>
      </c>
      <c r="C9204" s="2">
        <v>0.95140000000000002</v>
      </c>
      <c r="D9204" s="2">
        <v>2.07E-2</v>
      </c>
      <c r="E9204" s="2">
        <v>1.44E-2</v>
      </c>
      <c r="F9204" s="2">
        <v>6.4999999999999997E-3</v>
      </c>
      <c r="G9204" s="2">
        <v>6.4999999999999997E-3</v>
      </c>
      <c r="I9204" s="2">
        <v>5.0000000000000001E-4</v>
      </c>
      <c r="J9204">
        <v>405</v>
      </c>
    </row>
    <row r="9205" spans="1:10" x14ac:dyDescent="0.35">
      <c r="A9205" t="s">
        <v>227</v>
      </c>
      <c r="B9205" t="s">
        <v>344</v>
      </c>
      <c r="C9205" s="2">
        <v>0.91879999999999995</v>
      </c>
      <c r="D9205" s="2">
        <v>4.7399999999999998E-2</v>
      </c>
      <c r="E9205" s="2">
        <v>1.7899999999999999E-2</v>
      </c>
      <c r="F9205" s="2">
        <v>5.4999999999999997E-3</v>
      </c>
      <c r="G9205" s="2">
        <v>4.4000000000000003E-3</v>
      </c>
      <c r="H9205" s="2">
        <v>4.0000000000000001E-3</v>
      </c>
      <c r="I9205" s="2">
        <v>1.8E-3</v>
      </c>
      <c r="J9205">
        <v>2408</v>
      </c>
    </row>
    <row r="9206" spans="1:10" x14ac:dyDescent="0.35">
      <c r="A9206" t="s">
        <v>228</v>
      </c>
      <c r="B9206" t="s">
        <v>228</v>
      </c>
      <c r="C9206" s="2">
        <v>0.92430000000000001</v>
      </c>
      <c r="D9206" s="2">
        <v>4.2900000000000001E-2</v>
      </c>
      <c r="E9206" s="2">
        <v>1.7299999999999999E-2</v>
      </c>
      <c r="F9206" s="2">
        <v>5.7000000000000002E-3</v>
      </c>
      <c r="G9206" s="2">
        <v>4.7999999999999996E-3</v>
      </c>
      <c r="H9206" s="2">
        <v>3.3999999999999998E-3</v>
      </c>
      <c r="I9206" s="2">
        <v>1.6000000000000001E-3</v>
      </c>
      <c r="J9206">
        <v>2813</v>
      </c>
    </row>
    <row r="9208" spans="1:10" x14ac:dyDescent="0.35">
      <c r="A9208" s="1" t="s">
        <v>2215</v>
      </c>
    </row>
    <row r="9209" spans="1:10" x14ac:dyDescent="0.35">
      <c r="A9209" t="s">
        <v>219</v>
      </c>
      <c r="B9209" t="s">
        <v>301</v>
      </c>
      <c r="C9209" t="s">
        <v>2046</v>
      </c>
      <c r="D9209" t="s">
        <v>2047</v>
      </c>
      <c r="E9209" t="s">
        <v>2048</v>
      </c>
      <c r="F9209" t="s">
        <v>2050</v>
      </c>
      <c r="G9209" t="s">
        <v>2049</v>
      </c>
      <c r="H9209" t="s">
        <v>277</v>
      </c>
      <c r="I9209" t="s">
        <v>282</v>
      </c>
      <c r="J9209" t="s">
        <v>226</v>
      </c>
    </row>
    <row r="9210" spans="1:10" x14ac:dyDescent="0.35">
      <c r="A9210" t="s">
        <v>227</v>
      </c>
      <c r="B9210" t="s">
        <v>346</v>
      </c>
      <c r="C9210" s="2">
        <v>0.92820000000000003</v>
      </c>
      <c r="D9210" s="2">
        <v>4.2299999999999997E-2</v>
      </c>
      <c r="E9210" s="2">
        <v>1.6299999999999999E-2</v>
      </c>
      <c r="F9210" s="2">
        <v>4.7999999999999996E-3</v>
      </c>
      <c r="G9210" s="2">
        <v>4.0000000000000001E-3</v>
      </c>
      <c r="H9210" s="2">
        <v>3.0000000000000001E-3</v>
      </c>
      <c r="I9210" s="2">
        <v>1.4E-3</v>
      </c>
      <c r="J9210">
        <v>1463</v>
      </c>
    </row>
    <row r="9211" spans="1:10" x14ac:dyDescent="0.35">
      <c r="A9211" t="s">
        <v>227</v>
      </c>
      <c r="B9211" t="s">
        <v>347</v>
      </c>
      <c r="C9211" s="2">
        <v>0.85419999999999996</v>
      </c>
      <c r="D9211" s="2">
        <v>6.0400000000000002E-2</v>
      </c>
      <c r="E9211" s="2">
        <v>4.0300000000000002E-2</v>
      </c>
      <c r="F9211" s="2">
        <v>2.3400000000000001E-2</v>
      </c>
      <c r="G9211" s="2">
        <v>9.5999999999999992E-3</v>
      </c>
      <c r="H9211" s="2">
        <v>7.4000000000000003E-3</v>
      </c>
      <c r="I9211" s="2">
        <v>4.7999999999999996E-3</v>
      </c>
      <c r="J9211">
        <v>585</v>
      </c>
    </row>
    <row r="9212" spans="1:10" x14ac:dyDescent="0.35">
      <c r="A9212" t="s">
        <v>227</v>
      </c>
      <c r="B9212" t="s">
        <v>348</v>
      </c>
      <c r="C9212" s="2">
        <v>0.91610000000000003</v>
      </c>
      <c r="D9212" s="2">
        <v>4.2099999999999999E-2</v>
      </c>
      <c r="E9212" s="2">
        <v>1.78E-2</v>
      </c>
      <c r="F9212" s="2">
        <v>7.1999999999999998E-3</v>
      </c>
      <c r="G9212" s="2">
        <v>9.7999999999999997E-3</v>
      </c>
      <c r="H9212" s="2">
        <v>4.8999999999999998E-3</v>
      </c>
      <c r="I9212" s="2">
        <v>1.9E-3</v>
      </c>
      <c r="J9212">
        <v>765</v>
      </c>
    </row>
    <row r="9213" spans="1:10" x14ac:dyDescent="0.35">
      <c r="A9213" t="s">
        <v>228</v>
      </c>
      <c r="B9213" t="s">
        <v>228</v>
      </c>
      <c r="C9213" s="2">
        <v>0.92430000000000001</v>
      </c>
      <c r="D9213" s="2">
        <v>4.2900000000000001E-2</v>
      </c>
      <c r="E9213" s="2">
        <v>1.7299999999999999E-2</v>
      </c>
      <c r="F9213" s="2">
        <v>5.7000000000000002E-3</v>
      </c>
      <c r="G9213" s="2">
        <v>4.7999999999999996E-3</v>
      </c>
      <c r="H9213" s="2">
        <v>3.3999999999999998E-3</v>
      </c>
      <c r="I9213" s="2">
        <v>1.6000000000000001E-3</v>
      </c>
      <c r="J9213">
        <v>2813</v>
      </c>
    </row>
    <row r="9215" spans="1:10" x14ac:dyDescent="0.35">
      <c r="A9215" s="1" t="s">
        <v>2216</v>
      </c>
    </row>
    <row r="9216" spans="1:10" x14ac:dyDescent="0.35">
      <c r="A9216" t="s">
        <v>219</v>
      </c>
      <c r="B9216" t="s">
        <v>301</v>
      </c>
      <c r="C9216" t="s">
        <v>2046</v>
      </c>
      <c r="D9216" t="s">
        <v>2047</v>
      </c>
      <c r="E9216" t="s">
        <v>2048</v>
      </c>
      <c r="F9216" t="s">
        <v>2050</v>
      </c>
      <c r="G9216" t="s">
        <v>2049</v>
      </c>
      <c r="H9216" t="s">
        <v>277</v>
      </c>
      <c r="I9216" t="s">
        <v>282</v>
      </c>
      <c r="J9216" t="s">
        <v>226</v>
      </c>
    </row>
    <row r="9217" spans="1:10" x14ac:dyDescent="0.35">
      <c r="A9217" t="s">
        <v>227</v>
      </c>
      <c r="B9217" t="s">
        <v>251</v>
      </c>
      <c r="C9217" s="2">
        <v>0.9405</v>
      </c>
      <c r="D9217" s="2">
        <v>3.0800000000000001E-2</v>
      </c>
      <c r="E9217" s="2">
        <v>1.54E-2</v>
      </c>
      <c r="F9217" s="2">
        <v>5.4999999999999997E-3</v>
      </c>
      <c r="G9217" s="2">
        <v>4.1999999999999997E-3</v>
      </c>
      <c r="H9217" s="2">
        <v>1.8E-3</v>
      </c>
      <c r="I9217" s="2">
        <v>1.8E-3</v>
      </c>
      <c r="J9217">
        <v>2030</v>
      </c>
    </row>
    <row r="9218" spans="1:10" x14ac:dyDescent="0.35">
      <c r="A9218" t="s">
        <v>227</v>
      </c>
      <c r="B9218" t="s">
        <v>252</v>
      </c>
      <c r="C9218" s="2">
        <v>0.87309999999999999</v>
      </c>
      <c r="D9218" s="2">
        <v>8.5599999999999996E-2</v>
      </c>
      <c r="E9218" s="2">
        <v>2.29E-2</v>
      </c>
      <c r="F9218" s="2">
        <v>6.6E-3</v>
      </c>
      <c r="G9218" s="2">
        <v>2.3999999999999998E-3</v>
      </c>
      <c r="H9218" s="2">
        <v>9.1000000000000004E-3</v>
      </c>
      <c r="I9218" s="2">
        <v>5.0000000000000001E-4</v>
      </c>
      <c r="J9218">
        <v>621</v>
      </c>
    </row>
    <row r="9219" spans="1:10" x14ac:dyDescent="0.35">
      <c r="A9219" t="s">
        <v>227</v>
      </c>
      <c r="B9219" t="s">
        <v>253</v>
      </c>
      <c r="C9219" s="2">
        <v>0.92600000000000005</v>
      </c>
      <c r="D9219" s="2">
        <v>2.2800000000000001E-2</v>
      </c>
      <c r="E9219" s="2">
        <v>0.02</v>
      </c>
      <c r="F9219" s="2">
        <v>4.5999999999999999E-3</v>
      </c>
      <c r="G9219" s="2">
        <v>2.3E-2</v>
      </c>
      <c r="I9219" s="2">
        <v>3.5999999999999999E-3</v>
      </c>
      <c r="J9219">
        <v>153</v>
      </c>
    </row>
    <row r="9220" spans="1:10" x14ac:dyDescent="0.35">
      <c r="A9220" s="3" t="s">
        <v>227</v>
      </c>
      <c r="B9220" s="3" t="s">
        <v>254</v>
      </c>
      <c r="C9220" s="4">
        <v>1</v>
      </c>
      <c r="D9220" s="5"/>
      <c r="E9220" s="5"/>
      <c r="F9220" s="5"/>
      <c r="G9220" s="5"/>
      <c r="H9220" s="5"/>
      <c r="I9220" s="5"/>
      <c r="J9220" s="5" t="s">
        <v>515</v>
      </c>
    </row>
    <row r="9221" spans="1:10" x14ac:dyDescent="0.35">
      <c r="A9221" t="s">
        <v>228</v>
      </c>
      <c r="B9221" t="s">
        <v>228</v>
      </c>
      <c r="C9221" s="2">
        <v>0.92430000000000001</v>
      </c>
      <c r="D9221" s="2">
        <v>4.2900000000000001E-2</v>
      </c>
      <c r="E9221" s="2">
        <v>1.7299999999999999E-2</v>
      </c>
      <c r="F9221" s="2">
        <v>5.7000000000000002E-3</v>
      </c>
      <c r="G9221" s="2">
        <v>4.7999999999999996E-3</v>
      </c>
      <c r="H9221" s="2">
        <v>3.3999999999999998E-3</v>
      </c>
      <c r="I9221" s="2">
        <v>1.6000000000000001E-3</v>
      </c>
      <c r="J9221">
        <v>2813</v>
      </c>
    </row>
    <row r="9223" spans="1:10" x14ac:dyDescent="0.35">
      <c r="A9223" s="1" t="s">
        <v>2217</v>
      </c>
    </row>
    <row r="9224" spans="1:10" x14ac:dyDescent="0.35">
      <c r="A9224" t="s">
        <v>219</v>
      </c>
      <c r="B9224" t="s">
        <v>2046</v>
      </c>
      <c r="C9224" t="s">
        <v>2047</v>
      </c>
      <c r="D9224" t="s">
        <v>2048</v>
      </c>
      <c r="E9224" t="s">
        <v>2049</v>
      </c>
      <c r="F9224" t="s">
        <v>2050</v>
      </c>
      <c r="G9224" t="s">
        <v>277</v>
      </c>
      <c r="H9224" t="s">
        <v>282</v>
      </c>
      <c r="I9224" t="s">
        <v>226</v>
      </c>
    </row>
    <row r="9225" spans="1:10" x14ac:dyDescent="0.35">
      <c r="A9225" t="s">
        <v>227</v>
      </c>
      <c r="B9225" s="2">
        <v>0.91010000000000002</v>
      </c>
      <c r="C9225" s="2">
        <v>5.9900000000000002E-2</v>
      </c>
      <c r="D9225" s="2">
        <v>2.1600000000000001E-2</v>
      </c>
      <c r="E9225" s="2">
        <v>3.5000000000000001E-3</v>
      </c>
      <c r="F9225" s="2">
        <v>2.3E-3</v>
      </c>
      <c r="G9225" s="2">
        <v>2.0999999999999999E-3</v>
      </c>
      <c r="H9225" s="2">
        <v>5.0000000000000001E-4</v>
      </c>
      <c r="I9225">
        <v>2813</v>
      </c>
    </row>
    <row r="9226" spans="1:10" x14ac:dyDescent="0.35">
      <c r="A9226" t="s">
        <v>228</v>
      </c>
      <c r="B9226" s="2">
        <v>0.91010000000000002</v>
      </c>
      <c r="C9226" s="2">
        <v>5.9900000000000002E-2</v>
      </c>
      <c r="D9226" s="2">
        <v>2.1600000000000001E-2</v>
      </c>
      <c r="E9226" s="2">
        <v>3.5000000000000001E-3</v>
      </c>
      <c r="F9226" s="2">
        <v>2.3E-3</v>
      </c>
      <c r="G9226" s="2">
        <v>2.0999999999999999E-3</v>
      </c>
      <c r="H9226" s="2">
        <v>5.0000000000000001E-4</v>
      </c>
      <c r="I9226">
        <v>2813</v>
      </c>
    </row>
    <row r="9228" spans="1:10" x14ac:dyDescent="0.35">
      <c r="A9228" s="1" t="s">
        <v>2218</v>
      </c>
    </row>
    <row r="9229" spans="1:10" x14ac:dyDescent="0.35">
      <c r="A9229" t="s">
        <v>219</v>
      </c>
      <c r="B9229" t="s">
        <v>301</v>
      </c>
      <c r="C9229" t="s">
        <v>2046</v>
      </c>
      <c r="D9229" t="s">
        <v>2047</v>
      </c>
      <c r="E9229" t="s">
        <v>2048</v>
      </c>
      <c r="F9229" t="s">
        <v>2049</v>
      </c>
      <c r="G9229" t="s">
        <v>2050</v>
      </c>
      <c r="H9229" t="s">
        <v>277</v>
      </c>
      <c r="I9229" t="s">
        <v>282</v>
      </c>
      <c r="J9229" t="s">
        <v>226</v>
      </c>
    </row>
    <row r="9230" spans="1:10" x14ac:dyDescent="0.35">
      <c r="A9230" t="s">
        <v>227</v>
      </c>
      <c r="B9230" t="s">
        <v>238</v>
      </c>
      <c r="C9230" s="2">
        <v>0.89510000000000001</v>
      </c>
      <c r="D9230" s="2">
        <v>7.0000000000000007E-2</v>
      </c>
      <c r="E9230" s="2">
        <v>2.1600000000000001E-2</v>
      </c>
      <c r="F9230" s="2">
        <v>8.3999999999999995E-3</v>
      </c>
      <c r="G9230" s="2">
        <v>2.3E-3</v>
      </c>
      <c r="H9230" s="2">
        <v>2.3999999999999998E-3</v>
      </c>
      <c r="I9230" s="2">
        <v>2.0000000000000001E-4</v>
      </c>
      <c r="J9230">
        <v>1005</v>
      </c>
    </row>
    <row r="9231" spans="1:10" x14ac:dyDescent="0.35">
      <c r="A9231" t="s">
        <v>227</v>
      </c>
      <c r="B9231" t="s">
        <v>237</v>
      </c>
      <c r="C9231" s="2">
        <v>0.91879999999999995</v>
      </c>
      <c r="D9231" s="2">
        <v>5.3999999999999999E-2</v>
      </c>
      <c r="E9231" s="2">
        <v>2.1600000000000001E-2</v>
      </c>
      <c r="F9231" s="2">
        <v>5.9999999999999995E-4</v>
      </c>
      <c r="G9231" s="2">
        <v>2.3999999999999998E-3</v>
      </c>
      <c r="H9231" s="2">
        <v>1.8E-3</v>
      </c>
      <c r="I9231" s="2">
        <v>6.9999999999999999E-4</v>
      </c>
      <c r="J9231">
        <v>1808</v>
      </c>
    </row>
    <row r="9232" spans="1:10" x14ac:dyDescent="0.35">
      <c r="A9232" t="s">
        <v>228</v>
      </c>
      <c r="B9232" t="s">
        <v>228</v>
      </c>
      <c r="C9232" s="2">
        <v>0.91010000000000002</v>
      </c>
      <c r="D9232" s="2">
        <v>5.9900000000000002E-2</v>
      </c>
      <c r="E9232" s="2">
        <v>2.1600000000000001E-2</v>
      </c>
      <c r="F9232" s="2">
        <v>3.5000000000000001E-3</v>
      </c>
      <c r="G9232" s="2">
        <v>2.3E-3</v>
      </c>
      <c r="H9232" s="2">
        <v>2.0999999999999999E-3</v>
      </c>
      <c r="I9232" s="2">
        <v>5.0000000000000001E-4</v>
      </c>
      <c r="J9232">
        <v>2813</v>
      </c>
    </row>
    <row r="9234" spans="1:10" x14ac:dyDescent="0.35">
      <c r="A9234" s="1" t="s">
        <v>2219</v>
      </c>
    </row>
    <row r="9235" spans="1:10" x14ac:dyDescent="0.35">
      <c r="A9235" t="s">
        <v>219</v>
      </c>
      <c r="B9235" t="s">
        <v>301</v>
      </c>
      <c r="C9235" t="s">
        <v>2046</v>
      </c>
      <c r="D9235" t="s">
        <v>2047</v>
      </c>
      <c r="E9235" t="s">
        <v>2048</v>
      </c>
      <c r="F9235" t="s">
        <v>2049</v>
      </c>
      <c r="G9235" t="s">
        <v>2050</v>
      </c>
      <c r="H9235" t="s">
        <v>277</v>
      </c>
      <c r="I9235" t="s">
        <v>282</v>
      </c>
      <c r="J9235" t="s">
        <v>226</v>
      </c>
    </row>
    <row r="9236" spans="1:10" x14ac:dyDescent="0.35">
      <c r="A9236" t="s">
        <v>227</v>
      </c>
      <c r="B9236" t="s">
        <v>235</v>
      </c>
      <c r="C9236" s="2">
        <v>0.91300000000000003</v>
      </c>
      <c r="D9236" s="2">
        <v>5.5399999999999998E-2</v>
      </c>
      <c r="E9236" s="2">
        <v>1.8100000000000002E-2</v>
      </c>
      <c r="F9236" s="2">
        <v>6.7999999999999996E-3</v>
      </c>
      <c r="G9236" s="2">
        <v>6.9999999999999999E-4</v>
      </c>
      <c r="H9236" s="2">
        <v>5.1000000000000004E-3</v>
      </c>
      <c r="I9236" s="2">
        <v>8.9999999999999998E-4</v>
      </c>
      <c r="J9236">
        <v>992</v>
      </c>
    </row>
    <row r="9237" spans="1:10" x14ac:dyDescent="0.35">
      <c r="A9237" t="s">
        <v>227</v>
      </c>
      <c r="B9237" t="s">
        <v>234</v>
      </c>
      <c r="C9237" s="2">
        <v>0.90890000000000004</v>
      </c>
      <c r="D9237" s="2">
        <v>6.1800000000000001E-2</v>
      </c>
      <c r="E9237" s="2">
        <v>2.3099999999999999E-2</v>
      </c>
      <c r="F9237" s="2">
        <v>2.0999999999999999E-3</v>
      </c>
      <c r="G9237" s="2">
        <v>3.0000000000000001E-3</v>
      </c>
      <c r="H9237" s="2">
        <v>8.0000000000000004E-4</v>
      </c>
      <c r="I9237" s="2">
        <v>4.0000000000000002E-4</v>
      </c>
      <c r="J9237">
        <v>1821</v>
      </c>
    </row>
    <row r="9238" spans="1:10" x14ac:dyDescent="0.35">
      <c r="A9238" t="s">
        <v>228</v>
      </c>
      <c r="B9238" t="s">
        <v>228</v>
      </c>
      <c r="C9238" s="2">
        <v>0.91010000000000002</v>
      </c>
      <c r="D9238" s="2">
        <v>5.9900000000000002E-2</v>
      </c>
      <c r="E9238" s="2">
        <v>2.1600000000000001E-2</v>
      </c>
      <c r="F9238" s="2">
        <v>3.5000000000000001E-3</v>
      </c>
      <c r="G9238" s="2">
        <v>2.3E-3</v>
      </c>
      <c r="H9238" s="2">
        <v>2.0999999999999999E-3</v>
      </c>
      <c r="I9238" s="2">
        <v>5.0000000000000001E-4</v>
      </c>
      <c r="J9238">
        <v>2813</v>
      </c>
    </row>
    <row r="9240" spans="1:10" x14ac:dyDescent="0.35">
      <c r="A9240" s="1" t="s">
        <v>2220</v>
      </c>
    </row>
    <row r="9241" spans="1:10" x14ac:dyDescent="0.35">
      <c r="A9241" t="s">
        <v>219</v>
      </c>
      <c r="B9241" t="s">
        <v>301</v>
      </c>
      <c r="C9241" t="s">
        <v>2046</v>
      </c>
      <c r="D9241" t="s">
        <v>2047</v>
      </c>
      <c r="E9241" t="s">
        <v>2048</v>
      </c>
      <c r="F9241" t="s">
        <v>2049</v>
      </c>
      <c r="G9241" t="s">
        <v>2050</v>
      </c>
      <c r="H9241" t="s">
        <v>277</v>
      </c>
      <c r="I9241" t="s">
        <v>282</v>
      </c>
      <c r="J9241" t="s">
        <v>226</v>
      </c>
    </row>
    <row r="9242" spans="1:10" x14ac:dyDescent="0.35">
      <c r="A9242" t="s">
        <v>227</v>
      </c>
      <c r="B9242" t="s">
        <v>240</v>
      </c>
      <c r="C9242" s="2">
        <v>0.90859999999999996</v>
      </c>
      <c r="D9242" s="2">
        <v>6.5699999999999995E-2</v>
      </c>
      <c r="E9242" s="2">
        <v>1.84E-2</v>
      </c>
      <c r="F9242" s="2">
        <v>4.4999999999999997E-3</v>
      </c>
      <c r="G9242" s="2">
        <v>5.0000000000000001E-4</v>
      </c>
      <c r="H9242" s="2">
        <v>1.8E-3</v>
      </c>
      <c r="I9242" s="2">
        <v>5.9999999999999995E-4</v>
      </c>
      <c r="J9242">
        <v>1756</v>
      </c>
    </row>
    <row r="9243" spans="1:10" x14ac:dyDescent="0.35">
      <c r="A9243" t="s">
        <v>227</v>
      </c>
      <c r="B9243" t="s">
        <v>241</v>
      </c>
      <c r="C9243" s="2">
        <v>0.91949999999999998</v>
      </c>
      <c r="D9243" s="2">
        <v>5.0299999999999997E-2</v>
      </c>
      <c r="E9243" s="2">
        <v>2.12E-2</v>
      </c>
      <c r="F9243" s="2">
        <v>8.0000000000000004E-4</v>
      </c>
      <c r="G9243" s="2">
        <v>4.7999999999999996E-3</v>
      </c>
      <c r="H9243" s="2">
        <v>3.2000000000000002E-3</v>
      </c>
      <c r="I9243" s="2">
        <v>2.9999999999999997E-4</v>
      </c>
      <c r="J9243">
        <v>891</v>
      </c>
    </row>
    <row r="9244" spans="1:10" x14ac:dyDescent="0.35">
      <c r="A9244" t="s">
        <v>227</v>
      </c>
      <c r="B9244" t="s">
        <v>242</v>
      </c>
      <c r="C9244" s="2">
        <v>0.88249999999999995</v>
      </c>
      <c r="D9244" s="2">
        <v>4.65E-2</v>
      </c>
      <c r="E9244" s="2">
        <v>5.4300000000000001E-2</v>
      </c>
      <c r="F9244" s="2">
        <v>5.7999999999999996E-3</v>
      </c>
      <c r="G9244" s="2">
        <v>9.7000000000000003E-3</v>
      </c>
      <c r="I9244" s="2">
        <v>1.1999999999999999E-3</v>
      </c>
      <c r="J9244">
        <v>166</v>
      </c>
    </row>
    <row r="9245" spans="1:10" x14ac:dyDescent="0.35">
      <c r="A9245" t="s">
        <v>228</v>
      </c>
      <c r="B9245" t="s">
        <v>228</v>
      </c>
      <c r="C9245" s="2">
        <v>0.91010000000000002</v>
      </c>
      <c r="D9245" s="2">
        <v>5.9900000000000002E-2</v>
      </c>
      <c r="E9245" s="2">
        <v>2.1600000000000001E-2</v>
      </c>
      <c r="F9245" s="2">
        <v>3.5000000000000001E-3</v>
      </c>
      <c r="G9245" s="2">
        <v>2.3E-3</v>
      </c>
      <c r="H9245" s="2">
        <v>2.0999999999999999E-3</v>
      </c>
      <c r="I9245" s="2">
        <v>5.0000000000000001E-4</v>
      </c>
      <c r="J9245">
        <v>2813</v>
      </c>
    </row>
    <row r="9247" spans="1:10" x14ac:dyDescent="0.35">
      <c r="A9247" s="1" t="s">
        <v>2221</v>
      </c>
    </row>
    <row r="9248" spans="1:10" x14ac:dyDescent="0.35">
      <c r="A9248" t="s">
        <v>219</v>
      </c>
      <c r="B9248" t="s">
        <v>301</v>
      </c>
      <c r="C9248" t="s">
        <v>2046</v>
      </c>
      <c r="D9248" t="s">
        <v>2047</v>
      </c>
      <c r="E9248" t="s">
        <v>2048</v>
      </c>
      <c r="F9248" t="s">
        <v>2049</v>
      </c>
      <c r="G9248" t="s">
        <v>2050</v>
      </c>
      <c r="H9248" t="s">
        <v>277</v>
      </c>
      <c r="I9248" t="s">
        <v>282</v>
      </c>
      <c r="J9248" t="s">
        <v>226</v>
      </c>
    </row>
    <row r="9249" spans="1:10" x14ac:dyDescent="0.35">
      <c r="A9249" t="s">
        <v>227</v>
      </c>
      <c r="B9249" t="s">
        <v>334</v>
      </c>
      <c r="C9249" s="2">
        <v>0.88080000000000003</v>
      </c>
      <c r="D9249" s="2">
        <v>7.4300000000000005E-2</v>
      </c>
      <c r="E9249" s="2">
        <v>2.3699999999999999E-2</v>
      </c>
      <c r="F9249" s="2">
        <v>7.1000000000000004E-3</v>
      </c>
      <c r="G9249" s="2">
        <v>1.0500000000000001E-2</v>
      </c>
      <c r="H9249" s="2">
        <v>2.3E-3</v>
      </c>
      <c r="I9249" s="2">
        <v>1.2999999999999999E-3</v>
      </c>
      <c r="J9249">
        <v>625</v>
      </c>
    </row>
    <row r="9250" spans="1:10" x14ac:dyDescent="0.35">
      <c r="A9250" t="s">
        <v>227</v>
      </c>
      <c r="B9250" t="s">
        <v>335</v>
      </c>
      <c r="C9250" s="2">
        <v>0.90680000000000005</v>
      </c>
      <c r="D9250" s="2">
        <v>6.7199999999999996E-2</v>
      </c>
      <c r="E9250" s="2">
        <v>2.1000000000000001E-2</v>
      </c>
      <c r="F9250" s="2">
        <v>2.0000000000000001E-4</v>
      </c>
      <c r="H9250" s="2">
        <v>4.8999999999999998E-3</v>
      </c>
      <c r="J9250">
        <v>628</v>
      </c>
    </row>
    <row r="9251" spans="1:10" x14ac:dyDescent="0.35">
      <c r="A9251" t="s">
        <v>227</v>
      </c>
      <c r="B9251" t="s">
        <v>336</v>
      </c>
      <c r="C9251" s="2">
        <v>0.93059999999999998</v>
      </c>
      <c r="D9251" s="2">
        <v>3.9E-2</v>
      </c>
      <c r="E9251" s="2">
        <v>2.12E-2</v>
      </c>
      <c r="F9251" s="2">
        <v>8.8000000000000005E-3</v>
      </c>
      <c r="I9251" s="2">
        <v>4.0000000000000002E-4</v>
      </c>
      <c r="J9251">
        <v>621</v>
      </c>
    </row>
    <row r="9252" spans="1:10" x14ac:dyDescent="0.35">
      <c r="A9252" t="s">
        <v>227</v>
      </c>
      <c r="B9252" t="s">
        <v>337</v>
      </c>
      <c r="C9252" s="2">
        <v>0.91069999999999995</v>
      </c>
      <c r="D9252" s="2">
        <v>6.0299999999999999E-2</v>
      </c>
      <c r="E9252" s="2">
        <v>2.7900000000000001E-2</v>
      </c>
      <c r="F9252" s="2">
        <v>6.9999999999999999E-4</v>
      </c>
      <c r="G9252" s="2">
        <v>4.0000000000000002E-4</v>
      </c>
      <c r="J9252">
        <v>602</v>
      </c>
    </row>
    <row r="9253" spans="1:10" x14ac:dyDescent="0.35">
      <c r="A9253" t="s">
        <v>228</v>
      </c>
      <c r="B9253" t="s">
        <v>228</v>
      </c>
      <c r="C9253" s="2">
        <v>0.91010000000000002</v>
      </c>
      <c r="D9253" s="2">
        <v>5.9900000000000002E-2</v>
      </c>
      <c r="E9253" s="2">
        <v>2.1600000000000001E-2</v>
      </c>
      <c r="F9253" s="2">
        <v>3.5000000000000001E-3</v>
      </c>
      <c r="G9253" s="2">
        <v>2.3E-3</v>
      </c>
      <c r="H9253" s="2">
        <v>2.0999999999999999E-3</v>
      </c>
      <c r="I9253" s="2">
        <v>5.0000000000000001E-4</v>
      </c>
      <c r="J9253">
        <v>2476</v>
      </c>
    </row>
    <row r="9255" spans="1:10" x14ac:dyDescent="0.35">
      <c r="A9255" s="1" t="s">
        <v>2222</v>
      </c>
    </row>
    <row r="9256" spans="1:10" x14ac:dyDescent="0.35">
      <c r="A9256" t="s">
        <v>219</v>
      </c>
      <c r="B9256" t="s">
        <v>301</v>
      </c>
      <c r="C9256" t="s">
        <v>2046</v>
      </c>
      <c r="D9256" t="s">
        <v>2047</v>
      </c>
      <c r="E9256" t="s">
        <v>2048</v>
      </c>
      <c r="F9256" t="s">
        <v>2049</v>
      </c>
      <c r="G9256" t="s">
        <v>2050</v>
      </c>
      <c r="H9256" t="s">
        <v>277</v>
      </c>
      <c r="I9256" t="s">
        <v>282</v>
      </c>
      <c r="J9256" t="s">
        <v>226</v>
      </c>
    </row>
    <row r="9257" spans="1:10" x14ac:dyDescent="0.35">
      <c r="A9257" t="s">
        <v>227</v>
      </c>
      <c r="B9257" t="s">
        <v>263</v>
      </c>
      <c r="C9257" s="2">
        <v>0.91269999999999996</v>
      </c>
      <c r="D9257" s="2">
        <v>6.1699999999999998E-2</v>
      </c>
      <c r="E9257" s="2">
        <v>1.66E-2</v>
      </c>
      <c r="F9257" s="2">
        <v>5.3E-3</v>
      </c>
      <c r="G9257" s="2">
        <v>2.0000000000000001E-4</v>
      </c>
      <c r="H9257" s="2">
        <v>3.3999999999999998E-3</v>
      </c>
      <c r="J9257">
        <v>589</v>
      </c>
    </row>
    <row r="9258" spans="1:10" x14ac:dyDescent="0.35">
      <c r="A9258" t="s">
        <v>227</v>
      </c>
      <c r="B9258" t="s">
        <v>262</v>
      </c>
      <c r="C9258" s="2">
        <v>0.9103</v>
      </c>
      <c r="D9258" s="2">
        <v>5.4899999999999997E-2</v>
      </c>
      <c r="E9258" s="2">
        <v>2.46E-2</v>
      </c>
      <c r="F9258" s="2">
        <v>3.0999999999999999E-3</v>
      </c>
      <c r="G9258" s="2">
        <v>4.1000000000000003E-3</v>
      </c>
      <c r="H9258" s="2">
        <v>2.8E-3</v>
      </c>
      <c r="I9258" s="2">
        <v>2.0000000000000001E-4</v>
      </c>
      <c r="J9258">
        <v>1160</v>
      </c>
    </row>
    <row r="9259" spans="1:10" x14ac:dyDescent="0.35">
      <c r="A9259" t="s">
        <v>227</v>
      </c>
      <c r="B9259" t="s">
        <v>261</v>
      </c>
      <c r="C9259" s="2">
        <v>0.9083</v>
      </c>
      <c r="D9259" s="2">
        <v>6.3500000000000001E-2</v>
      </c>
      <c r="E9259" s="2">
        <v>2.1499999999999998E-2</v>
      </c>
      <c r="F9259" s="2">
        <v>2.8999999999999998E-3</v>
      </c>
      <c r="G9259" s="2">
        <v>1.9E-3</v>
      </c>
      <c r="H9259" s="2">
        <v>6.9999999999999999E-4</v>
      </c>
      <c r="I9259" s="2">
        <v>1E-3</v>
      </c>
      <c r="J9259">
        <v>1062</v>
      </c>
    </row>
    <row r="9260" spans="1:10" x14ac:dyDescent="0.35">
      <c r="A9260" s="3" t="s">
        <v>227</v>
      </c>
      <c r="B9260" s="3" t="s">
        <v>232</v>
      </c>
      <c r="C9260" s="4">
        <v>1</v>
      </c>
      <c r="D9260" s="5"/>
      <c r="E9260" s="5"/>
      <c r="F9260" s="5"/>
      <c r="G9260" s="5"/>
      <c r="H9260" s="5"/>
      <c r="I9260" s="5"/>
      <c r="J9260" s="5" t="s">
        <v>434</v>
      </c>
    </row>
    <row r="9261" spans="1:10" x14ac:dyDescent="0.35">
      <c r="A9261" t="s">
        <v>228</v>
      </c>
      <c r="B9261" t="s">
        <v>228</v>
      </c>
      <c r="C9261" s="2">
        <v>0.91010000000000002</v>
      </c>
      <c r="D9261" s="2">
        <v>5.9900000000000002E-2</v>
      </c>
      <c r="E9261" s="2">
        <v>2.1600000000000001E-2</v>
      </c>
      <c r="F9261" s="2">
        <v>3.5000000000000001E-3</v>
      </c>
      <c r="G9261" s="2">
        <v>2.3E-3</v>
      </c>
      <c r="H9261" s="2">
        <v>2.0999999999999999E-3</v>
      </c>
      <c r="I9261" s="2">
        <v>5.0000000000000001E-4</v>
      </c>
      <c r="J9261">
        <v>2813</v>
      </c>
    </row>
    <row r="9263" spans="1:10" x14ac:dyDescent="0.35">
      <c r="A9263" s="1" t="s">
        <v>2223</v>
      </c>
    </row>
    <row r="9264" spans="1:10" x14ac:dyDescent="0.35">
      <c r="A9264" t="s">
        <v>219</v>
      </c>
      <c r="B9264" t="s">
        <v>301</v>
      </c>
      <c r="C9264" t="s">
        <v>2046</v>
      </c>
      <c r="D9264" t="s">
        <v>2047</v>
      </c>
      <c r="E9264" t="s">
        <v>2048</v>
      </c>
      <c r="F9264" t="s">
        <v>2049</v>
      </c>
      <c r="G9264" t="s">
        <v>2050</v>
      </c>
      <c r="H9264" t="s">
        <v>277</v>
      </c>
      <c r="I9264" t="s">
        <v>282</v>
      </c>
      <c r="J9264" t="s">
        <v>226</v>
      </c>
    </row>
    <row r="9265" spans="1:10" x14ac:dyDescent="0.35">
      <c r="A9265" t="s">
        <v>227</v>
      </c>
      <c r="B9265" t="s">
        <v>248</v>
      </c>
      <c r="C9265" s="2">
        <v>0.93169999999999997</v>
      </c>
      <c r="D9265" s="2">
        <v>4.5400000000000003E-2</v>
      </c>
      <c r="E9265" s="2">
        <v>1.4800000000000001E-2</v>
      </c>
      <c r="F9265" s="2">
        <v>4.3E-3</v>
      </c>
      <c r="G9265" s="2">
        <v>2.5999999999999999E-3</v>
      </c>
      <c r="H9265" s="2">
        <v>5.9999999999999995E-4</v>
      </c>
      <c r="I9265" s="2">
        <v>5.9999999999999995E-4</v>
      </c>
      <c r="J9265">
        <v>796</v>
      </c>
    </row>
    <row r="9266" spans="1:10" x14ac:dyDescent="0.35">
      <c r="A9266" t="s">
        <v>227</v>
      </c>
      <c r="B9266" t="s">
        <v>249</v>
      </c>
      <c r="C9266" s="2">
        <v>0.86799999999999999</v>
      </c>
      <c r="D9266" s="2">
        <v>9.3899999999999997E-2</v>
      </c>
      <c r="E9266" s="2">
        <v>2.5100000000000001E-2</v>
      </c>
      <c r="F9266" s="2">
        <v>2.3E-3</v>
      </c>
      <c r="G9266" s="2">
        <v>4.4000000000000003E-3</v>
      </c>
      <c r="H9266" s="2">
        <v>4.8999999999999998E-3</v>
      </c>
      <c r="I9266" s="2">
        <v>1.4E-3</v>
      </c>
      <c r="J9266">
        <v>541</v>
      </c>
    </row>
    <row r="9267" spans="1:10" x14ac:dyDescent="0.35">
      <c r="A9267" t="s">
        <v>227</v>
      </c>
      <c r="B9267" t="s">
        <v>247</v>
      </c>
      <c r="C9267" s="2">
        <v>0.9143</v>
      </c>
      <c r="D9267" s="2">
        <v>5.5E-2</v>
      </c>
      <c r="E9267" s="2">
        <v>2.3900000000000001E-2</v>
      </c>
      <c r="F9267" s="2">
        <v>3.5000000000000001E-3</v>
      </c>
      <c r="G9267" s="2">
        <v>1.5E-3</v>
      </c>
      <c r="H9267" s="2">
        <v>1.8E-3</v>
      </c>
      <c r="I9267" s="2">
        <v>2.0000000000000001E-4</v>
      </c>
      <c r="J9267">
        <v>1476</v>
      </c>
    </row>
    <row r="9268" spans="1:10" x14ac:dyDescent="0.35">
      <c r="A9268" t="s">
        <v>228</v>
      </c>
      <c r="B9268" t="s">
        <v>228</v>
      </c>
      <c r="C9268" s="2">
        <v>0.91010000000000002</v>
      </c>
      <c r="D9268" s="2">
        <v>5.9900000000000002E-2</v>
      </c>
      <c r="E9268" s="2">
        <v>2.1600000000000001E-2</v>
      </c>
      <c r="F9268" s="2">
        <v>3.5000000000000001E-3</v>
      </c>
      <c r="G9268" s="2">
        <v>2.3E-3</v>
      </c>
      <c r="H9268" s="2">
        <v>2.0999999999999999E-3</v>
      </c>
      <c r="I9268" s="2">
        <v>5.0000000000000001E-4</v>
      </c>
      <c r="J9268">
        <v>2813</v>
      </c>
    </row>
    <row r="9270" spans="1:10" x14ac:dyDescent="0.35">
      <c r="A9270" s="1" t="s">
        <v>2224</v>
      </c>
    </row>
    <row r="9271" spans="1:10" x14ac:dyDescent="0.35">
      <c r="A9271" t="s">
        <v>219</v>
      </c>
      <c r="B9271" t="s">
        <v>301</v>
      </c>
      <c r="C9271" t="s">
        <v>2046</v>
      </c>
      <c r="D9271" t="s">
        <v>2047</v>
      </c>
      <c r="E9271" t="s">
        <v>2048</v>
      </c>
      <c r="F9271" t="s">
        <v>2049</v>
      </c>
      <c r="G9271" t="s">
        <v>2050</v>
      </c>
      <c r="H9271" t="s">
        <v>277</v>
      </c>
      <c r="I9271" t="s">
        <v>282</v>
      </c>
      <c r="J9271" t="s">
        <v>226</v>
      </c>
    </row>
    <row r="9272" spans="1:10" x14ac:dyDescent="0.35">
      <c r="A9272" t="s">
        <v>227</v>
      </c>
      <c r="B9272" t="s">
        <v>245</v>
      </c>
      <c r="C9272" s="2">
        <v>0.87739999999999996</v>
      </c>
      <c r="D9272" s="2">
        <v>7.8E-2</v>
      </c>
      <c r="E9272" s="2">
        <v>3.5700000000000003E-2</v>
      </c>
      <c r="F9272" s="2">
        <v>4.1000000000000003E-3</v>
      </c>
      <c r="G9272" s="2">
        <v>3.0000000000000001E-3</v>
      </c>
      <c r="H9272" s="2">
        <v>1.4E-3</v>
      </c>
      <c r="I9272" s="2">
        <v>2.9999999999999997E-4</v>
      </c>
      <c r="J9272">
        <v>783</v>
      </c>
    </row>
    <row r="9273" spans="1:10" x14ac:dyDescent="0.35">
      <c r="A9273" t="s">
        <v>227</v>
      </c>
      <c r="B9273" t="s">
        <v>244</v>
      </c>
      <c r="C9273" s="2">
        <v>0.92300000000000004</v>
      </c>
      <c r="D9273" s="2">
        <v>5.2699999999999997E-2</v>
      </c>
      <c r="E9273" s="2">
        <v>1.6E-2</v>
      </c>
      <c r="F9273" s="2">
        <v>3.2000000000000002E-3</v>
      </c>
      <c r="G9273" s="2">
        <v>2.0999999999999999E-3</v>
      </c>
      <c r="H9273" s="2">
        <v>2.3E-3</v>
      </c>
      <c r="I9273" s="2">
        <v>5.9999999999999995E-4</v>
      </c>
      <c r="J9273">
        <v>2030</v>
      </c>
    </row>
    <row r="9274" spans="1:10" x14ac:dyDescent="0.35">
      <c r="A9274" t="s">
        <v>228</v>
      </c>
      <c r="B9274" t="s">
        <v>228</v>
      </c>
      <c r="C9274" s="2">
        <v>0.91010000000000002</v>
      </c>
      <c r="D9274" s="2">
        <v>5.9900000000000002E-2</v>
      </c>
      <c r="E9274" s="2">
        <v>2.1600000000000001E-2</v>
      </c>
      <c r="F9274" s="2">
        <v>3.5000000000000001E-3</v>
      </c>
      <c r="G9274" s="2">
        <v>2.3E-3</v>
      </c>
      <c r="H9274" s="2">
        <v>2.0999999999999999E-3</v>
      </c>
      <c r="I9274" s="2">
        <v>5.0000000000000001E-4</v>
      </c>
      <c r="J9274">
        <v>2813</v>
      </c>
    </row>
    <row r="9276" spans="1:10" x14ac:dyDescent="0.35">
      <c r="A9276" s="1" t="s">
        <v>2225</v>
      </c>
    </row>
    <row r="9277" spans="1:10" x14ac:dyDescent="0.35">
      <c r="A9277" t="s">
        <v>219</v>
      </c>
      <c r="B9277" t="s">
        <v>301</v>
      </c>
      <c r="C9277" t="s">
        <v>2046</v>
      </c>
      <c r="D9277" t="s">
        <v>2047</v>
      </c>
      <c r="E9277" t="s">
        <v>2048</v>
      </c>
      <c r="F9277" t="s">
        <v>2049</v>
      </c>
      <c r="G9277" t="s">
        <v>2050</v>
      </c>
      <c r="H9277" t="s">
        <v>277</v>
      </c>
      <c r="I9277" t="s">
        <v>282</v>
      </c>
      <c r="J9277" t="s">
        <v>226</v>
      </c>
    </row>
    <row r="9278" spans="1:10" x14ac:dyDescent="0.35">
      <c r="A9278" t="s">
        <v>227</v>
      </c>
      <c r="B9278" t="s">
        <v>259</v>
      </c>
      <c r="C9278" s="2">
        <v>0.93700000000000006</v>
      </c>
      <c r="D9278" s="2">
        <v>1.7000000000000001E-2</v>
      </c>
      <c r="E9278" s="2">
        <v>3.85E-2</v>
      </c>
      <c r="F9278" s="2">
        <v>2.8E-3</v>
      </c>
      <c r="G9278" s="2">
        <v>4.7999999999999996E-3</v>
      </c>
      <c r="J9278">
        <v>69</v>
      </c>
    </row>
    <row r="9279" spans="1:10" x14ac:dyDescent="0.35">
      <c r="A9279" t="s">
        <v>227</v>
      </c>
      <c r="B9279" t="s">
        <v>257</v>
      </c>
      <c r="C9279" s="2">
        <v>0.88090000000000002</v>
      </c>
      <c r="D9279" s="2">
        <v>8.5000000000000006E-2</v>
      </c>
      <c r="E9279" s="2">
        <v>2.5000000000000001E-2</v>
      </c>
      <c r="F9279" s="2">
        <v>7.7000000000000002E-3</v>
      </c>
      <c r="G9279" s="2">
        <v>2.9999999999999997E-4</v>
      </c>
      <c r="H9279" s="2">
        <v>5.0000000000000001E-4</v>
      </c>
      <c r="I9279" s="2">
        <v>5.0000000000000001E-4</v>
      </c>
      <c r="J9279">
        <v>405</v>
      </c>
    </row>
    <row r="9280" spans="1:10" x14ac:dyDescent="0.35">
      <c r="A9280" t="s">
        <v>227</v>
      </c>
      <c r="B9280" t="s">
        <v>256</v>
      </c>
      <c r="C9280" s="2">
        <v>0.92520000000000002</v>
      </c>
      <c r="D9280" s="2">
        <v>4.9500000000000002E-2</v>
      </c>
      <c r="E9280" s="2">
        <v>1.7000000000000001E-2</v>
      </c>
      <c r="F9280" s="2">
        <v>2.8E-3</v>
      </c>
      <c r="G9280" s="2">
        <v>3.3E-3</v>
      </c>
      <c r="H9280" s="2">
        <v>1.8E-3</v>
      </c>
      <c r="I9280" s="2">
        <v>4.0000000000000002E-4</v>
      </c>
      <c r="J9280">
        <v>1803</v>
      </c>
    </row>
    <row r="9281" spans="1:10" x14ac:dyDescent="0.35">
      <c r="A9281" s="3" t="s">
        <v>227</v>
      </c>
      <c r="B9281" s="3" t="s">
        <v>232</v>
      </c>
      <c r="C9281" s="4">
        <v>1</v>
      </c>
      <c r="D9281" s="5"/>
      <c r="E9281" s="5"/>
      <c r="F9281" s="5"/>
      <c r="G9281" s="5"/>
      <c r="H9281" s="5"/>
      <c r="I9281" s="5"/>
      <c r="J9281" s="5" t="s">
        <v>307</v>
      </c>
    </row>
    <row r="9282" spans="1:10" x14ac:dyDescent="0.35">
      <c r="A9282" t="s">
        <v>227</v>
      </c>
      <c r="B9282" t="s">
        <v>258</v>
      </c>
      <c r="C9282" s="2">
        <v>0.87129999999999996</v>
      </c>
      <c r="D9282" s="2">
        <v>8.3400000000000002E-2</v>
      </c>
      <c r="E9282" s="2">
        <v>3.6999999999999998E-2</v>
      </c>
      <c r="F9282" s="2">
        <v>1.6000000000000001E-3</v>
      </c>
      <c r="G9282" s="2">
        <v>2.9999999999999997E-4</v>
      </c>
      <c r="H9282" s="2">
        <v>5.1999999999999998E-3</v>
      </c>
      <c r="I9282" s="2">
        <v>1.1999999999999999E-3</v>
      </c>
      <c r="J9282">
        <v>525</v>
      </c>
    </row>
    <row r="9283" spans="1:10" x14ac:dyDescent="0.35">
      <c r="A9283" t="s">
        <v>228</v>
      </c>
      <c r="B9283" t="s">
        <v>228</v>
      </c>
      <c r="C9283" s="2">
        <v>0.91010000000000002</v>
      </c>
      <c r="D9283" s="2">
        <v>5.9900000000000002E-2</v>
      </c>
      <c r="E9283" s="2">
        <v>2.1600000000000001E-2</v>
      </c>
      <c r="F9283" s="2">
        <v>3.5000000000000001E-3</v>
      </c>
      <c r="G9283" s="2">
        <v>2.3E-3</v>
      </c>
      <c r="H9283" s="2">
        <v>2.0999999999999999E-3</v>
      </c>
      <c r="I9283" s="2">
        <v>5.0000000000000001E-4</v>
      </c>
      <c r="J9283">
        <v>2813</v>
      </c>
    </row>
    <row r="9285" spans="1:10" x14ac:dyDescent="0.35">
      <c r="A9285" s="1" t="s">
        <v>2226</v>
      </c>
    </row>
    <row r="9286" spans="1:10" x14ac:dyDescent="0.35">
      <c r="A9286" t="s">
        <v>219</v>
      </c>
      <c r="B9286" t="s">
        <v>301</v>
      </c>
      <c r="C9286" t="s">
        <v>2046</v>
      </c>
      <c r="D9286" t="s">
        <v>2047</v>
      </c>
      <c r="E9286" t="s">
        <v>2048</v>
      </c>
      <c r="F9286" t="s">
        <v>2049</v>
      </c>
      <c r="G9286" t="s">
        <v>2050</v>
      </c>
      <c r="H9286" t="s">
        <v>277</v>
      </c>
      <c r="I9286" t="s">
        <v>282</v>
      </c>
      <c r="J9286" t="s">
        <v>226</v>
      </c>
    </row>
    <row r="9287" spans="1:10" x14ac:dyDescent="0.35">
      <c r="A9287" t="s">
        <v>227</v>
      </c>
      <c r="B9287" t="s">
        <v>343</v>
      </c>
      <c r="C9287" s="2">
        <v>0.88090000000000002</v>
      </c>
      <c r="D9287" s="2">
        <v>8.5000000000000006E-2</v>
      </c>
      <c r="E9287" s="2">
        <v>2.5000000000000001E-2</v>
      </c>
      <c r="F9287" s="2">
        <v>7.7000000000000002E-3</v>
      </c>
      <c r="G9287" s="2">
        <v>2.9999999999999997E-4</v>
      </c>
      <c r="H9287" s="2">
        <v>5.0000000000000001E-4</v>
      </c>
      <c r="I9287" s="2">
        <v>5.0000000000000001E-4</v>
      </c>
      <c r="J9287">
        <v>405</v>
      </c>
    </row>
    <row r="9288" spans="1:10" x14ac:dyDescent="0.35">
      <c r="A9288" t="s">
        <v>227</v>
      </c>
      <c r="B9288" t="s">
        <v>344</v>
      </c>
      <c r="C9288" s="2">
        <v>0.91600000000000004</v>
      </c>
      <c r="D9288" s="2">
        <v>5.4800000000000001E-2</v>
      </c>
      <c r="E9288" s="2">
        <v>2.0899999999999998E-2</v>
      </c>
      <c r="F9288" s="2">
        <v>2.5999999999999999E-3</v>
      </c>
      <c r="G9288" s="2">
        <v>2.8E-3</v>
      </c>
      <c r="H9288" s="2">
        <v>2.3999999999999998E-3</v>
      </c>
      <c r="I9288" s="2">
        <v>5.0000000000000001E-4</v>
      </c>
      <c r="J9288">
        <v>2408</v>
      </c>
    </row>
    <row r="9289" spans="1:10" x14ac:dyDescent="0.35">
      <c r="A9289" t="s">
        <v>228</v>
      </c>
      <c r="B9289" t="s">
        <v>228</v>
      </c>
      <c r="C9289" s="2">
        <v>0.91010000000000002</v>
      </c>
      <c r="D9289" s="2">
        <v>5.9900000000000002E-2</v>
      </c>
      <c r="E9289" s="2">
        <v>2.1600000000000001E-2</v>
      </c>
      <c r="F9289" s="2">
        <v>3.5000000000000001E-3</v>
      </c>
      <c r="G9289" s="2">
        <v>2.3E-3</v>
      </c>
      <c r="H9289" s="2">
        <v>2.0999999999999999E-3</v>
      </c>
      <c r="I9289" s="2">
        <v>5.0000000000000001E-4</v>
      </c>
      <c r="J9289">
        <v>2813</v>
      </c>
    </row>
    <row r="9291" spans="1:10" x14ac:dyDescent="0.35">
      <c r="A9291" s="1" t="s">
        <v>2227</v>
      </c>
    </row>
    <row r="9292" spans="1:10" x14ac:dyDescent="0.35">
      <c r="A9292" t="s">
        <v>219</v>
      </c>
      <c r="B9292" t="s">
        <v>301</v>
      </c>
      <c r="C9292" t="s">
        <v>2046</v>
      </c>
      <c r="D9292" t="s">
        <v>2047</v>
      </c>
      <c r="E9292" t="s">
        <v>2048</v>
      </c>
      <c r="F9292" t="s">
        <v>2049</v>
      </c>
      <c r="G9292" t="s">
        <v>2050</v>
      </c>
      <c r="H9292" t="s">
        <v>277</v>
      </c>
      <c r="I9292" t="s">
        <v>282</v>
      </c>
      <c r="J9292" t="s">
        <v>226</v>
      </c>
    </row>
    <row r="9293" spans="1:10" x14ac:dyDescent="0.35">
      <c r="A9293" t="s">
        <v>227</v>
      </c>
      <c r="B9293" t="s">
        <v>346</v>
      </c>
      <c r="C9293" s="2">
        <v>0.91269999999999996</v>
      </c>
      <c r="D9293" s="2">
        <v>0.06</v>
      </c>
      <c r="E9293" s="2">
        <v>1.9800000000000002E-2</v>
      </c>
      <c r="F9293" s="2">
        <v>3.2000000000000002E-3</v>
      </c>
      <c r="G9293" s="2">
        <v>2.3E-3</v>
      </c>
      <c r="H9293" s="2">
        <v>1.8E-3</v>
      </c>
      <c r="I9293" s="2">
        <v>2.0000000000000001E-4</v>
      </c>
      <c r="J9293">
        <v>1463</v>
      </c>
    </row>
    <row r="9294" spans="1:10" x14ac:dyDescent="0.35">
      <c r="A9294" t="s">
        <v>227</v>
      </c>
      <c r="B9294" t="s">
        <v>347</v>
      </c>
      <c r="C9294" s="2">
        <v>0.84640000000000004</v>
      </c>
      <c r="D9294" s="2">
        <v>7.8100000000000003E-2</v>
      </c>
      <c r="E9294" s="2">
        <v>4.9700000000000001E-2</v>
      </c>
      <c r="F9294" s="2">
        <v>6.7999999999999996E-3</v>
      </c>
      <c r="G9294" s="2">
        <v>6.7999999999999996E-3</v>
      </c>
      <c r="H9294" s="2">
        <v>5.1999999999999998E-3</v>
      </c>
      <c r="I9294" s="2">
        <v>7.0000000000000001E-3</v>
      </c>
      <c r="J9294">
        <v>585</v>
      </c>
    </row>
    <row r="9295" spans="1:10" x14ac:dyDescent="0.35">
      <c r="A9295" t="s">
        <v>227</v>
      </c>
      <c r="B9295" t="s">
        <v>348</v>
      </c>
      <c r="C9295" s="2">
        <v>0.9103</v>
      </c>
      <c r="D9295" s="2">
        <v>5.1999999999999998E-2</v>
      </c>
      <c r="E9295" s="2">
        <v>2.7699999999999999E-2</v>
      </c>
      <c r="F9295" s="2">
        <v>5.0000000000000001E-3</v>
      </c>
      <c r="G9295" s="2">
        <v>8.0000000000000004E-4</v>
      </c>
      <c r="H9295" s="2">
        <v>3.2000000000000002E-3</v>
      </c>
      <c r="I9295" s="2">
        <v>8.0000000000000004E-4</v>
      </c>
      <c r="J9295">
        <v>765</v>
      </c>
    </row>
    <row r="9296" spans="1:10" x14ac:dyDescent="0.35">
      <c r="A9296" t="s">
        <v>228</v>
      </c>
      <c r="B9296" t="s">
        <v>228</v>
      </c>
      <c r="C9296" s="2">
        <v>0.91010000000000002</v>
      </c>
      <c r="D9296" s="2">
        <v>5.9900000000000002E-2</v>
      </c>
      <c r="E9296" s="2">
        <v>2.1600000000000001E-2</v>
      </c>
      <c r="F9296" s="2">
        <v>3.5000000000000001E-3</v>
      </c>
      <c r="G9296" s="2">
        <v>2.3E-3</v>
      </c>
      <c r="H9296" s="2">
        <v>2.0999999999999999E-3</v>
      </c>
      <c r="I9296" s="2">
        <v>5.0000000000000001E-4</v>
      </c>
      <c r="J9296">
        <v>2813</v>
      </c>
    </row>
    <row r="9298" spans="1:10" x14ac:dyDescent="0.35">
      <c r="A9298" s="1" t="s">
        <v>2228</v>
      </c>
    </row>
    <row r="9299" spans="1:10" x14ac:dyDescent="0.35">
      <c r="A9299" t="s">
        <v>219</v>
      </c>
      <c r="B9299" t="s">
        <v>301</v>
      </c>
      <c r="C9299" t="s">
        <v>2046</v>
      </c>
      <c r="D9299" t="s">
        <v>2047</v>
      </c>
      <c r="E9299" t="s">
        <v>2048</v>
      </c>
      <c r="F9299" t="s">
        <v>2049</v>
      </c>
      <c r="G9299" t="s">
        <v>2050</v>
      </c>
      <c r="H9299" t="s">
        <v>277</v>
      </c>
      <c r="I9299" t="s">
        <v>282</v>
      </c>
      <c r="J9299" t="s">
        <v>226</v>
      </c>
    </row>
    <row r="9300" spans="1:10" x14ac:dyDescent="0.35">
      <c r="A9300" t="s">
        <v>227</v>
      </c>
      <c r="B9300" t="s">
        <v>251</v>
      </c>
      <c r="C9300" s="2">
        <v>0.92300000000000004</v>
      </c>
      <c r="D9300" s="2">
        <v>5.2699999999999997E-2</v>
      </c>
      <c r="E9300" s="2">
        <v>1.6E-2</v>
      </c>
      <c r="F9300" s="2">
        <v>3.2000000000000002E-3</v>
      </c>
      <c r="G9300" s="2">
        <v>2.0999999999999999E-3</v>
      </c>
      <c r="H9300" s="2">
        <v>2.3E-3</v>
      </c>
      <c r="I9300" s="2">
        <v>5.9999999999999995E-4</v>
      </c>
      <c r="J9300">
        <v>2030</v>
      </c>
    </row>
    <row r="9301" spans="1:10" x14ac:dyDescent="0.35">
      <c r="A9301" t="s">
        <v>227</v>
      </c>
      <c r="B9301" t="s">
        <v>252</v>
      </c>
      <c r="C9301" s="2">
        <v>0.87439999999999996</v>
      </c>
      <c r="D9301" s="2">
        <v>8.2400000000000001E-2</v>
      </c>
      <c r="E9301" s="2">
        <v>3.5200000000000002E-2</v>
      </c>
      <c r="F9301" s="2">
        <v>2.3999999999999998E-3</v>
      </c>
      <c r="G9301" s="2">
        <v>3.3999999999999998E-3</v>
      </c>
      <c r="H9301" s="2">
        <v>1.8E-3</v>
      </c>
      <c r="I9301" s="2">
        <v>2.9999999999999997E-4</v>
      </c>
      <c r="J9301">
        <v>621</v>
      </c>
    </row>
    <row r="9302" spans="1:10" x14ac:dyDescent="0.35">
      <c r="A9302" t="s">
        <v>227</v>
      </c>
      <c r="B9302" t="s">
        <v>253</v>
      </c>
      <c r="C9302" s="2">
        <v>0.88639999999999997</v>
      </c>
      <c r="D9302" s="2">
        <v>6.1499999999999999E-2</v>
      </c>
      <c r="E9302" s="2">
        <v>3.9E-2</v>
      </c>
      <c r="F9302" s="2">
        <v>1.15E-2</v>
      </c>
      <c r="G9302" s="2">
        <v>1.5E-3</v>
      </c>
      <c r="J9302">
        <v>153</v>
      </c>
    </row>
    <row r="9303" spans="1:10" x14ac:dyDescent="0.35">
      <c r="A9303" s="3" t="s">
        <v>227</v>
      </c>
      <c r="B9303" s="3" t="s">
        <v>254</v>
      </c>
      <c r="C9303" s="4">
        <v>1</v>
      </c>
      <c r="D9303" s="5"/>
      <c r="E9303" s="5"/>
      <c r="F9303" s="5"/>
      <c r="G9303" s="5"/>
      <c r="H9303" s="5"/>
      <c r="I9303" s="5"/>
      <c r="J9303" s="5" t="s">
        <v>515</v>
      </c>
    </row>
    <row r="9304" spans="1:10" x14ac:dyDescent="0.35">
      <c r="A9304" t="s">
        <v>228</v>
      </c>
      <c r="B9304" t="s">
        <v>228</v>
      </c>
      <c r="C9304" s="2">
        <v>0.91010000000000002</v>
      </c>
      <c r="D9304" s="2">
        <v>5.9900000000000002E-2</v>
      </c>
      <c r="E9304" s="2">
        <v>2.1600000000000001E-2</v>
      </c>
      <c r="F9304" s="2">
        <v>3.5000000000000001E-3</v>
      </c>
      <c r="G9304" s="2">
        <v>2.3E-3</v>
      </c>
      <c r="H9304" s="2">
        <v>2.0999999999999999E-3</v>
      </c>
      <c r="I9304" s="2">
        <v>5.0000000000000001E-4</v>
      </c>
      <c r="J9304">
        <v>2813</v>
      </c>
    </row>
    <row r="9306" spans="1:10" x14ac:dyDescent="0.35">
      <c r="A9306" s="1" t="s">
        <v>2229</v>
      </c>
    </row>
    <row r="9307" spans="1:10" x14ac:dyDescent="0.35">
      <c r="A9307" t="s">
        <v>219</v>
      </c>
      <c r="B9307" t="s">
        <v>2230</v>
      </c>
      <c r="C9307" t="s">
        <v>2231</v>
      </c>
      <c r="D9307" t="s">
        <v>2232</v>
      </c>
      <c r="E9307" t="s">
        <v>226</v>
      </c>
    </row>
    <row r="9308" spans="1:10" x14ac:dyDescent="0.35">
      <c r="A9308" t="s">
        <v>227</v>
      </c>
      <c r="B9308" s="2">
        <v>0.72440000000000004</v>
      </c>
      <c r="C9308" s="2">
        <v>0.2175</v>
      </c>
      <c r="D9308" s="2">
        <v>5.8099999999999999E-2</v>
      </c>
      <c r="E9308">
        <v>2813</v>
      </c>
    </row>
    <row r="9309" spans="1:10" x14ac:dyDescent="0.35">
      <c r="A9309" t="s">
        <v>228</v>
      </c>
      <c r="B9309" s="2">
        <v>0.72440000000000004</v>
      </c>
      <c r="C9309" s="2">
        <v>0.2175</v>
      </c>
      <c r="D9309" s="2">
        <v>5.8099999999999999E-2</v>
      </c>
      <c r="E9309">
        <v>2813</v>
      </c>
    </row>
    <row r="9311" spans="1:10" x14ac:dyDescent="0.35">
      <c r="A9311" s="1" t="s">
        <v>2233</v>
      </c>
    </row>
    <row r="9312" spans="1:10" x14ac:dyDescent="0.35">
      <c r="A9312" t="s">
        <v>219</v>
      </c>
      <c r="B9312" t="s">
        <v>301</v>
      </c>
      <c r="C9312" t="s">
        <v>2230</v>
      </c>
      <c r="D9312" t="s">
        <v>2231</v>
      </c>
      <c r="E9312" t="s">
        <v>2232</v>
      </c>
      <c r="F9312" t="s">
        <v>226</v>
      </c>
    </row>
    <row r="9313" spans="1:6" x14ac:dyDescent="0.35">
      <c r="A9313" t="s">
        <v>227</v>
      </c>
      <c r="B9313" t="s">
        <v>238</v>
      </c>
      <c r="C9313" s="2">
        <v>0.62980000000000003</v>
      </c>
      <c r="D9313" s="2">
        <v>0.29199999999999998</v>
      </c>
      <c r="E9313" s="2">
        <v>7.8200000000000006E-2</v>
      </c>
      <c r="F9313">
        <v>1005</v>
      </c>
    </row>
    <row r="9314" spans="1:6" x14ac:dyDescent="0.35">
      <c r="A9314" t="s">
        <v>227</v>
      </c>
      <c r="B9314" t="s">
        <v>237</v>
      </c>
      <c r="C9314" s="2">
        <v>0.77959999999999996</v>
      </c>
      <c r="D9314" s="2">
        <v>0.1741</v>
      </c>
      <c r="E9314" s="2">
        <v>4.6399999999999997E-2</v>
      </c>
      <c r="F9314">
        <v>1808</v>
      </c>
    </row>
    <row r="9315" spans="1:6" x14ac:dyDescent="0.35">
      <c r="A9315" t="s">
        <v>228</v>
      </c>
      <c r="B9315" t="s">
        <v>228</v>
      </c>
      <c r="C9315" s="2">
        <v>0.72440000000000004</v>
      </c>
      <c r="D9315" s="2">
        <v>0.2175</v>
      </c>
      <c r="E9315" s="2">
        <v>5.8099999999999999E-2</v>
      </c>
      <c r="F9315">
        <v>2813</v>
      </c>
    </row>
    <row r="9317" spans="1:6" x14ac:dyDescent="0.35">
      <c r="A9317" s="1" t="s">
        <v>2234</v>
      </c>
    </row>
    <row r="9318" spans="1:6" x14ac:dyDescent="0.35">
      <c r="A9318" t="s">
        <v>219</v>
      </c>
      <c r="B9318" t="s">
        <v>301</v>
      </c>
      <c r="C9318" t="s">
        <v>2230</v>
      </c>
      <c r="D9318" t="s">
        <v>2231</v>
      </c>
      <c r="E9318" t="s">
        <v>2232</v>
      </c>
      <c r="F9318" t="s">
        <v>226</v>
      </c>
    </row>
    <row r="9319" spans="1:6" x14ac:dyDescent="0.35">
      <c r="A9319" t="s">
        <v>227</v>
      </c>
      <c r="B9319" t="s">
        <v>235</v>
      </c>
      <c r="C9319" s="2">
        <v>0.74950000000000006</v>
      </c>
      <c r="D9319" s="2">
        <v>0.17710000000000001</v>
      </c>
      <c r="E9319" s="2">
        <v>7.3400000000000007E-2</v>
      </c>
      <c r="F9319">
        <v>992</v>
      </c>
    </row>
    <row r="9320" spans="1:6" x14ac:dyDescent="0.35">
      <c r="A9320" t="s">
        <v>227</v>
      </c>
      <c r="B9320" t="s">
        <v>234</v>
      </c>
      <c r="C9320" s="2">
        <v>0.71389999999999998</v>
      </c>
      <c r="D9320" s="2">
        <v>0.2344</v>
      </c>
      <c r="E9320" s="2">
        <v>5.1700000000000003E-2</v>
      </c>
      <c r="F9320">
        <v>1821</v>
      </c>
    </row>
    <row r="9321" spans="1:6" x14ac:dyDescent="0.35">
      <c r="A9321" t="s">
        <v>228</v>
      </c>
      <c r="B9321" t="s">
        <v>228</v>
      </c>
      <c r="C9321" s="2">
        <v>0.72440000000000004</v>
      </c>
      <c r="D9321" s="2">
        <v>0.2175</v>
      </c>
      <c r="E9321" s="2">
        <v>5.8099999999999999E-2</v>
      </c>
      <c r="F9321">
        <v>2813</v>
      </c>
    </row>
    <row r="9323" spans="1:6" x14ac:dyDescent="0.35">
      <c r="A9323" s="1" t="s">
        <v>2235</v>
      </c>
    </row>
    <row r="9324" spans="1:6" x14ac:dyDescent="0.35">
      <c r="A9324" t="s">
        <v>219</v>
      </c>
      <c r="B9324" t="s">
        <v>301</v>
      </c>
      <c r="C9324" t="s">
        <v>2230</v>
      </c>
      <c r="D9324" t="s">
        <v>2231</v>
      </c>
      <c r="E9324" t="s">
        <v>2232</v>
      </c>
      <c r="F9324" t="s">
        <v>226</v>
      </c>
    </row>
    <row r="9325" spans="1:6" x14ac:dyDescent="0.35">
      <c r="A9325" t="s">
        <v>227</v>
      </c>
      <c r="B9325" t="s">
        <v>240</v>
      </c>
      <c r="C9325" s="2">
        <v>0.75739999999999996</v>
      </c>
      <c r="D9325" s="2">
        <v>0.1913</v>
      </c>
      <c r="E9325" s="2">
        <v>5.1299999999999998E-2</v>
      </c>
      <c r="F9325">
        <v>1756</v>
      </c>
    </row>
    <row r="9326" spans="1:6" x14ac:dyDescent="0.35">
      <c r="A9326" t="s">
        <v>227</v>
      </c>
      <c r="B9326" t="s">
        <v>241</v>
      </c>
      <c r="C9326" s="2">
        <v>0.65339999999999998</v>
      </c>
      <c r="D9326" s="2">
        <v>0.28920000000000001</v>
      </c>
      <c r="E9326" s="2">
        <v>5.74E-2</v>
      </c>
      <c r="F9326">
        <v>891</v>
      </c>
    </row>
    <row r="9327" spans="1:6" x14ac:dyDescent="0.35">
      <c r="A9327" t="s">
        <v>227</v>
      </c>
      <c r="B9327" t="s">
        <v>242</v>
      </c>
      <c r="C9327" s="2">
        <v>0.72170000000000001</v>
      </c>
      <c r="D9327" s="2">
        <v>0.15179999999999999</v>
      </c>
      <c r="E9327" s="2">
        <v>0.1265</v>
      </c>
      <c r="F9327">
        <v>166</v>
      </c>
    </row>
    <row r="9328" spans="1:6" x14ac:dyDescent="0.35">
      <c r="A9328" t="s">
        <v>228</v>
      </c>
      <c r="B9328" t="s">
        <v>228</v>
      </c>
      <c r="C9328" s="2">
        <v>0.72440000000000004</v>
      </c>
      <c r="D9328" s="2">
        <v>0.2175</v>
      </c>
      <c r="E9328" s="2">
        <v>5.8099999999999999E-2</v>
      </c>
      <c r="F9328">
        <v>2813</v>
      </c>
    </row>
    <row r="9330" spans="1:6" x14ac:dyDescent="0.35">
      <c r="A9330" s="1" t="s">
        <v>2236</v>
      </c>
    </row>
    <row r="9331" spans="1:6" x14ac:dyDescent="0.35">
      <c r="A9331" t="s">
        <v>219</v>
      </c>
      <c r="B9331" t="s">
        <v>301</v>
      </c>
      <c r="C9331" t="s">
        <v>2230</v>
      </c>
      <c r="D9331" t="s">
        <v>2231</v>
      </c>
      <c r="E9331" t="s">
        <v>2232</v>
      </c>
      <c r="F9331" t="s">
        <v>226</v>
      </c>
    </row>
    <row r="9332" spans="1:6" x14ac:dyDescent="0.35">
      <c r="A9332" t="s">
        <v>227</v>
      </c>
      <c r="B9332" t="s">
        <v>334</v>
      </c>
      <c r="C9332" s="2">
        <v>0.54279999999999995</v>
      </c>
      <c r="D9332" s="2">
        <v>0.32979999999999998</v>
      </c>
      <c r="E9332" s="2">
        <v>0.12740000000000001</v>
      </c>
      <c r="F9332">
        <v>625</v>
      </c>
    </row>
    <row r="9333" spans="1:6" x14ac:dyDescent="0.35">
      <c r="A9333" t="s">
        <v>227</v>
      </c>
      <c r="B9333" t="s">
        <v>335</v>
      </c>
      <c r="C9333" s="2">
        <v>0.873</v>
      </c>
      <c r="D9333" s="2">
        <v>0.09</v>
      </c>
      <c r="E9333" s="2">
        <v>3.6999999999999998E-2</v>
      </c>
      <c r="F9333">
        <v>628</v>
      </c>
    </row>
    <row r="9334" spans="1:6" x14ac:dyDescent="0.35">
      <c r="A9334" t="s">
        <v>227</v>
      </c>
      <c r="B9334" t="s">
        <v>336</v>
      </c>
      <c r="C9334" s="2">
        <v>0.66310000000000002</v>
      </c>
      <c r="D9334" s="2">
        <v>0.26319999999999999</v>
      </c>
      <c r="E9334" s="2">
        <v>7.3700000000000002E-2</v>
      </c>
      <c r="F9334">
        <v>621</v>
      </c>
    </row>
    <row r="9335" spans="1:6" x14ac:dyDescent="0.35">
      <c r="A9335" t="s">
        <v>227</v>
      </c>
      <c r="B9335" t="s">
        <v>337</v>
      </c>
      <c r="C9335" s="2">
        <v>0.75029999999999997</v>
      </c>
      <c r="D9335" s="2">
        <v>0.22639999999999999</v>
      </c>
      <c r="E9335" s="2">
        <v>2.3300000000000001E-2</v>
      </c>
      <c r="F9335">
        <v>602</v>
      </c>
    </row>
    <row r="9336" spans="1:6" x14ac:dyDescent="0.35">
      <c r="A9336" t="s">
        <v>228</v>
      </c>
      <c r="B9336" t="s">
        <v>228</v>
      </c>
      <c r="C9336" s="2">
        <v>0.72440000000000004</v>
      </c>
      <c r="D9336" s="2">
        <v>0.2175</v>
      </c>
      <c r="E9336" s="2">
        <v>5.8099999999999999E-2</v>
      </c>
      <c r="F9336">
        <v>2476</v>
      </c>
    </row>
    <row r="9338" spans="1:6" x14ac:dyDescent="0.35">
      <c r="A9338" s="1" t="s">
        <v>2237</v>
      </c>
    </row>
    <row r="9339" spans="1:6" x14ac:dyDescent="0.35">
      <c r="A9339" t="s">
        <v>219</v>
      </c>
      <c r="B9339" t="s">
        <v>301</v>
      </c>
      <c r="C9339" t="s">
        <v>2230</v>
      </c>
      <c r="D9339" t="s">
        <v>2231</v>
      </c>
      <c r="E9339" t="s">
        <v>2232</v>
      </c>
      <c r="F9339" t="s">
        <v>226</v>
      </c>
    </row>
    <row r="9340" spans="1:6" x14ac:dyDescent="0.35">
      <c r="A9340" t="s">
        <v>227</v>
      </c>
      <c r="B9340" t="s">
        <v>263</v>
      </c>
      <c r="C9340" s="2">
        <v>0.75309999999999999</v>
      </c>
      <c r="D9340" s="2">
        <v>0.2097</v>
      </c>
      <c r="E9340" s="2">
        <v>3.7199999999999997E-2</v>
      </c>
      <c r="F9340">
        <v>589</v>
      </c>
    </row>
    <row r="9341" spans="1:6" x14ac:dyDescent="0.35">
      <c r="A9341" t="s">
        <v>227</v>
      </c>
      <c r="B9341" t="s">
        <v>262</v>
      </c>
      <c r="C9341" s="2">
        <v>0.63859999999999995</v>
      </c>
      <c r="D9341" s="2">
        <v>0.28610000000000002</v>
      </c>
      <c r="E9341" s="2">
        <v>7.5300000000000006E-2</v>
      </c>
      <c r="F9341">
        <v>1160</v>
      </c>
    </row>
    <row r="9342" spans="1:6" x14ac:dyDescent="0.35">
      <c r="A9342" t="s">
        <v>227</v>
      </c>
      <c r="B9342" t="s">
        <v>261</v>
      </c>
      <c r="C9342" s="2">
        <v>0.7853</v>
      </c>
      <c r="D9342" s="2">
        <v>0.16109999999999999</v>
      </c>
      <c r="E9342" s="2">
        <v>5.3600000000000002E-2</v>
      </c>
      <c r="F9342">
        <v>1062</v>
      </c>
    </row>
    <row r="9343" spans="1:6" x14ac:dyDescent="0.35">
      <c r="A9343" s="3" t="s">
        <v>227</v>
      </c>
      <c r="B9343" s="3" t="s">
        <v>232</v>
      </c>
      <c r="C9343" s="4">
        <v>0.5</v>
      </c>
      <c r="D9343" s="4">
        <v>0.5</v>
      </c>
      <c r="E9343" s="5"/>
      <c r="F9343" s="5" t="s">
        <v>434</v>
      </c>
    </row>
    <row r="9344" spans="1:6" x14ac:dyDescent="0.35">
      <c r="A9344" t="s">
        <v>228</v>
      </c>
      <c r="B9344" t="s">
        <v>228</v>
      </c>
      <c r="C9344" s="2">
        <v>0.72440000000000004</v>
      </c>
      <c r="D9344" s="2">
        <v>0.2175</v>
      </c>
      <c r="E9344" s="2">
        <v>5.8099999999999999E-2</v>
      </c>
      <c r="F9344">
        <v>2813</v>
      </c>
    </row>
    <row r="9346" spans="1:6" x14ac:dyDescent="0.35">
      <c r="A9346" s="1" t="s">
        <v>2238</v>
      </c>
    </row>
    <row r="9347" spans="1:6" x14ac:dyDescent="0.35">
      <c r="A9347" t="s">
        <v>219</v>
      </c>
      <c r="B9347" t="s">
        <v>301</v>
      </c>
      <c r="C9347" t="s">
        <v>2230</v>
      </c>
      <c r="D9347" t="s">
        <v>2231</v>
      </c>
      <c r="E9347" t="s">
        <v>2232</v>
      </c>
      <c r="F9347" t="s">
        <v>226</v>
      </c>
    </row>
    <row r="9348" spans="1:6" x14ac:dyDescent="0.35">
      <c r="A9348" t="s">
        <v>227</v>
      </c>
      <c r="B9348" t="s">
        <v>248</v>
      </c>
      <c r="C9348" s="2">
        <v>0.6109</v>
      </c>
      <c r="D9348" s="2">
        <v>0.32550000000000001</v>
      </c>
      <c r="E9348" s="2">
        <v>6.3600000000000004E-2</v>
      </c>
      <c r="F9348">
        <v>796</v>
      </c>
    </row>
    <row r="9349" spans="1:6" x14ac:dyDescent="0.35">
      <c r="A9349" t="s">
        <v>227</v>
      </c>
      <c r="B9349" t="s">
        <v>249</v>
      </c>
      <c r="C9349" s="2">
        <v>0.71319999999999995</v>
      </c>
      <c r="D9349" s="2">
        <v>0.20930000000000001</v>
      </c>
      <c r="E9349" s="2">
        <v>7.7499999999999999E-2</v>
      </c>
      <c r="F9349">
        <v>541</v>
      </c>
    </row>
    <row r="9350" spans="1:6" x14ac:dyDescent="0.35">
      <c r="A9350" t="s">
        <v>227</v>
      </c>
      <c r="B9350" t="s">
        <v>247</v>
      </c>
      <c r="C9350" s="2">
        <v>0.78710000000000002</v>
      </c>
      <c r="D9350" s="2">
        <v>0.16470000000000001</v>
      </c>
      <c r="E9350" s="2">
        <v>4.82E-2</v>
      </c>
      <c r="F9350">
        <v>1476</v>
      </c>
    </row>
    <row r="9351" spans="1:6" x14ac:dyDescent="0.35">
      <c r="A9351" t="s">
        <v>228</v>
      </c>
      <c r="B9351" t="s">
        <v>228</v>
      </c>
      <c r="C9351" s="2">
        <v>0.72440000000000004</v>
      </c>
      <c r="D9351" s="2">
        <v>0.2175</v>
      </c>
      <c r="E9351" s="2">
        <v>5.8099999999999999E-2</v>
      </c>
      <c r="F9351">
        <v>2813</v>
      </c>
    </row>
    <row r="9353" spans="1:6" x14ac:dyDescent="0.35">
      <c r="A9353" s="1" t="s">
        <v>2239</v>
      </c>
    </row>
    <row r="9354" spans="1:6" x14ac:dyDescent="0.35">
      <c r="A9354" t="s">
        <v>219</v>
      </c>
      <c r="B9354" t="s">
        <v>301</v>
      </c>
      <c r="C9354" t="s">
        <v>2230</v>
      </c>
      <c r="D9354" t="s">
        <v>2231</v>
      </c>
      <c r="E9354" t="s">
        <v>2232</v>
      </c>
      <c r="F9354" t="s">
        <v>226</v>
      </c>
    </row>
    <row r="9355" spans="1:6" x14ac:dyDescent="0.35">
      <c r="A9355" t="s">
        <v>227</v>
      </c>
      <c r="B9355" t="s">
        <v>245</v>
      </c>
      <c r="C9355" s="2">
        <v>0.72899999999999998</v>
      </c>
      <c r="D9355" s="2">
        <v>0.1769</v>
      </c>
      <c r="E9355" s="2">
        <v>9.4100000000000003E-2</v>
      </c>
      <c r="F9355">
        <v>783</v>
      </c>
    </row>
    <row r="9356" spans="1:6" x14ac:dyDescent="0.35">
      <c r="A9356" t="s">
        <v>227</v>
      </c>
      <c r="B9356" t="s">
        <v>244</v>
      </c>
      <c r="C9356" s="2">
        <v>0.72260000000000002</v>
      </c>
      <c r="D9356" s="2">
        <v>0.2336</v>
      </c>
      <c r="E9356" s="2">
        <v>4.3799999999999999E-2</v>
      </c>
      <c r="F9356">
        <v>2030</v>
      </c>
    </row>
    <row r="9357" spans="1:6" x14ac:dyDescent="0.35">
      <c r="A9357" t="s">
        <v>228</v>
      </c>
      <c r="B9357" t="s">
        <v>228</v>
      </c>
      <c r="C9357" s="2">
        <v>0.72440000000000004</v>
      </c>
      <c r="D9357" s="2">
        <v>0.2175</v>
      </c>
      <c r="E9357" s="2">
        <v>5.8099999999999999E-2</v>
      </c>
      <c r="F9357">
        <v>2813</v>
      </c>
    </row>
    <row r="9359" spans="1:6" x14ac:dyDescent="0.35">
      <c r="A9359" s="1" t="s">
        <v>2240</v>
      </c>
    </row>
    <row r="9360" spans="1:6" x14ac:dyDescent="0.35">
      <c r="A9360" t="s">
        <v>219</v>
      </c>
      <c r="B9360" t="s">
        <v>301</v>
      </c>
      <c r="C9360" t="s">
        <v>2230</v>
      </c>
      <c r="D9360" t="s">
        <v>2231</v>
      </c>
      <c r="E9360" t="s">
        <v>2232</v>
      </c>
      <c r="F9360" t="s">
        <v>226</v>
      </c>
    </row>
    <row r="9361" spans="1:6" x14ac:dyDescent="0.35">
      <c r="A9361" t="s">
        <v>227</v>
      </c>
      <c r="B9361" t="s">
        <v>259</v>
      </c>
      <c r="C9361" s="2">
        <v>0.61070000000000002</v>
      </c>
      <c r="D9361" s="2">
        <v>0.33450000000000002</v>
      </c>
      <c r="E9361" s="2">
        <v>5.4800000000000001E-2</v>
      </c>
      <c r="F9361">
        <v>69</v>
      </c>
    </row>
    <row r="9362" spans="1:6" x14ac:dyDescent="0.35">
      <c r="A9362" t="s">
        <v>227</v>
      </c>
      <c r="B9362" t="s">
        <v>257</v>
      </c>
      <c r="C9362" s="2">
        <v>0.60550000000000004</v>
      </c>
      <c r="D9362" s="2">
        <v>0.31240000000000001</v>
      </c>
      <c r="E9362" s="2">
        <v>8.2100000000000006E-2</v>
      </c>
      <c r="F9362">
        <v>405</v>
      </c>
    </row>
    <row r="9363" spans="1:6" x14ac:dyDescent="0.35">
      <c r="A9363" t="s">
        <v>227</v>
      </c>
      <c r="B9363" t="s">
        <v>256</v>
      </c>
      <c r="C9363" s="2">
        <v>0.75219999999999998</v>
      </c>
      <c r="D9363" s="2">
        <v>0.18809999999999999</v>
      </c>
      <c r="E9363" s="2">
        <v>5.9700000000000003E-2</v>
      </c>
      <c r="F9363">
        <v>1803</v>
      </c>
    </row>
    <row r="9364" spans="1:6" x14ac:dyDescent="0.35">
      <c r="A9364" s="3" t="s">
        <v>227</v>
      </c>
      <c r="B9364" s="3" t="s">
        <v>232</v>
      </c>
      <c r="C9364" s="4">
        <v>0.30480000000000002</v>
      </c>
      <c r="D9364" s="4">
        <v>0.58940000000000003</v>
      </c>
      <c r="E9364" s="4">
        <v>0.10580000000000001</v>
      </c>
      <c r="F9364" s="5" t="s">
        <v>307</v>
      </c>
    </row>
    <row r="9365" spans="1:6" x14ac:dyDescent="0.35">
      <c r="A9365" t="s">
        <v>227</v>
      </c>
      <c r="B9365" t="s">
        <v>258</v>
      </c>
      <c r="C9365" s="2">
        <v>0.75409999999999999</v>
      </c>
      <c r="D9365" s="2">
        <v>0.22270000000000001</v>
      </c>
      <c r="E9365" s="2">
        <v>2.3099999999999999E-2</v>
      </c>
      <c r="F9365">
        <v>525</v>
      </c>
    </row>
    <row r="9366" spans="1:6" x14ac:dyDescent="0.35">
      <c r="A9366" t="s">
        <v>228</v>
      </c>
      <c r="B9366" t="s">
        <v>228</v>
      </c>
      <c r="C9366" s="2">
        <v>0.72440000000000004</v>
      </c>
      <c r="D9366" s="2">
        <v>0.2175</v>
      </c>
      <c r="E9366" s="2">
        <v>5.8099999999999999E-2</v>
      </c>
      <c r="F9366">
        <v>2813</v>
      </c>
    </row>
    <row r="9368" spans="1:6" x14ac:dyDescent="0.35">
      <c r="A9368" s="1" t="s">
        <v>2241</v>
      </c>
    </row>
    <row r="9369" spans="1:6" x14ac:dyDescent="0.35">
      <c r="A9369" t="s">
        <v>219</v>
      </c>
      <c r="B9369" t="s">
        <v>301</v>
      </c>
      <c r="C9369" t="s">
        <v>2230</v>
      </c>
      <c r="D9369" t="s">
        <v>2231</v>
      </c>
      <c r="E9369" t="s">
        <v>2232</v>
      </c>
      <c r="F9369" t="s">
        <v>226</v>
      </c>
    </row>
    <row r="9370" spans="1:6" x14ac:dyDescent="0.35">
      <c r="A9370" t="s">
        <v>227</v>
      </c>
      <c r="B9370" t="s">
        <v>343</v>
      </c>
      <c r="C9370" s="2">
        <v>0.60550000000000004</v>
      </c>
      <c r="D9370" s="2">
        <v>0.31240000000000001</v>
      </c>
      <c r="E9370" s="2">
        <v>8.2100000000000006E-2</v>
      </c>
      <c r="F9370">
        <v>405</v>
      </c>
    </row>
    <row r="9371" spans="1:6" x14ac:dyDescent="0.35">
      <c r="A9371" t="s">
        <v>227</v>
      </c>
      <c r="B9371" t="s">
        <v>344</v>
      </c>
      <c r="C9371" s="2">
        <v>0.74860000000000004</v>
      </c>
      <c r="D9371" s="2">
        <v>0.19819999999999999</v>
      </c>
      <c r="E9371" s="2">
        <v>5.3199999999999997E-2</v>
      </c>
      <c r="F9371">
        <v>2408</v>
      </c>
    </row>
    <row r="9372" spans="1:6" x14ac:dyDescent="0.35">
      <c r="A9372" t="s">
        <v>228</v>
      </c>
      <c r="B9372" t="s">
        <v>228</v>
      </c>
      <c r="C9372" s="2">
        <v>0.72440000000000004</v>
      </c>
      <c r="D9372" s="2">
        <v>0.2175</v>
      </c>
      <c r="E9372" s="2">
        <v>5.8099999999999999E-2</v>
      </c>
      <c r="F9372">
        <v>2813</v>
      </c>
    </row>
    <row r="9374" spans="1:6" x14ac:dyDescent="0.35">
      <c r="A9374" s="1" t="s">
        <v>2242</v>
      </c>
    </row>
    <row r="9375" spans="1:6" x14ac:dyDescent="0.35">
      <c r="A9375" t="s">
        <v>219</v>
      </c>
      <c r="B9375" t="s">
        <v>301</v>
      </c>
      <c r="C9375" t="s">
        <v>2230</v>
      </c>
      <c r="D9375" t="s">
        <v>2231</v>
      </c>
      <c r="E9375" t="s">
        <v>2232</v>
      </c>
      <c r="F9375" t="s">
        <v>226</v>
      </c>
    </row>
    <row r="9376" spans="1:6" x14ac:dyDescent="0.35">
      <c r="A9376" t="s">
        <v>227</v>
      </c>
      <c r="B9376" t="s">
        <v>346</v>
      </c>
      <c r="C9376" s="2">
        <v>0.72870000000000001</v>
      </c>
      <c r="D9376" s="2">
        <v>0.21279999999999999</v>
      </c>
      <c r="E9376" s="2">
        <v>5.8400000000000001E-2</v>
      </c>
      <c r="F9376">
        <v>1463</v>
      </c>
    </row>
    <row r="9377" spans="1:6" x14ac:dyDescent="0.35">
      <c r="A9377" t="s">
        <v>227</v>
      </c>
      <c r="B9377" t="s">
        <v>347</v>
      </c>
      <c r="C9377" s="2">
        <v>0.67759999999999998</v>
      </c>
      <c r="D9377" s="2">
        <v>0.24970000000000001</v>
      </c>
      <c r="E9377" s="2">
        <v>7.2700000000000001E-2</v>
      </c>
      <c r="F9377">
        <v>585</v>
      </c>
    </row>
    <row r="9378" spans="1:6" x14ac:dyDescent="0.35">
      <c r="A9378" t="s">
        <v>227</v>
      </c>
      <c r="B9378" t="s">
        <v>348</v>
      </c>
      <c r="C9378" s="2">
        <v>0.70289999999999997</v>
      </c>
      <c r="D9378" s="2">
        <v>0.24759999999999999</v>
      </c>
      <c r="E9378" s="2">
        <v>4.9500000000000002E-2</v>
      </c>
      <c r="F9378">
        <v>765</v>
      </c>
    </row>
    <row r="9379" spans="1:6" x14ac:dyDescent="0.35">
      <c r="A9379" t="s">
        <v>228</v>
      </c>
      <c r="B9379" t="s">
        <v>228</v>
      </c>
      <c r="C9379" s="2">
        <v>0.72440000000000004</v>
      </c>
      <c r="D9379" s="2">
        <v>0.2175</v>
      </c>
      <c r="E9379" s="2">
        <v>5.8099999999999999E-2</v>
      </c>
      <c r="F9379">
        <v>2813</v>
      </c>
    </row>
    <row r="9381" spans="1:6" x14ac:dyDescent="0.35">
      <c r="A9381" s="1" t="s">
        <v>2243</v>
      </c>
    </row>
    <row r="9382" spans="1:6" x14ac:dyDescent="0.35">
      <c r="A9382" t="s">
        <v>219</v>
      </c>
      <c r="B9382" t="s">
        <v>301</v>
      </c>
      <c r="C9382" t="s">
        <v>2230</v>
      </c>
      <c r="D9382" t="s">
        <v>2231</v>
      </c>
      <c r="E9382" t="s">
        <v>2232</v>
      </c>
      <c r="F9382" t="s">
        <v>226</v>
      </c>
    </row>
    <row r="9383" spans="1:6" x14ac:dyDescent="0.35">
      <c r="A9383" t="s">
        <v>227</v>
      </c>
      <c r="B9383" t="s">
        <v>251</v>
      </c>
      <c r="C9383" s="2">
        <v>0.72260000000000002</v>
      </c>
      <c r="D9383" s="2">
        <v>0.2336</v>
      </c>
      <c r="E9383" s="2">
        <v>4.3799999999999999E-2</v>
      </c>
      <c r="F9383">
        <v>2030</v>
      </c>
    </row>
    <row r="9384" spans="1:6" x14ac:dyDescent="0.35">
      <c r="A9384" t="s">
        <v>227</v>
      </c>
      <c r="B9384" t="s">
        <v>252</v>
      </c>
      <c r="C9384" s="2">
        <v>0.76119999999999999</v>
      </c>
      <c r="D9384" s="2">
        <v>0.14480000000000001</v>
      </c>
      <c r="E9384" s="2">
        <v>9.4E-2</v>
      </c>
      <c r="F9384">
        <v>621</v>
      </c>
    </row>
    <row r="9385" spans="1:6" x14ac:dyDescent="0.35">
      <c r="A9385" t="s">
        <v>227</v>
      </c>
      <c r="B9385" t="s">
        <v>253</v>
      </c>
      <c r="C9385" s="2">
        <v>0.59240000000000004</v>
      </c>
      <c r="D9385" s="2">
        <v>0.31169999999999998</v>
      </c>
      <c r="E9385" s="2">
        <v>9.5899999999999999E-2</v>
      </c>
      <c r="F9385">
        <v>153</v>
      </c>
    </row>
    <row r="9386" spans="1:6" x14ac:dyDescent="0.35">
      <c r="A9386" s="3" t="s">
        <v>227</v>
      </c>
      <c r="B9386" s="3" t="s">
        <v>254</v>
      </c>
      <c r="C9386" s="4">
        <v>0.60899999999999999</v>
      </c>
      <c r="D9386" s="4">
        <v>0.33979999999999999</v>
      </c>
      <c r="E9386" s="4">
        <v>5.1200000000000002E-2</v>
      </c>
      <c r="F9386" s="5" t="s">
        <v>515</v>
      </c>
    </row>
    <row r="9387" spans="1:6" x14ac:dyDescent="0.35">
      <c r="A9387" t="s">
        <v>228</v>
      </c>
      <c r="B9387" t="s">
        <v>228</v>
      </c>
      <c r="C9387" s="2">
        <v>0.72440000000000004</v>
      </c>
      <c r="D9387" s="2">
        <v>0.2175</v>
      </c>
      <c r="E9387" s="2">
        <v>5.8099999999999999E-2</v>
      </c>
      <c r="F9387">
        <v>2813</v>
      </c>
    </row>
    <row r="9389" spans="1:6" x14ac:dyDescent="0.35">
      <c r="A9389" s="1" t="s">
        <v>2244</v>
      </c>
    </row>
    <row r="9390" spans="1:6" x14ac:dyDescent="0.35">
      <c r="A9390" t="s">
        <v>219</v>
      </c>
      <c r="B9390" t="s">
        <v>2245</v>
      </c>
      <c r="C9390" t="s">
        <v>2246</v>
      </c>
      <c r="D9390" t="s">
        <v>2247</v>
      </c>
      <c r="E9390" t="s">
        <v>226</v>
      </c>
    </row>
    <row r="9391" spans="1:6" x14ac:dyDescent="0.35">
      <c r="A9391" t="s">
        <v>227</v>
      </c>
      <c r="B9391" s="2">
        <v>0.92110000000000003</v>
      </c>
      <c r="C9391" s="2">
        <v>6.4100000000000004E-2</v>
      </c>
      <c r="D9391" s="2">
        <v>1.49E-2</v>
      </c>
      <c r="E9391">
        <v>2801</v>
      </c>
    </row>
    <row r="9392" spans="1:6" x14ac:dyDescent="0.35">
      <c r="A9392" t="s">
        <v>228</v>
      </c>
      <c r="B9392" s="2">
        <v>0.92110000000000003</v>
      </c>
      <c r="C9392" s="2">
        <v>6.4100000000000004E-2</v>
      </c>
      <c r="D9392" s="2">
        <v>1.49E-2</v>
      </c>
      <c r="E9392">
        <v>2801</v>
      </c>
    </row>
    <row r="9394" spans="1:6" x14ac:dyDescent="0.35">
      <c r="A9394" s="1" t="s">
        <v>2248</v>
      </c>
    </row>
    <row r="9395" spans="1:6" x14ac:dyDescent="0.35">
      <c r="A9395" t="s">
        <v>219</v>
      </c>
      <c r="B9395" t="s">
        <v>301</v>
      </c>
      <c r="C9395" t="s">
        <v>2245</v>
      </c>
      <c r="D9395" t="s">
        <v>2246</v>
      </c>
      <c r="E9395" t="s">
        <v>2247</v>
      </c>
      <c r="F9395" t="s">
        <v>226</v>
      </c>
    </row>
    <row r="9396" spans="1:6" x14ac:dyDescent="0.35">
      <c r="A9396" t="s">
        <v>227</v>
      </c>
      <c r="B9396" t="s">
        <v>238</v>
      </c>
      <c r="C9396" s="2">
        <v>0.89580000000000004</v>
      </c>
      <c r="D9396" s="2">
        <v>8.3500000000000005E-2</v>
      </c>
      <c r="E9396" s="2">
        <v>2.07E-2</v>
      </c>
      <c r="F9396">
        <v>1002</v>
      </c>
    </row>
    <row r="9397" spans="1:6" x14ac:dyDescent="0.35">
      <c r="A9397" t="s">
        <v>227</v>
      </c>
      <c r="B9397" t="s">
        <v>237</v>
      </c>
      <c r="C9397" s="2">
        <v>0.93579999999999997</v>
      </c>
      <c r="D9397" s="2">
        <v>5.2699999999999997E-2</v>
      </c>
      <c r="E9397" s="2">
        <v>1.14E-2</v>
      </c>
      <c r="F9397">
        <v>1799</v>
      </c>
    </row>
    <row r="9398" spans="1:6" x14ac:dyDescent="0.35">
      <c r="A9398" t="s">
        <v>228</v>
      </c>
      <c r="B9398" t="s">
        <v>228</v>
      </c>
      <c r="C9398" s="2">
        <v>0.92110000000000003</v>
      </c>
      <c r="D9398" s="2">
        <v>6.4100000000000004E-2</v>
      </c>
      <c r="E9398" s="2">
        <v>1.49E-2</v>
      </c>
      <c r="F9398">
        <v>2801</v>
      </c>
    </row>
    <row r="9400" spans="1:6" x14ac:dyDescent="0.35">
      <c r="A9400" s="1" t="s">
        <v>2249</v>
      </c>
    </row>
    <row r="9401" spans="1:6" x14ac:dyDescent="0.35">
      <c r="A9401" t="s">
        <v>219</v>
      </c>
      <c r="B9401" t="s">
        <v>301</v>
      </c>
      <c r="C9401" t="s">
        <v>2245</v>
      </c>
      <c r="D9401" t="s">
        <v>2246</v>
      </c>
      <c r="E9401" t="s">
        <v>2247</v>
      </c>
      <c r="F9401" t="s">
        <v>226</v>
      </c>
    </row>
    <row r="9402" spans="1:6" x14ac:dyDescent="0.35">
      <c r="A9402" t="s">
        <v>227</v>
      </c>
      <c r="B9402" t="s">
        <v>235</v>
      </c>
      <c r="C9402" s="2">
        <v>0.93940000000000001</v>
      </c>
      <c r="D9402" s="2">
        <v>5.3699999999999998E-2</v>
      </c>
      <c r="E9402" s="2">
        <v>6.8999999999999999E-3</v>
      </c>
      <c r="F9402">
        <v>986</v>
      </c>
    </row>
    <row r="9403" spans="1:6" x14ac:dyDescent="0.35">
      <c r="A9403" t="s">
        <v>227</v>
      </c>
      <c r="B9403" t="s">
        <v>234</v>
      </c>
      <c r="C9403" s="2">
        <v>0.91339999999999999</v>
      </c>
      <c r="D9403" s="2">
        <v>6.8400000000000002E-2</v>
      </c>
      <c r="E9403" s="2">
        <v>1.8200000000000001E-2</v>
      </c>
      <c r="F9403">
        <v>1815</v>
      </c>
    </row>
    <row r="9404" spans="1:6" x14ac:dyDescent="0.35">
      <c r="A9404" t="s">
        <v>228</v>
      </c>
      <c r="B9404" t="s">
        <v>228</v>
      </c>
      <c r="C9404" s="2">
        <v>0.92110000000000003</v>
      </c>
      <c r="D9404" s="2">
        <v>6.4100000000000004E-2</v>
      </c>
      <c r="E9404" s="2">
        <v>1.49E-2</v>
      </c>
      <c r="F9404">
        <v>2801</v>
      </c>
    </row>
    <row r="9406" spans="1:6" x14ac:dyDescent="0.35">
      <c r="A9406" s="1" t="s">
        <v>2250</v>
      </c>
    </row>
    <row r="9407" spans="1:6" x14ac:dyDescent="0.35">
      <c r="A9407" t="s">
        <v>219</v>
      </c>
      <c r="B9407" t="s">
        <v>301</v>
      </c>
      <c r="C9407" t="s">
        <v>2245</v>
      </c>
      <c r="D9407" t="s">
        <v>2246</v>
      </c>
      <c r="E9407" t="s">
        <v>2247</v>
      </c>
      <c r="F9407" t="s">
        <v>226</v>
      </c>
    </row>
    <row r="9408" spans="1:6" x14ac:dyDescent="0.35">
      <c r="A9408" t="s">
        <v>227</v>
      </c>
      <c r="B9408" t="s">
        <v>240</v>
      </c>
      <c r="C9408" s="2">
        <v>0.94169999999999998</v>
      </c>
      <c r="D9408" s="2">
        <v>5.04E-2</v>
      </c>
      <c r="E9408" s="2">
        <v>8.0000000000000002E-3</v>
      </c>
      <c r="F9408">
        <v>1749</v>
      </c>
    </row>
    <row r="9409" spans="1:6" x14ac:dyDescent="0.35">
      <c r="A9409" t="s">
        <v>227</v>
      </c>
      <c r="B9409" t="s">
        <v>241</v>
      </c>
      <c r="C9409" s="2">
        <v>0.87429999999999997</v>
      </c>
      <c r="D9409" s="2">
        <v>9.8100000000000007E-2</v>
      </c>
      <c r="E9409" s="2">
        <v>2.76E-2</v>
      </c>
      <c r="F9409">
        <v>886</v>
      </c>
    </row>
    <row r="9410" spans="1:6" x14ac:dyDescent="0.35">
      <c r="A9410" t="s">
        <v>227</v>
      </c>
      <c r="B9410" t="s">
        <v>242</v>
      </c>
      <c r="C9410" s="2">
        <v>0.93010000000000004</v>
      </c>
      <c r="D9410" s="2">
        <v>4.5100000000000001E-2</v>
      </c>
      <c r="E9410" s="2">
        <v>2.4799999999999999E-2</v>
      </c>
      <c r="F9410">
        <v>166</v>
      </c>
    </row>
    <row r="9411" spans="1:6" x14ac:dyDescent="0.35">
      <c r="A9411" t="s">
        <v>228</v>
      </c>
      <c r="B9411" t="s">
        <v>228</v>
      </c>
      <c r="C9411" s="2">
        <v>0.92110000000000003</v>
      </c>
      <c r="D9411" s="2">
        <v>6.4100000000000004E-2</v>
      </c>
      <c r="E9411" s="2">
        <v>1.49E-2</v>
      </c>
      <c r="F9411">
        <v>2801</v>
      </c>
    </row>
    <row r="9413" spans="1:6" x14ac:dyDescent="0.35">
      <c r="A9413" s="1" t="s">
        <v>2251</v>
      </c>
    </row>
    <row r="9414" spans="1:6" x14ac:dyDescent="0.35">
      <c r="A9414" t="s">
        <v>219</v>
      </c>
      <c r="B9414" t="s">
        <v>301</v>
      </c>
      <c r="C9414" t="s">
        <v>2245</v>
      </c>
      <c r="D9414" t="s">
        <v>2246</v>
      </c>
      <c r="E9414" t="s">
        <v>2247</v>
      </c>
      <c r="F9414" t="s">
        <v>226</v>
      </c>
    </row>
    <row r="9415" spans="1:6" x14ac:dyDescent="0.35">
      <c r="A9415" t="s">
        <v>227</v>
      </c>
      <c r="B9415" t="s">
        <v>334</v>
      </c>
      <c r="C9415" s="2">
        <v>0.8821</v>
      </c>
      <c r="D9415" s="2">
        <v>9.6100000000000005E-2</v>
      </c>
      <c r="E9415" s="2">
        <v>2.18E-2</v>
      </c>
      <c r="F9415">
        <v>621</v>
      </c>
    </row>
    <row r="9416" spans="1:6" x14ac:dyDescent="0.35">
      <c r="A9416" t="s">
        <v>227</v>
      </c>
      <c r="B9416" t="s">
        <v>335</v>
      </c>
      <c r="C9416" s="2">
        <v>0.93489999999999995</v>
      </c>
      <c r="D9416" s="2">
        <v>4.82E-2</v>
      </c>
      <c r="E9416" s="2">
        <v>1.6799999999999999E-2</v>
      </c>
      <c r="F9416">
        <v>627</v>
      </c>
    </row>
    <row r="9417" spans="1:6" x14ac:dyDescent="0.35">
      <c r="A9417" t="s">
        <v>227</v>
      </c>
      <c r="B9417" t="s">
        <v>336</v>
      </c>
      <c r="C9417" s="2">
        <v>0.91410000000000002</v>
      </c>
      <c r="D9417" s="2">
        <v>7.0099999999999996E-2</v>
      </c>
      <c r="E9417" s="2">
        <v>1.5800000000000002E-2</v>
      </c>
      <c r="F9417">
        <v>620</v>
      </c>
    </row>
    <row r="9418" spans="1:6" x14ac:dyDescent="0.35">
      <c r="A9418" t="s">
        <v>227</v>
      </c>
      <c r="B9418" t="s">
        <v>337</v>
      </c>
      <c r="C9418" s="2">
        <v>0.95150000000000001</v>
      </c>
      <c r="D9418" s="2">
        <v>4.7800000000000002E-2</v>
      </c>
      <c r="E9418" s="2">
        <v>8.0000000000000004E-4</v>
      </c>
      <c r="F9418">
        <v>599</v>
      </c>
    </row>
    <row r="9419" spans="1:6" x14ac:dyDescent="0.35">
      <c r="A9419" t="s">
        <v>228</v>
      </c>
      <c r="B9419" t="s">
        <v>228</v>
      </c>
      <c r="C9419" s="2">
        <v>0.92110000000000003</v>
      </c>
      <c r="D9419" s="2">
        <v>6.4100000000000004E-2</v>
      </c>
      <c r="E9419" s="2">
        <v>1.49E-2</v>
      </c>
      <c r="F9419">
        <v>2467</v>
      </c>
    </row>
    <row r="9421" spans="1:6" x14ac:dyDescent="0.35">
      <c r="A9421" s="1" t="s">
        <v>2252</v>
      </c>
    </row>
    <row r="9422" spans="1:6" x14ac:dyDescent="0.35">
      <c r="A9422" t="s">
        <v>219</v>
      </c>
      <c r="B9422" t="s">
        <v>301</v>
      </c>
      <c r="C9422" t="s">
        <v>2245</v>
      </c>
      <c r="D9422" t="s">
        <v>2246</v>
      </c>
      <c r="E9422" t="s">
        <v>2247</v>
      </c>
      <c r="F9422" t="s">
        <v>226</v>
      </c>
    </row>
    <row r="9423" spans="1:6" x14ac:dyDescent="0.35">
      <c r="A9423" t="s">
        <v>227</v>
      </c>
      <c r="B9423" t="s">
        <v>263</v>
      </c>
      <c r="C9423" s="2">
        <v>0.94399999999999995</v>
      </c>
      <c r="D9423" s="2">
        <v>4.7500000000000001E-2</v>
      </c>
      <c r="E9423" s="2">
        <v>8.5000000000000006E-3</v>
      </c>
      <c r="F9423">
        <v>583</v>
      </c>
    </row>
    <row r="9424" spans="1:6" x14ac:dyDescent="0.35">
      <c r="A9424" t="s">
        <v>227</v>
      </c>
      <c r="B9424" t="s">
        <v>262</v>
      </c>
      <c r="C9424" s="2">
        <v>0.89090000000000003</v>
      </c>
      <c r="D9424" s="2">
        <v>8.5699999999999998E-2</v>
      </c>
      <c r="E9424" s="2">
        <v>2.3400000000000001E-2</v>
      </c>
      <c r="F9424">
        <v>1157</v>
      </c>
    </row>
    <row r="9425" spans="1:6" x14ac:dyDescent="0.35">
      <c r="A9425" t="s">
        <v>227</v>
      </c>
      <c r="B9425" t="s">
        <v>261</v>
      </c>
      <c r="C9425" s="2">
        <v>0.93569999999999998</v>
      </c>
      <c r="D9425" s="2">
        <v>5.3699999999999998E-2</v>
      </c>
      <c r="E9425" s="2">
        <v>1.06E-2</v>
      </c>
      <c r="F9425">
        <v>1059</v>
      </c>
    </row>
    <row r="9426" spans="1:6" x14ac:dyDescent="0.35">
      <c r="A9426" s="3" t="s">
        <v>227</v>
      </c>
      <c r="B9426" s="3" t="s">
        <v>232</v>
      </c>
      <c r="C9426" s="4">
        <v>1</v>
      </c>
      <c r="D9426" s="5"/>
      <c r="E9426" s="5"/>
      <c r="F9426" s="5" t="s">
        <v>434</v>
      </c>
    </row>
    <row r="9427" spans="1:6" x14ac:dyDescent="0.35">
      <c r="A9427" t="s">
        <v>228</v>
      </c>
      <c r="B9427" t="s">
        <v>228</v>
      </c>
      <c r="C9427" s="2">
        <v>0.92110000000000003</v>
      </c>
      <c r="D9427" s="2">
        <v>6.4100000000000004E-2</v>
      </c>
      <c r="E9427" s="2">
        <v>1.49E-2</v>
      </c>
      <c r="F9427">
        <v>2801</v>
      </c>
    </row>
    <row r="9429" spans="1:6" x14ac:dyDescent="0.35">
      <c r="A9429" s="1" t="s">
        <v>2253</v>
      </c>
    </row>
    <row r="9430" spans="1:6" x14ac:dyDescent="0.35">
      <c r="A9430" t="s">
        <v>219</v>
      </c>
      <c r="B9430" t="s">
        <v>301</v>
      </c>
      <c r="C9430" t="s">
        <v>2245</v>
      </c>
      <c r="D9430" t="s">
        <v>2246</v>
      </c>
      <c r="E9430" t="s">
        <v>2247</v>
      </c>
      <c r="F9430" t="s">
        <v>226</v>
      </c>
    </row>
    <row r="9431" spans="1:6" x14ac:dyDescent="0.35">
      <c r="A9431" t="s">
        <v>227</v>
      </c>
      <c r="B9431" t="s">
        <v>248</v>
      </c>
      <c r="C9431" s="2">
        <v>0.92390000000000005</v>
      </c>
      <c r="D9431" s="2">
        <v>6.0900000000000003E-2</v>
      </c>
      <c r="E9431" s="2">
        <v>1.52E-2</v>
      </c>
      <c r="F9431">
        <v>791</v>
      </c>
    </row>
    <row r="9432" spans="1:6" x14ac:dyDescent="0.35">
      <c r="A9432" t="s">
        <v>227</v>
      </c>
      <c r="B9432" t="s">
        <v>249</v>
      </c>
      <c r="C9432" s="2">
        <v>0.93469999999999998</v>
      </c>
      <c r="D9432" s="2">
        <v>4.9299999999999997E-2</v>
      </c>
      <c r="E9432" s="2">
        <v>1.6E-2</v>
      </c>
      <c r="F9432">
        <v>540</v>
      </c>
    </row>
    <row r="9433" spans="1:6" x14ac:dyDescent="0.35">
      <c r="A9433" t="s">
        <v>227</v>
      </c>
      <c r="B9433" t="s">
        <v>247</v>
      </c>
      <c r="C9433" s="2">
        <v>0.91469999999999996</v>
      </c>
      <c r="D9433" s="2">
        <v>7.1099999999999997E-2</v>
      </c>
      <c r="E9433" s="2">
        <v>1.43E-2</v>
      </c>
      <c r="F9433">
        <v>1470</v>
      </c>
    </row>
    <row r="9434" spans="1:6" x14ac:dyDescent="0.35">
      <c r="A9434" t="s">
        <v>228</v>
      </c>
      <c r="B9434" t="s">
        <v>228</v>
      </c>
      <c r="C9434" s="2">
        <v>0.92110000000000003</v>
      </c>
      <c r="D9434" s="2">
        <v>6.4100000000000004E-2</v>
      </c>
      <c r="E9434" s="2">
        <v>1.49E-2</v>
      </c>
      <c r="F9434">
        <v>2801</v>
      </c>
    </row>
    <row r="9436" spans="1:6" x14ac:dyDescent="0.35">
      <c r="A9436" s="1" t="s">
        <v>2254</v>
      </c>
    </row>
    <row r="9437" spans="1:6" x14ac:dyDescent="0.35">
      <c r="A9437" t="s">
        <v>219</v>
      </c>
      <c r="B9437" t="s">
        <v>301</v>
      </c>
      <c r="C9437" t="s">
        <v>2245</v>
      </c>
      <c r="D9437" t="s">
        <v>2246</v>
      </c>
      <c r="E9437" t="s">
        <v>2247</v>
      </c>
      <c r="F9437" t="s">
        <v>226</v>
      </c>
    </row>
    <row r="9438" spans="1:6" x14ac:dyDescent="0.35">
      <c r="A9438" t="s">
        <v>227</v>
      </c>
      <c r="B9438" t="s">
        <v>245</v>
      </c>
      <c r="C9438" s="2">
        <v>0.94279999999999997</v>
      </c>
      <c r="D9438" s="2">
        <v>4.5199999999999997E-2</v>
      </c>
      <c r="E9438" s="2">
        <v>1.2E-2</v>
      </c>
      <c r="F9438">
        <v>782</v>
      </c>
    </row>
    <row r="9439" spans="1:6" x14ac:dyDescent="0.35">
      <c r="A9439" t="s">
        <v>227</v>
      </c>
      <c r="B9439" t="s">
        <v>244</v>
      </c>
      <c r="C9439" s="2">
        <v>0.91239999999999999</v>
      </c>
      <c r="D9439" s="2">
        <v>7.1499999999999994E-2</v>
      </c>
      <c r="E9439" s="2">
        <v>1.6E-2</v>
      </c>
      <c r="F9439">
        <v>2019</v>
      </c>
    </row>
    <row r="9440" spans="1:6" x14ac:dyDescent="0.35">
      <c r="A9440" t="s">
        <v>228</v>
      </c>
      <c r="B9440" t="s">
        <v>228</v>
      </c>
      <c r="C9440" s="2">
        <v>0.92110000000000003</v>
      </c>
      <c r="D9440" s="2">
        <v>6.4100000000000004E-2</v>
      </c>
      <c r="E9440" s="2">
        <v>1.49E-2</v>
      </c>
      <c r="F9440">
        <v>2801</v>
      </c>
    </row>
    <row r="9442" spans="1:6" x14ac:dyDescent="0.35">
      <c r="A9442" s="1" t="s">
        <v>2255</v>
      </c>
    </row>
    <row r="9443" spans="1:6" x14ac:dyDescent="0.35">
      <c r="A9443" t="s">
        <v>219</v>
      </c>
      <c r="B9443" t="s">
        <v>301</v>
      </c>
      <c r="C9443" t="s">
        <v>2245</v>
      </c>
      <c r="D9443" t="s">
        <v>2246</v>
      </c>
      <c r="E9443" t="s">
        <v>2247</v>
      </c>
      <c r="F9443" t="s">
        <v>226</v>
      </c>
    </row>
    <row r="9444" spans="1:6" x14ac:dyDescent="0.35">
      <c r="A9444" t="s">
        <v>227</v>
      </c>
      <c r="B9444" t="s">
        <v>259</v>
      </c>
      <c r="C9444" s="2">
        <v>0.83279999999999998</v>
      </c>
      <c r="D9444" s="2">
        <v>0.11650000000000001</v>
      </c>
      <c r="E9444" s="2">
        <v>5.0700000000000002E-2</v>
      </c>
      <c r="F9444">
        <v>69</v>
      </c>
    </row>
    <row r="9445" spans="1:6" x14ac:dyDescent="0.35">
      <c r="A9445" t="s">
        <v>227</v>
      </c>
      <c r="B9445" t="s">
        <v>257</v>
      </c>
      <c r="C9445" s="2">
        <v>0.8891</v>
      </c>
      <c r="D9445" s="2">
        <v>9.0999999999999998E-2</v>
      </c>
      <c r="E9445" s="2">
        <v>1.9900000000000001E-2</v>
      </c>
      <c r="F9445">
        <v>405</v>
      </c>
    </row>
    <row r="9446" spans="1:6" x14ac:dyDescent="0.35">
      <c r="A9446" t="s">
        <v>227</v>
      </c>
      <c r="B9446" t="s">
        <v>256</v>
      </c>
      <c r="C9446" s="2">
        <v>0.93159999999999998</v>
      </c>
      <c r="D9446" s="2">
        <v>5.5399999999999998E-2</v>
      </c>
      <c r="E9446" s="2">
        <v>1.29E-2</v>
      </c>
      <c r="F9446">
        <v>1794</v>
      </c>
    </row>
    <row r="9447" spans="1:6" x14ac:dyDescent="0.35">
      <c r="A9447" s="3" t="s">
        <v>227</v>
      </c>
      <c r="B9447" s="3" t="s">
        <v>232</v>
      </c>
      <c r="C9447" s="4">
        <v>1</v>
      </c>
      <c r="D9447" s="5"/>
      <c r="E9447" s="5"/>
      <c r="F9447" s="5" t="s">
        <v>307</v>
      </c>
    </row>
    <row r="9448" spans="1:6" x14ac:dyDescent="0.35">
      <c r="A9448" t="s">
        <v>227</v>
      </c>
      <c r="B9448" t="s">
        <v>258</v>
      </c>
      <c r="C9448" s="2">
        <v>0.91920000000000002</v>
      </c>
      <c r="D9448" s="2">
        <v>6.7000000000000004E-2</v>
      </c>
      <c r="E9448" s="2">
        <v>1.38E-2</v>
      </c>
      <c r="F9448">
        <v>522</v>
      </c>
    </row>
    <row r="9449" spans="1:6" x14ac:dyDescent="0.35">
      <c r="A9449" t="s">
        <v>228</v>
      </c>
      <c r="B9449" t="s">
        <v>228</v>
      </c>
      <c r="C9449" s="2">
        <v>0.92110000000000003</v>
      </c>
      <c r="D9449" s="2">
        <v>6.4100000000000004E-2</v>
      </c>
      <c r="E9449" s="2">
        <v>1.49E-2</v>
      </c>
      <c r="F9449">
        <v>2801</v>
      </c>
    </row>
    <row r="9451" spans="1:6" x14ac:dyDescent="0.35">
      <c r="A9451" s="1" t="s">
        <v>2256</v>
      </c>
    </row>
    <row r="9452" spans="1:6" x14ac:dyDescent="0.35">
      <c r="A9452" t="s">
        <v>219</v>
      </c>
      <c r="B9452" t="s">
        <v>301</v>
      </c>
      <c r="C9452" t="s">
        <v>2245</v>
      </c>
      <c r="D9452" t="s">
        <v>2246</v>
      </c>
      <c r="E9452" t="s">
        <v>2247</v>
      </c>
      <c r="F9452" t="s">
        <v>226</v>
      </c>
    </row>
    <row r="9453" spans="1:6" x14ac:dyDescent="0.35">
      <c r="A9453" t="s">
        <v>227</v>
      </c>
      <c r="B9453" t="s">
        <v>343</v>
      </c>
      <c r="C9453" s="2">
        <v>0.8891</v>
      </c>
      <c r="D9453" s="2">
        <v>9.0999999999999998E-2</v>
      </c>
      <c r="E9453" s="2">
        <v>1.9900000000000001E-2</v>
      </c>
      <c r="F9453">
        <v>405</v>
      </c>
    </row>
    <row r="9454" spans="1:6" x14ac:dyDescent="0.35">
      <c r="A9454" t="s">
        <v>227</v>
      </c>
      <c r="B9454" t="s">
        <v>344</v>
      </c>
      <c r="C9454" s="2">
        <v>0.92759999999999998</v>
      </c>
      <c r="D9454" s="2">
        <v>5.8599999999999999E-2</v>
      </c>
      <c r="E9454" s="2">
        <v>1.38E-2</v>
      </c>
      <c r="F9454">
        <v>2396</v>
      </c>
    </row>
    <row r="9455" spans="1:6" x14ac:dyDescent="0.35">
      <c r="A9455" t="s">
        <v>228</v>
      </c>
      <c r="B9455" t="s">
        <v>228</v>
      </c>
      <c r="C9455" s="2">
        <v>0.92110000000000003</v>
      </c>
      <c r="D9455" s="2">
        <v>6.4100000000000004E-2</v>
      </c>
      <c r="E9455" s="2">
        <v>1.49E-2</v>
      </c>
      <c r="F9455">
        <v>2801</v>
      </c>
    </row>
    <row r="9457" spans="1:6" x14ac:dyDescent="0.35">
      <c r="A9457" s="1" t="s">
        <v>2257</v>
      </c>
    </row>
    <row r="9458" spans="1:6" x14ac:dyDescent="0.35">
      <c r="A9458" t="s">
        <v>219</v>
      </c>
      <c r="B9458" t="s">
        <v>301</v>
      </c>
      <c r="C9458" t="s">
        <v>2245</v>
      </c>
      <c r="D9458" t="s">
        <v>2246</v>
      </c>
      <c r="E9458" t="s">
        <v>2247</v>
      </c>
      <c r="F9458" t="s">
        <v>226</v>
      </c>
    </row>
    <row r="9459" spans="1:6" x14ac:dyDescent="0.35">
      <c r="A9459" t="s">
        <v>227</v>
      </c>
      <c r="B9459" t="s">
        <v>346</v>
      </c>
      <c r="C9459" s="2">
        <v>0.92110000000000003</v>
      </c>
      <c r="D9459" s="2">
        <v>6.3899999999999998E-2</v>
      </c>
      <c r="E9459" s="2">
        <v>1.4999999999999999E-2</v>
      </c>
      <c r="F9459">
        <v>1460</v>
      </c>
    </row>
    <row r="9460" spans="1:6" x14ac:dyDescent="0.35">
      <c r="A9460" t="s">
        <v>227</v>
      </c>
      <c r="B9460" t="s">
        <v>347</v>
      </c>
      <c r="C9460" s="2">
        <v>0.91339999999999999</v>
      </c>
      <c r="D9460" s="2">
        <v>7.2099999999999997E-2</v>
      </c>
      <c r="E9460" s="2">
        <v>1.44E-2</v>
      </c>
      <c r="F9460">
        <v>582</v>
      </c>
    </row>
    <row r="9461" spans="1:6" x14ac:dyDescent="0.35">
      <c r="A9461" t="s">
        <v>227</v>
      </c>
      <c r="B9461" t="s">
        <v>348</v>
      </c>
      <c r="C9461" s="2">
        <v>0.9234</v>
      </c>
      <c r="D9461" s="2">
        <v>6.2799999999999995E-2</v>
      </c>
      <c r="E9461" s="2">
        <v>1.38E-2</v>
      </c>
      <c r="F9461">
        <v>759</v>
      </c>
    </row>
    <row r="9462" spans="1:6" x14ac:dyDescent="0.35">
      <c r="A9462" t="s">
        <v>228</v>
      </c>
      <c r="B9462" t="s">
        <v>228</v>
      </c>
      <c r="C9462" s="2">
        <v>0.92110000000000003</v>
      </c>
      <c r="D9462" s="2">
        <v>6.4100000000000004E-2</v>
      </c>
      <c r="E9462" s="2">
        <v>1.49E-2</v>
      </c>
      <c r="F9462">
        <v>2801</v>
      </c>
    </row>
    <row r="9464" spans="1:6" x14ac:dyDescent="0.35">
      <c r="A9464" s="1" t="s">
        <v>2258</v>
      </c>
    </row>
    <row r="9465" spans="1:6" x14ac:dyDescent="0.35">
      <c r="A9465" t="s">
        <v>219</v>
      </c>
      <c r="B9465" t="s">
        <v>301</v>
      </c>
      <c r="C9465" t="s">
        <v>2245</v>
      </c>
      <c r="D9465" t="s">
        <v>2246</v>
      </c>
      <c r="E9465" t="s">
        <v>2247</v>
      </c>
      <c r="F9465" t="s">
        <v>226</v>
      </c>
    </row>
    <row r="9466" spans="1:6" x14ac:dyDescent="0.35">
      <c r="A9466" t="s">
        <v>227</v>
      </c>
      <c r="B9466" t="s">
        <v>251</v>
      </c>
      <c r="C9466" s="2">
        <v>0.91239999999999999</v>
      </c>
      <c r="D9466" s="2">
        <v>7.1499999999999994E-2</v>
      </c>
      <c r="E9466" s="2">
        <v>1.6E-2</v>
      </c>
      <c r="F9466">
        <v>2019</v>
      </c>
    </row>
    <row r="9467" spans="1:6" x14ac:dyDescent="0.35">
      <c r="A9467" t="s">
        <v>227</v>
      </c>
      <c r="B9467" t="s">
        <v>252</v>
      </c>
      <c r="C9467" s="2">
        <v>0.94310000000000005</v>
      </c>
      <c r="D9467" s="2">
        <v>4.2099999999999999E-2</v>
      </c>
      <c r="E9467" s="2">
        <v>1.4800000000000001E-2</v>
      </c>
      <c r="F9467">
        <v>620</v>
      </c>
    </row>
    <row r="9468" spans="1:6" x14ac:dyDescent="0.35">
      <c r="A9468" t="s">
        <v>227</v>
      </c>
      <c r="B9468" t="s">
        <v>253</v>
      </c>
      <c r="C9468" s="2">
        <v>0.94189999999999996</v>
      </c>
      <c r="D9468" s="2">
        <v>5.8099999999999999E-2</v>
      </c>
      <c r="F9468">
        <v>153</v>
      </c>
    </row>
    <row r="9469" spans="1:6" x14ac:dyDescent="0.35">
      <c r="A9469" s="3" t="s">
        <v>227</v>
      </c>
      <c r="B9469" s="3" t="s">
        <v>254</v>
      </c>
      <c r="C9469" s="4">
        <v>0.9345</v>
      </c>
      <c r="D9469" s="4">
        <v>6.5500000000000003E-2</v>
      </c>
      <c r="E9469" s="5"/>
      <c r="F9469" s="5" t="s">
        <v>515</v>
      </c>
    </row>
    <row r="9470" spans="1:6" x14ac:dyDescent="0.35">
      <c r="A9470" t="s">
        <v>228</v>
      </c>
      <c r="B9470" t="s">
        <v>228</v>
      </c>
      <c r="C9470" s="2">
        <v>0.92110000000000003</v>
      </c>
      <c r="D9470" s="2">
        <v>6.4100000000000004E-2</v>
      </c>
      <c r="E9470" s="2">
        <v>1.49E-2</v>
      </c>
      <c r="F9470">
        <v>2801</v>
      </c>
    </row>
    <row r="9472" spans="1:6" x14ac:dyDescent="0.35">
      <c r="A9472" s="1" t="s">
        <v>194</v>
      </c>
    </row>
    <row r="9473" spans="1:8" x14ac:dyDescent="0.35">
      <c r="A9473" t="s">
        <v>219</v>
      </c>
      <c r="B9473" t="s">
        <v>1264</v>
      </c>
      <c r="C9473" t="s">
        <v>2259</v>
      </c>
      <c r="D9473" t="s">
        <v>2260</v>
      </c>
      <c r="E9473" t="s">
        <v>2261</v>
      </c>
      <c r="F9473" t="s">
        <v>2262</v>
      </c>
      <c r="G9473" t="s">
        <v>2263</v>
      </c>
      <c r="H9473" t="s">
        <v>957</v>
      </c>
    </row>
    <row r="9474" spans="1:8" x14ac:dyDescent="0.35">
      <c r="A9474" t="s">
        <v>227</v>
      </c>
      <c r="B9474">
        <v>0</v>
      </c>
      <c r="C9474" s="2">
        <v>0.66559999999999997</v>
      </c>
      <c r="D9474" s="2">
        <v>0.89839999999999998</v>
      </c>
      <c r="E9474" s="2">
        <v>0.85399999999999998</v>
      </c>
      <c r="F9474" s="2">
        <v>0.94440000000000002</v>
      </c>
      <c r="G9474" s="2">
        <v>0.86960000000000004</v>
      </c>
      <c r="H9474">
        <v>2813</v>
      </c>
    </row>
    <row r="9475" spans="1:8" x14ac:dyDescent="0.35">
      <c r="A9475" t="s">
        <v>227</v>
      </c>
      <c r="B9475">
        <v>1</v>
      </c>
      <c r="C9475" s="2">
        <v>2.9700000000000001E-2</v>
      </c>
      <c r="D9475" s="2">
        <v>4.2799999999999998E-2</v>
      </c>
      <c r="E9475" s="2">
        <v>1.67E-2</v>
      </c>
      <c r="F9475" s="2">
        <v>5.1000000000000004E-3</v>
      </c>
      <c r="G9475" s="2">
        <v>1.7999999999999999E-2</v>
      </c>
      <c r="H9475">
        <v>2813</v>
      </c>
    </row>
    <row r="9476" spans="1:8" x14ac:dyDescent="0.35">
      <c r="A9476" t="s">
        <v>227</v>
      </c>
      <c r="B9476">
        <v>2</v>
      </c>
      <c r="C9476" s="2">
        <v>8.6699999999999999E-2</v>
      </c>
      <c r="D9476" s="2">
        <v>2.4799999999999999E-2</v>
      </c>
      <c r="E9476" s="2">
        <v>3.5400000000000001E-2</v>
      </c>
      <c r="F9476" s="2">
        <v>1.1900000000000001E-2</v>
      </c>
      <c r="G9476" s="2">
        <v>2.6700000000000002E-2</v>
      </c>
      <c r="H9476">
        <v>2813</v>
      </c>
    </row>
    <row r="9477" spans="1:8" x14ac:dyDescent="0.35">
      <c r="A9477" t="s">
        <v>227</v>
      </c>
      <c r="B9477">
        <v>3</v>
      </c>
      <c r="C9477" s="2">
        <v>5.8700000000000002E-2</v>
      </c>
      <c r="D9477" s="2">
        <v>1.9300000000000001E-2</v>
      </c>
      <c r="E9477" s="2">
        <v>2.5999999999999999E-2</v>
      </c>
      <c r="F9477" s="2">
        <v>1.0200000000000001E-2</v>
      </c>
      <c r="G9477" s="2">
        <v>2.1299999999999999E-2</v>
      </c>
      <c r="H9477">
        <v>2813</v>
      </c>
    </row>
    <row r="9478" spans="1:8" x14ac:dyDescent="0.35">
      <c r="A9478" t="s">
        <v>227</v>
      </c>
      <c r="B9478">
        <v>4</v>
      </c>
      <c r="C9478" s="2">
        <v>2.4E-2</v>
      </c>
      <c r="D9478" s="2">
        <v>1.6000000000000001E-3</v>
      </c>
      <c r="E9478" s="2">
        <v>1.38E-2</v>
      </c>
      <c r="F9478" s="2">
        <v>1.01E-2</v>
      </c>
      <c r="G9478" s="2">
        <v>1.0200000000000001E-2</v>
      </c>
      <c r="H9478">
        <v>2813</v>
      </c>
    </row>
    <row r="9479" spans="1:8" x14ac:dyDescent="0.35">
      <c r="A9479" t="s">
        <v>227</v>
      </c>
      <c r="B9479">
        <v>5</v>
      </c>
      <c r="C9479" s="2">
        <v>2.1700000000000001E-2</v>
      </c>
      <c r="D9479" s="2">
        <v>2.8E-3</v>
      </c>
      <c r="E9479" s="2">
        <v>8.8000000000000005E-3</v>
      </c>
      <c r="F9479" s="2">
        <v>8.9999999999999998E-4</v>
      </c>
      <c r="G9479" s="2">
        <v>7.9000000000000008E-3</v>
      </c>
      <c r="H9479">
        <v>2813</v>
      </c>
    </row>
    <row r="9480" spans="1:8" x14ac:dyDescent="0.35">
      <c r="A9480" t="s">
        <v>227</v>
      </c>
      <c r="B9480">
        <v>6</v>
      </c>
      <c r="C9480" s="2">
        <v>2.8E-3</v>
      </c>
      <c r="D9480" s="2">
        <v>1.6999999999999999E-3</v>
      </c>
      <c r="E9480" s="2">
        <v>4.0000000000000002E-4</v>
      </c>
      <c r="F9480" s="2">
        <v>2.3999999999999998E-3</v>
      </c>
      <c r="G9480" s="2">
        <v>1.8E-3</v>
      </c>
      <c r="H9480">
        <v>2813</v>
      </c>
    </row>
    <row r="9481" spans="1:8" x14ac:dyDescent="0.35">
      <c r="A9481" t="s">
        <v>227</v>
      </c>
      <c r="B9481">
        <v>7</v>
      </c>
      <c r="C9481" s="2">
        <v>0.1108</v>
      </c>
      <c r="D9481" s="2">
        <v>8.6E-3</v>
      </c>
      <c r="E9481" s="2">
        <v>4.5100000000000001E-2</v>
      </c>
      <c r="F9481" s="2">
        <v>1.4999999999999999E-2</v>
      </c>
      <c r="G9481" s="2">
        <v>4.4600000000000001E-2</v>
      </c>
      <c r="H9481">
        <v>2813</v>
      </c>
    </row>
    <row r="9482" spans="1:8" x14ac:dyDescent="0.35">
      <c r="A9482" t="s">
        <v>228</v>
      </c>
      <c r="B9482">
        <v>0</v>
      </c>
      <c r="C9482" s="2">
        <v>0.66559999999999997</v>
      </c>
      <c r="D9482" s="2">
        <v>0.89839999999999998</v>
      </c>
      <c r="E9482" s="2">
        <v>0.85399999999999998</v>
      </c>
      <c r="F9482" s="2">
        <v>0.94440000000000002</v>
      </c>
      <c r="G9482" s="2">
        <v>0.86960000000000004</v>
      </c>
      <c r="H9482">
        <v>2813</v>
      </c>
    </row>
    <row r="9483" spans="1:8" x14ac:dyDescent="0.35">
      <c r="A9483" t="s">
        <v>228</v>
      </c>
      <c r="B9483">
        <v>1</v>
      </c>
      <c r="C9483" s="2">
        <v>2.9700000000000001E-2</v>
      </c>
      <c r="D9483" s="2">
        <v>4.2799999999999998E-2</v>
      </c>
      <c r="E9483" s="2">
        <v>1.67E-2</v>
      </c>
      <c r="F9483" s="2">
        <v>5.1000000000000004E-3</v>
      </c>
      <c r="G9483" s="2">
        <v>1.7999999999999999E-2</v>
      </c>
      <c r="H9483">
        <v>2813</v>
      </c>
    </row>
    <row r="9484" spans="1:8" x14ac:dyDescent="0.35">
      <c r="A9484" t="s">
        <v>228</v>
      </c>
      <c r="B9484">
        <v>2</v>
      </c>
      <c r="C9484" s="2">
        <v>8.6699999999999999E-2</v>
      </c>
      <c r="D9484" s="2">
        <v>2.4799999999999999E-2</v>
      </c>
      <c r="E9484" s="2">
        <v>3.5400000000000001E-2</v>
      </c>
      <c r="F9484" s="2">
        <v>1.1900000000000001E-2</v>
      </c>
      <c r="G9484" s="2">
        <v>2.6700000000000002E-2</v>
      </c>
      <c r="H9484">
        <v>2813</v>
      </c>
    </row>
    <row r="9485" spans="1:8" x14ac:dyDescent="0.35">
      <c r="A9485" t="s">
        <v>228</v>
      </c>
      <c r="B9485">
        <v>3</v>
      </c>
      <c r="C9485" s="2">
        <v>5.8700000000000002E-2</v>
      </c>
      <c r="D9485" s="2">
        <v>1.9300000000000001E-2</v>
      </c>
      <c r="E9485" s="2">
        <v>2.5999999999999999E-2</v>
      </c>
      <c r="F9485" s="2">
        <v>1.0200000000000001E-2</v>
      </c>
      <c r="G9485" s="2">
        <v>2.1299999999999999E-2</v>
      </c>
      <c r="H9485">
        <v>2813</v>
      </c>
    </row>
    <row r="9486" spans="1:8" x14ac:dyDescent="0.35">
      <c r="A9486" t="s">
        <v>228</v>
      </c>
      <c r="B9486">
        <v>4</v>
      </c>
      <c r="C9486" s="2">
        <v>2.4E-2</v>
      </c>
      <c r="D9486" s="2">
        <v>1.6000000000000001E-3</v>
      </c>
      <c r="E9486" s="2">
        <v>1.38E-2</v>
      </c>
      <c r="F9486" s="2">
        <v>1.01E-2</v>
      </c>
      <c r="G9486" s="2">
        <v>1.0200000000000001E-2</v>
      </c>
      <c r="H9486">
        <v>2813</v>
      </c>
    </row>
    <row r="9487" spans="1:8" x14ac:dyDescent="0.35">
      <c r="A9487" t="s">
        <v>228</v>
      </c>
      <c r="B9487">
        <v>5</v>
      </c>
      <c r="C9487" s="2">
        <v>2.1700000000000001E-2</v>
      </c>
      <c r="D9487" s="2">
        <v>2.8E-3</v>
      </c>
      <c r="E9487" s="2">
        <v>8.8000000000000005E-3</v>
      </c>
      <c r="F9487" s="2">
        <v>8.9999999999999998E-4</v>
      </c>
      <c r="G9487" s="2">
        <v>7.9000000000000008E-3</v>
      </c>
      <c r="H9487">
        <v>2813</v>
      </c>
    </row>
    <row r="9488" spans="1:8" x14ac:dyDescent="0.35">
      <c r="A9488" t="s">
        <v>228</v>
      </c>
      <c r="B9488">
        <v>6</v>
      </c>
      <c r="C9488" s="2">
        <v>2.8E-3</v>
      </c>
      <c r="D9488" s="2">
        <v>1.6999999999999999E-3</v>
      </c>
      <c r="E9488" s="2">
        <v>4.0000000000000002E-4</v>
      </c>
      <c r="F9488" s="2">
        <v>2.3999999999999998E-3</v>
      </c>
      <c r="G9488" s="2">
        <v>1.8E-3</v>
      </c>
      <c r="H9488">
        <v>2813</v>
      </c>
    </row>
    <row r="9489" spans="1:9" x14ac:dyDescent="0.35">
      <c r="A9489" t="s">
        <v>228</v>
      </c>
      <c r="B9489">
        <v>7</v>
      </c>
      <c r="C9489" s="2">
        <v>0.1108</v>
      </c>
      <c r="D9489" s="2">
        <v>8.6E-3</v>
      </c>
      <c r="E9489" s="2">
        <v>4.5100000000000001E-2</v>
      </c>
      <c r="F9489" s="2">
        <v>1.4999999999999999E-2</v>
      </c>
      <c r="G9489" s="2">
        <v>4.4600000000000001E-2</v>
      </c>
      <c r="H9489">
        <v>2813</v>
      </c>
    </row>
    <row r="9491" spans="1:9" x14ac:dyDescent="0.35">
      <c r="A9491" s="1" t="s">
        <v>2264</v>
      </c>
    </row>
    <row r="9492" spans="1:9" x14ac:dyDescent="0.35">
      <c r="A9492" t="s">
        <v>219</v>
      </c>
      <c r="B9492" t="s">
        <v>301</v>
      </c>
      <c r="C9492" t="s">
        <v>1264</v>
      </c>
      <c r="D9492" t="s">
        <v>2259</v>
      </c>
      <c r="E9492" t="s">
        <v>2260</v>
      </c>
      <c r="F9492" t="s">
        <v>2261</v>
      </c>
      <c r="G9492" t="s">
        <v>2262</v>
      </c>
      <c r="H9492" t="s">
        <v>2263</v>
      </c>
      <c r="I9492" t="s">
        <v>957</v>
      </c>
    </row>
    <row r="9493" spans="1:9" x14ac:dyDescent="0.35">
      <c r="A9493" t="s">
        <v>227</v>
      </c>
      <c r="B9493" t="s">
        <v>238</v>
      </c>
      <c r="C9493">
        <v>0</v>
      </c>
      <c r="D9493" s="2">
        <v>0.58679999999999999</v>
      </c>
      <c r="E9493" s="2">
        <v>0.87070000000000003</v>
      </c>
      <c r="F9493" s="2">
        <v>0.79020000000000001</v>
      </c>
      <c r="G9493" s="2">
        <v>0.9446</v>
      </c>
      <c r="H9493" s="2">
        <v>0.82720000000000005</v>
      </c>
      <c r="I9493">
        <v>1005</v>
      </c>
    </row>
    <row r="9494" spans="1:9" x14ac:dyDescent="0.35">
      <c r="A9494" t="s">
        <v>227</v>
      </c>
      <c r="B9494" t="s">
        <v>237</v>
      </c>
      <c r="C9494">
        <v>7</v>
      </c>
      <c r="D9494" s="2">
        <v>7.6600000000000001E-2</v>
      </c>
      <c r="E9494" s="2">
        <v>6.7000000000000002E-3</v>
      </c>
      <c r="F9494" s="2">
        <v>3.49E-2</v>
      </c>
      <c r="G9494" s="2">
        <v>1.49E-2</v>
      </c>
      <c r="H9494" s="2">
        <v>2.3599999999999999E-2</v>
      </c>
      <c r="I9494">
        <v>1808</v>
      </c>
    </row>
    <row r="9495" spans="1:9" x14ac:dyDescent="0.35">
      <c r="A9495" t="s">
        <v>227</v>
      </c>
      <c r="B9495" t="s">
        <v>237</v>
      </c>
      <c r="C9495">
        <v>6</v>
      </c>
      <c r="D9495" s="2">
        <v>2.8E-3</v>
      </c>
      <c r="E9495" s="2">
        <v>2.5999999999999999E-3</v>
      </c>
      <c r="F9495" s="2">
        <v>5.0000000000000001E-4</v>
      </c>
      <c r="G9495" s="2">
        <v>2.5999999999999999E-3</v>
      </c>
      <c r="H9495" s="2">
        <v>2.5999999999999999E-3</v>
      </c>
      <c r="I9495">
        <v>1808</v>
      </c>
    </row>
    <row r="9496" spans="1:9" x14ac:dyDescent="0.35">
      <c r="A9496" t="s">
        <v>227</v>
      </c>
      <c r="B9496" t="s">
        <v>237</v>
      </c>
      <c r="C9496">
        <v>5</v>
      </c>
      <c r="D9496" s="2">
        <v>2.0799999999999999E-2</v>
      </c>
      <c r="E9496" s="2">
        <v>3.5000000000000001E-3</v>
      </c>
      <c r="F9496" s="2">
        <v>9.5999999999999992E-3</v>
      </c>
      <c r="G9496" s="2">
        <v>1.2999999999999999E-3</v>
      </c>
      <c r="H9496" s="2">
        <v>1.11E-2</v>
      </c>
      <c r="I9496">
        <v>1808</v>
      </c>
    </row>
    <row r="9497" spans="1:9" x14ac:dyDescent="0.35">
      <c r="A9497" t="s">
        <v>227</v>
      </c>
      <c r="B9497" t="s">
        <v>237</v>
      </c>
      <c r="C9497">
        <v>4</v>
      </c>
      <c r="D9497" s="2">
        <v>1.67E-2</v>
      </c>
      <c r="E9497" s="2">
        <v>2E-3</v>
      </c>
      <c r="F9497" s="2">
        <v>9.4999999999999998E-3</v>
      </c>
      <c r="G9497" s="2">
        <v>1.4800000000000001E-2</v>
      </c>
      <c r="H9497" s="2">
        <v>5.4999999999999997E-3</v>
      </c>
      <c r="I9497">
        <v>1808</v>
      </c>
    </row>
    <row r="9498" spans="1:9" x14ac:dyDescent="0.35">
      <c r="A9498" t="s">
        <v>227</v>
      </c>
      <c r="B9498" t="s">
        <v>237</v>
      </c>
      <c r="C9498">
        <v>2</v>
      </c>
      <c r="D9498" s="2">
        <v>8.8200000000000001E-2</v>
      </c>
      <c r="E9498" s="2">
        <v>1.84E-2</v>
      </c>
      <c r="F9498" s="2">
        <v>2.5100000000000001E-2</v>
      </c>
      <c r="G9498" s="2">
        <v>9.7999999999999997E-3</v>
      </c>
      <c r="H9498" s="2">
        <v>2.9700000000000001E-2</v>
      </c>
      <c r="I9498">
        <v>1808</v>
      </c>
    </row>
    <row r="9499" spans="1:9" x14ac:dyDescent="0.35">
      <c r="A9499" t="s">
        <v>227</v>
      </c>
      <c r="B9499" t="s">
        <v>237</v>
      </c>
      <c r="C9499">
        <v>1</v>
      </c>
      <c r="D9499" s="2">
        <v>3.3000000000000002E-2</v>
      </c>
      <c r="E9499" s="2">
        <v>3.9600000000000003E-2</v>
      </c>
      <c r="F9499" s="2">
        <v>1.7299999999999999E-2</v>
      </c>
      <c r="G9499" s="2">
        <v>8.0000000000000002E-3</v>
      </c>
      <c r="H9499" s="2">
        <v>1.7000000000000001E-2</v>
      </c>
      <c r="I9499">
        <v>1808</v>
      </c>
    </row>
    <row r="9500" spans="1:9" x14ac:dyDescent="0.35">
      <c r="A9500" t="s">
        <v>227</v>
      </c>
      <c r="B9500" t="s">
        <v>237</v>
      </c>
      <c r="C9500">
        <v>0</v>
      </c>
      <c r="D9500" s="2">
        <v>0.71150000000000002</v>
      </c>
      <c r="E9500" s="2">
        <v>0.91459999999999997</v>
      </c>
      <c r="F9500" s="2">
        <v>0.8911</v>
      </c>
      <c r="G9500" s="2">
        <v>0.94430000000000003</v>
      </c>
      <c r="H9500" s="2">
        <v>0.89429999999999998</v>
      </c>
      <c r="I9500">
        <v>1808</v>
      </c>
    </row>
    <row r="9501" spans="1:9" x14ac:dyDescent="0.35">
      <c r="A9501" t="s">
        <v>227</v>
      </c>
      <c r="B9501" t="s">
        <v>237</v>
      </c>
      <c r="C9501">
        <v>3</v>
      </c>
      <c r="D9501" s="2">
        <v>5.0299999999999997E-2</v>
      </c>
      <c r="E9501" s="2">
        <v>1.26E-2</v>
      </c>
      <c r="F9501" s="2">
        <v>1.21E-2</v>
      </c>
      <c r="G9501" s="2">
        <v>4.1999999999999997E-3</v>
      </c>
      <c r="H9501" s="2">
        <v>1.6199999999999999E-2</v>
      </c>
      <c r="I9501">
        <v>1808</v>
      </c>
    </row>
    <row r="9502" spans="1:9" x14ac:dyDescent="0.35">
      <c r="A9502" t="s">
        <v>227</v>
      </c>
      <c r="B9502" t="s">
        <v>238</v>
      </c>
      <c r="C9502">
        <v>6</v>
      </c>
      <c r="D9502" s="2">
        <v>2.5999999999999999E-3</v>
      </c>
      <c r="F9502" s="2">
        <v>2.0000000000000001E-4</v>
      </c>
      <c r="G9502" s="2">
        <v>1.9E-3</v>
      </c>
      <c r="H9502" s="2">
        <v>2.0000000000000001E-4</v>
      </c>
      <c r="I9502">
        <v>1005</v>
      </c>
    </row>
    <row r="9503" spans="1:9" x14ac:dyDescent="0.35">
      <c r="A9503" t="s">
        <v>227</v>
      </c>
      <c r="B9503" t="s">
        <v>238</v>
      </c>
      <c r="C9503">
        <v>5</v>
      </c>
      <c r="D9503" s="2">
        <v>2.3300000000000001E-2</v>
      </c>
      <c r="E9503" s="2">
        <v>1.6999999999999999E-3</v>
      </c>
      <c r="F9503" s="2">
        <v>7.3000000000000001E-3</v>
      </c>
      <c r="G9503" s="2">
        <v>2.9999999999999997E-4</v>
      </c>
      <c r="H9503" s="2">
        <v>2.3999999999999998E-3</v>
      </c>
      <c r="I9503">
        <v>1005</v>
      </c>
    </row>
    <row r="9504" spans="1:9" x14ac:dyDescent="0.35">
      <c r="A9504" t="s">
        <v>227</v>
      </c>
      <c r="B9504" t="s">
        <v>238</v>
      </c>
      <c r="C9504">
        <v>4</v>
      </c>
      <c r="D9504" s="2">
        <v>3.6600000000000001E-2</v>
      </c>
      <c r="E9504" s="2">
        <v>8.0000000000000004E-4</v>
      </c>
      <c r="F9504" s="2">
        <v>2.1100000000000001E-2</v>
      </c>
      <c r="G9504" s="2">
        <v>1.9E-3</v>
      </c>
      <c r="H9504" s="2">
        <v>1.8100000000000002E-2</v>
      </c>
      <c r="I9504">
        <v>1005</v>
      </c>
    </row>
    <row r="9505" spans="1:9" x14ac:dyDescent="0.35">
      <c r="A9505" t="s">
        <v>227</v>
      </c>
      <c r="B9505" t="s">
        <v>238</v>
      </c>
      <c r="C9505">
        <v>3</v>
      </c>
      <c r="D9505" s="2">
        <v>7.2999999999999995E-2</v>
      </c>
      <c r="E9505" s="2">
        <v>3.0800000000000001E-2</v>
      </c>
      <c r="F9505" s="2">
        <v>4.99E-2</v>
      </c>
      <c r="G9505" s="2">
        <v>2.0500000000000001E-2</v>
      </c>
      <c r="H9505" s="2">
        <v>0.03</v>
      </c>
      <c r="I9505">
        <v>1005</v>
      </c>
    </row>
    <row r="9506" spans="1:9" x14ac:dyDescent="0.35">
      <c r="A9506" t="s">
        <v>227</v>
      </c>
      <c r="B9506" t="s">
        <v>238</v>
      </c>
      <c r="C9506">
        <v>2</v>
      </c>
      <c r="D9506" s="2">
        <v>8.4199999999999997E-2</v>
      </c>
      <c r="E9506" s="2">
        <v>3.5799999999999998E-2</v>
      </c>
      <c r="F9506" s="2">
        <v>5.2999999999999999E-2</v>
      </c>
      <c r="G9506" s="2">
        <v>1.55E-2</v>
      </c>
      <c r="H9506" s="2">
        <v>2.1600000000000001E-2</v>
      </c>
      <c r="I9506">
        <v>1005</v>
      </c>
    </row>
    <row r="9507" spans="1:9" x14ac:dyDescent="0.35">
      <c r="A9507" t="s">
        <v>227</v>
      </c>
      <c r="B9507" t="s">
        <v>238</v>
      </c>
      <c r="C9507">
        <v>1</v>
      </c>
      <c r="D9507" s="2">
        <v>2.41E-2</v>
      </c>
      <c r="E9507" s="2">
        <v>4.8300000000000003E-2</v>
      </c>
      <c r="F9507" s="2">
        <v>1.5599999999999999E-2</v>
      </c>
      <c r="G9507" s="2">
        <v>1E-4</v>
      </c>
      <c r="H9507" s="2">
        <v>1.9800000000000002E-2</v>
      </c>
      <c r="I9507">
        <v>1005</v>
      </c>
    </row>
    <row r="9508" spans="1:9" x14ac:dyDescent="0.35">
      <c r="A9508" t="s">
        <v>227</v>
      </c>
      <c r="B9508" t="s">
        <v>238</v>
      </c>
      <c r="C9508">
        <v>7</v>
      </c>
      <c r="D9508" s="2">
        <v>0.1694</v>
      </c>
      <c r="E9508" s="2">
        <v>1.1900000000000001E-2</v>
      </c>
      <c r="F9508" s="2">
        <v>6.2600000000000003E-2</v>
      </c>
      <c r="G9508" s="2">
        <v>1.5100000000000001E-2</v>
      </c>
      <c r="H9508" s="2">
        <v>8.0600000000000005E-2</v>
      </c>
      <c r="I9508">
        <v>1005</v>
      </c>
    </row>
    <row r="9509" spans="1:9" x14ac:dyDescent="0.35">
      <c r="A9509" t="s">
        <v>228</v>
      </c>
      <c r="B9509" t="s">
        <v>228</v>
      </c>
      <c r="C9509">
        <v>6</v>
      </c>
      <c r="D9509" s="2">
        <v>2.8E-3</v>
      </c>
      <c r="E9509" s="2">
        <v>1.6999999999999999E-3</v>
      </c>
      <c r="F9509" s="2">
        <v>4.0000000000000002E-4</v>
      </c>
      <c r="G9509" s="2">
        <v>2.3999999999999998E-3</v>
      </c>
      <c r="H9509" s="2">
        <v>1.8E-3</v>
      </c>
      <c r="I9509">
        <v>2813</v>
      </c>
    </row>
    <row r="9510" spans="1:9" x14ac:dyDescent="0.35">
      <c r="A9510" t="s">
        <v>228</v>
      </c>
      <c r="B9510" t="s">
        <v>228</v>
      </c>
      <c r="C9510">
        <v>0</v>
      </c>
      <c r="D9510" s="2">
        <v>0.66559999999999997</v>
      </c>
      <c r="E9510" s="2">
        <v>0.89839999999999998</v>
      </c>
      <c r="F9510" s="2">
        <v>0.85399999999999998</v>
      </c>
      <c r="G9510" s="2">
        <v>0.94440000000000002</v>
      </c>
      <c r="H9510" s="2">
        <v>0.86960000000000004</v>
      </c>
      <c r="I9510">
        <v>2813</v>
      </c>
    </row>
    <row r="9511" spans="1:9" x14ac:dyDescent="0.35">
      <c r="A9511" t="s">
        <v>228</v>
      </c>
      <c r="B9511" t="s">
        <v>228</v>
      </c>
      <c r="C9511">
        <v>1</v>
      </c>
      <c r="D9511" s="2">
        <v>2.9700000000000001E-2</v>
      </c>
      <c r="E9511" s="2">
        <v>4.2799999999999998E-2</v>
      </c>
      <c r="F9511" s="2">
        <v>1.67E-2</v>
      </c>
      <c r="G9511" s="2">
        <v>5.1000000000000004E-3</v>
      </c>
      <c r="H9511" s="2">
        <v>1.7999999999999999E-2</v>
      </c>
      <c r="I9511">
        <v>2813</v>
      </c>
    </row>
    <row r="9512" spans="1:9" x14ac:dyDescent="0.35">
      <c r="A9512" t="s">
        <v>228</v>
      </c>
      <c r="B9512" t="s">
        <v>228</v>
      </c>
      <c r="C9512">
        <v>2</v>
      </c>
      <c r="D9512" s="2">
        <v>8.6699999999999999E-2</v>
      </c>
      <c r="E9512" s="2">
        <v>2.4799999999999999E-2</v>
      </c>
      <c r="F9512" s="2">
        <v>3.5400000000000001E-2</v>
      </c>
      <c r="G9512" s="2">
        <v>1.1900000000000001E-2</v>
      </c>
      <c r="H9512" s="2">
        <v>2.6700000000000002E-2</v>
      </c>
      <c r="I9512">
        <v>2813</v>
      </c>
    </row>
    <row r="9513" spans="1:9" x14ac:dyDescent="0.35">
      <c r="A9513" t="s">
        <v>228</v>
      </c>
      <c r="B9513" t="s">
        <v>228</v>
      </c>
      <c r="C9513">
        <v>3</v>
      </c>
      <c r="D9513" s="2">
        <v>5.8700000000000002E-2</v>
      </c>
      <c r="E9513" s="2">
        <v>1.9300000000000001E-2</v>
      </c>
      <c r="F9513" s="2">
        <v>2.5999999999999999E-2</v>
      </c>
      <c r="G9513" s="2">
        <v>1.0200000000000001E-2</v>
      </c>
      <c r="H9513" s="2">
        <v>2.1299999999999999E-2</v>
      </c>
      <c r="I9513">
        <v>2813</v>
      </c>
    </row>
    <row r="9514" spans="1:9" x14ac:dyDescent="0.35">
      <c r="A9514" t="s">
        <v>228</v>
      </c>
      <c r="B9514" t="s">
        <v>228</v>
      </c>
      <c r="C9514">
        <v>4</v>
      </c>
      <c r="D9514" s="2">
        <v>2.4E-2</v>
      </c>
      <c r="E9514" s="2">
        <v>1.6000000000000001E-3</v>
      </c>
      <c r="F9514" s="2">
        <v>1.38E-2</v>
      </c>
      <c r="G9514" s="2">
        <v>1.01E-2</v>
      </c>
      <c r="H9514" s="2">
        <v>1.0200000000000001E-2</v>
      </c>
      <c r="I9514">
        <v>2813</v>
      </c>
    </row>
    <row r="9515" spans="1:9" x14ac:dyDescent="0.35">
      <c r="A9515" t="s">
        <v>228</v>
      </c>
      <c r="B9515" t="s">
        <v>228</v>
      </c>
      <c r="C9515">
        <v>5</v>
      </c>
      <c r="D9515" s="2">
        <v>2.1700000000000001E-2</v>
      </c>
      <c r="E9515" s="2">
        <v>2.8E-3</v>
      </c>
      <c r="F9515" s="2">
        <v>8.8000000000000005E-3</v>
      </c>
      <c r="G9515" s="2">
        <v>8.9999999999999998E-4</v>
      </c>
      <c r="H9515" s="2">
        <v>7.9000000000000008E-3</v>
      </c>
      <c r="I9515">
        <v>2813</v>
      </c>
    </row>
    <row r="9516" spans="1:9" x14ac:dyDescent="0.35">
      <c r="A9516" t="s">
        <v>228</v>
      </c>
      <c r="B9516" t="s">
        <v>228</v>
      </c>
      <c r="C9516">
        <v>7</v>
      </c>
      <c r="D9516" s="2">
        <v>0.1108</v>
      </c>
      <c r="E9516" s="2">
        <v>8.6E-3</v>
      </c>
      <c r="F9516" s="2">
        <v>4.5100000000000001E-2</v>
      </c>
      <c r="G9516" s="2">
        <v>1.4999999999999999E-2</v>
      </c>
      <c r="H9516" s="2">
        <v>4.4600000000000001E-2</v>
      </c>
      <c r="I9516">
        <v>2813</v>
      </c>
    </row>
    <row r="9518" spans="1:9" x14ac:dyDescent="0.35">
      <c r="A9518" s="1" t="s">
        <v>2265</v>
      </c>
    </row>
    <row r="9519" spans="1:9" x14ac:dyDescent="0.35">
      <c r="A9519" t="s">
        <v>219</v>
      </c>
      <c r="B9519" t="s">
        <v>301</v>
      </c>
      <c r="C9519" t="s">
        <v>1264</v>
      </c>
      <c r="D9519" t="s">
        <v>2259</v>
      </c>
      <c r="E9519" t="s">
        <v>2260</v>
      </c>
      <c r="F9519" t="s">
        <v>2261</v>
      </c>
      <c r="G9519" t="s">
        <v>2262</v>
      </c>
      <c r="H9519" t="s">
        <v>2263</v>
      </c>
      <c r="I9519" t="s">
        <v>957</v>
      </c>
    </row>
    <row r="9520" spans="1:9" x14ac:dyDescent="0.35">
      <c r="A9520" t="s">
        <v>227</v>
      </c>
      <c r="B9520" t="s">
        <v>235</v>
      </c>
      <c r="C9520">
        <v>0</v>
      </c>
      <c r="D9520" s="2">
        <v>0.6492</v>
      </c>
      <c r="E9520" s="2">
        <v>0.91759999999999997</v>
      </c>
      <c r="F9520" s="2">
        <v>0.84899999999999998</v>
      </c>
      <c r="G9520" s="2">
        <v>0.92290000000000005</v>
      </c>
      <c r="H9520" s="2">
        <v>0.86639999999999995</v>
      </c>
      <c r="I9520">
        <v>992</v>
      </c>
    </row>
    <row r="9521" spans="1:9" x14ac:dyDescent="0.35">
      <c r="A9521" t="s">
        <v>227</v>
      </c>
      <c r="B9521" t="s">
        <v>234</v>
      </c>
      <c r="C9521">
        <v>7</v>
      </c>
      <c r="D9521" s="2">
        <v>0.1206</v>
      </c>
      <c r="E9521" s="2">
        <v>8.8000000000000005E-3</v>
      </c>
      <c r="F9521" s="2">
        <v>4.6800000000000001E-2</v>
      </c>
      <c r="G9521" s="2">
        <v>1.44E-2</v>
      </c>
      <c r="H9521" s="2">
        <v>4.0599999999999997E-2</v>
      </c>
      <c r="I9521">
        <v>1821</v>
      </c>
    </row>
    <row r="9522" spans="1:9" x14ac:dyDescent="0.35">
      <c r="A9522" t="s">
        <v>227</v>
      </c>
      <c r="B9522" t="s">
        <v>234</v>
      </c>
      <c r="C9522">
        <v>6</v>
      </c>
      <c r="D9522" s="2">
        <v>2.3E-3</v>
      </c>
      <c r="E9522" s="2">
        <v>2.3999999999999998E-3</v>
      </c>
      <c r="F9522" s="2">
        <v>5.9999999999999995E-4</v>
      </c>
      <c r="G9522" s="2">
        <v>2.3999999999999998E-3</v>
      </c>
      <c r="H9522" s="2">
        <v>2.5000000000000001E-3</v>
      </c>
      <c r="I9522">
        <v>1821</v>
      </c>
    </row>
    <row r="9523" spans="1:9" x14ac:dyDescent="0.35">
      <c r="A9523" t="s">
        <v>227</v>
      </c>
      <c r="B9523" t="s">
        <v>234</v>
      </c>
      <c r="C9523">
        <v>5</v>
      </c>
      <c r="D9523" s="2">
        <v>2.2499999999999999E-2</v>
      </c>
      <c r="E9523" s="2">
        <v>3.3E-3</v>
      </c>
      <c r="F9523" s="2">
        <v>1.11E-2</v>
      </c>
      <c r="G9523" s="2">
        <v>1E-3</v>
      </c>
      <c r="H9523" s="2">
        <v>7.1999999999999998E-3</v>
      </c>
      <c r="I9523">
        <v>1821</v>
      </c>
    </row>
    <row r="9524" spans="1:9" x14ac:dyDescent="0.35">
      <c r="A9524" t="s">
        <v>227</v>
      </c>
      <c r="B9524" t="s">
        <v>234</v>
      </c>
      <c r="C9524">
        <v>4</v>
      </c>
      <c r="D9524" s="2">
        <v>2.2499999999999999E-2</v>
      </c>
      <c r="E9524" s="2">
        <v>1.6000000000000001E-3</v>
      </c>
      <c r="F9524" s="2">
        <v>9.4999999999999998E-3</v>
      </c>
      <c r="G9524" s="2">
        <v>3.0999999999999999E-3</v>
      </c>
      <c r="H9524" s="2">
        <v>1.29E-2</v>
      </c>
      <c r="I9524">
        <v>1821</v>
      </c>
    </row>
    <row r="9525" spans="1:9" x14ac:dyDescent="0.35">
      <c r="A9525" t="s">
        <v>227</v>
      </c>
      <c r="B9525" t="s">
        <v>234</v>
      </c>
      <c r="C9525">
        <v>2</v>
      </c>
      <c r="D9525" s="2">
        <v>7.9899999999999999E-2</v>
      </c>
      <c r="E9525" s="2">
        <v>2.2200000000000001E-2</v>
      </c>
      <c r="F9525" s="2">
        <v>3.9300000000000002E-2</v>
      </c>
      <c r="G9525" s="2">
        <v>1.2999999999999999E-2</v>
      </c>
      <c r="H9525" s="2">
        <v>2.58E-2</v>
      </c>
      <c r="I9525">
        <v>1821</v>
      </c>
    </row>
    <row r="9526" spans="1:9" x14ac:dyDescent="0.35">
      <c r="A9526" t="s">
        <v>227</v>
      </c>
      <c r="B9526" t="s">
        <v>234</v>
      </c>
      <c r="C9526">
        <v>1</v>
      </c>
      <c r="D9526" s="2">
        <v>2.5499999999999998E-2</v>
      </c>
      <c r="E9526" s="2">
        <v>5.2499999999999998E-2</v>
      </c>
      <c r="F9526" s="2">
        <v>1.32E-2</v>
      </c>
      <c r="G9526" s="2">
        <v>6.8999999999999999E-3</v>
      </c>
      <c r="H9526" s="2">
        <v>1.89E-2</v>
      </c>
      <c r="I9526">
        <v>1821</v>
      </c>
    </row>
    <row r="9527" spans="1:9" x14ac:dyDescent="0.35">
      <c r="A9527" t="s">
        <v>227</v>
      </c>
      <c r="B9527" t="s">
        <v>234</v>
      </c>
      <c r="C9527">
        <v>0</v>
      </c>
      <c r="D9527" s="2">
        <v>0.6724</v>
      </c>
      <c r="E9527" s="2">
        <v>0.89039999999999997</v>
      </c>
      <c r="F9527" s="2">
        <v>0.85599999999999998</v>
      </c>
      <c r="G9527" s="2">
        <v>0.95340000000000003</v>
      </c>
      <c r="H9527" s="2">
        <v>0.87090000000000001</v>
      </c>
      <c r="I9527">
        <v>1821</v>
      </c>
    </row>
    <row r="9528" spans="1:9" x14ac:dyDescent="0.35">
      <c r="A9528" t="s">
        <v>227</v>
      </c>
      <c r="B9528" t="s">
        <v>234</v>
      </c>
      <c r="C9528">
        <v>3</v>
      </c>
      <c r="D9528" s="2">
        <v>5.4199999999999998E-2</v>
      </c>
      <c r="E9528" s="2">
        <v>1.8800000000000001E-2</v>
      </c>
      <c r="F9528" s="2">
        <v>2.35E-2</v>
      </c>
      <c r="G9528" s="2">
        <v>5.8999999999999999E-3</v>
      </c>
      <c r="H9528" s="2">
        <v>2.1100000000000001E-2</v>
      </c>
      <c r="I9528">
        <v>1821</v>
      </c>
    </row>
    <row r="9529" spans="1:9" x14ac:dyDescent="0.35">
      <c r="A9529" t="s">
        <v>227</v>
      </c>
      <c r="B9529" t="s">
        <v>235</v>
      </c>
      <c r="C9529">
        <v>6</v>
      </c>
      <c r="D9529" s="2">
        <v>3.8E-3</v>
      </c>
      <c r="G9529" s="2">
        <v>2.3999999999999998E-3</v>
      </c>
      <c r="I9529">
        <v>992</v>
      </c>
    </row>
    <row r="9530" spans="1:9" x14ac:dyDescent="0.35">
      <c r="A9530" t="s">
        <v>227</v>
      </c>
      <c r="B9530" t="s">
        <v>235</v>
      </c>
      <c r="C9530">
        <v>5</v>
      </c>
      <c r="D9530" s="2">
        <v>0.02</v>
      </c>
      <c r="E9530" s="2">
        <v>1.6999999999999999E-3</v>
      </c>
      <c r="F9530" s="2">
        <v>3.0999999999999999E-3</v>
      </c>
      <c r="G9530" s="2">
        <v>8.0000000000000004E-4</v>
      </c>
      <c r="H9530" s="2">
        <v>9.4000000000000004E-3</v>
      </c>
      <c r="I9530">
        <v>992</v>
      </c>
    </row>
    <row r="9531" spans="1:9" x14ac:dyDescent="0.35">
      <c r="A9531" t="s">
        <v>227</v>
      </c>
      <c r="B9531" t="s">
        <v>235</v>
      </c>
      <c r="C9531">
        <v>4</v>
      </c>
      <c r="D9531" s="2">
        <v>2.76E-2</v>
      </c>
      <c r="E9531" s="2">
        <v>1.5E-3</v>
      </c>
      <c r="F9531" s="2">
        <v>2.4E-2</v>
      </c>
      <c r="G9531" s="2">
        <v>2.69E-2</v>
      </c>
      <c r="H9531" s="2">
        <v>3.5999999999999999E-3</v>
      </c>
      <c r="I9531">
        <v>992</v>
      </c>
    </row>
    <row r="9532" spans="1:9" x14ac:dyDescent="0.35">
      <c r="A9532" t="s">
        <v>227</v>
      </c>
      <c r="B9532" t="s">
        <v>235</v>
      </c>
      <c r="C9532">
        <v>3</v>
      </c>
      <c r="D9532" s="2">
        <v>6.93E-2</v>
      </c>
      <c r="E9532" s="2">
        <v>2.0400000000000001E-2</v>
      </c>
      <c r="F9532" s="2">
        <v>3.1899999999999998E-2</v>
      </c>
      <c r="G9532" s="2">
        <v>2.0500000000000001E-2</v>
      </c>
      <c r="H9532" s="2">
        <v>2.1600000000000001E-2</v>
      </c>
      <c r="I9532">
        <v>992</v>
      </c>
    </row>
    <row r="9533" spans="1:9" x14ac:dyDescent="0.35">
      <c r="A9533" t="s">
        <v>227</v>
      </c>
      <c r="B9533" t="s">
        <v>235</v>
      </c>
      <c r="C9533">
        <v>2</v>
      </c>
      <c r="D9533" s="2">
        <v>0.10290000000000001</v>
      </c>
      <c r="E9533" s="2">
        <v>3.1099999999999999E-2</v>
      </c>
      <c r="F9533" s="2">
        <v>2.5999999999999999E-2</v>
      </c>
      <c r="G9533" s="2">
        <v>9.4000000000000004E-3</v>
      </c>
      <c r="H9533" s="2">
        <v>2.8799999999999999E-2</v>
      </c>
      <c r="I9533">
        <v>992</v>
      </c>
    </row>
    <row r="9534" spans="1:9" x14ac:dyDescent="0.35">
      <c r="A9534" t="s">
        <v>227</v>
      </c>
      <c r="B9534" t="s">
        <v>235</v>
      </c>
      <c r="C9534">
        <v>1</v>
      </c>
      <c r="D9534" s="2">
        <v>3.9800000000000002E-2</v>
      </c>
      <c r="E9534" s="2">
        <v>1.95E-2</v>
      </c>
      <c r="F9534" s="2">
        <v>2.4899999999999999E-2</v>
      </c>
      <c r="G9534" s="2">
        <v>6.9999999999999999E-4</v>
      </c>
      <c r="H9534" s="2">
        <v>1.5900000000000001E-2</v>
      </c>
      <c r="I9534">
        <v>992</v>
      </c>
    </row>
    <row r="9535" spans="1:9" x14ac:dyDescent="0.35">
      <c r="A9535" t="s">
        <v>227</v>
      </c>
      <c r="B9535" t="s">
        <v>235</v>
      </c>
      <c r="C9535">
        <v>7</v>
      </c>
      <c r="D9535" s="2">
        <v>8.7400000000000005E-2</v>
      </c>
      <c r="E9535" s="2">
        <v>8.0999999999999996E-3</v>
      </c>
      <c r="F9535" s="2">
        <v>4.0899999999999999E-2</v>
      </c>
      <c r="G9535" s="2">
        <v>1.6400000000000001E-2</v>
      </c>
      <c r="H9535" s="2">
        <v>5.4300000000000001E-2</v>
      </c>
      <c r="I9535">
        <v>992</v>
      </c>
    </row>
    <row r="9536" spans="1:9" x14ac:dyDescent="0.35">
      <c r="A9536" t="s">
        <v>228</v>
      </c>
      <c r="B9536" t="s">
        <v>228</v>
      </c>
      <c r="C9536">
        <v>6</v>
      </c>
      <c r="D9536" s="2">
        <v>2.8E-3</v>
      </c>
      <c r="E9536" s="2">
        <v>1.6999999999999999E-3</v>
      </c>
      <c r="F9536" s="2">
        <v>4.0000000000000002E-4</v>
      </c>
      <c r="G9536" s="2">
        <v>2.3999999999999998E-3</v>
      </c>
      <c r="H9536" s="2">
        <v>1.8E-3</v>
      </c>
      <c r="I9536">
        <v>2813</v>
      </c>
    </row>
    <row r="9537" spans="1:9" x14ac:dyDescent="0.35">
      <c r="A9537" t="s">
        <v>228</v>
      </c>
      <c r="B9537" t="s">
        <v>228</v>
      </c>
      <c r="C9537">
        <v>0</v>
      </c>
      <c r="D9537" s="2">
        <v>0.66559999999999997</v>
      </c>
      <c r="E9537" s="2">
        <v>0.89839999999999998</v>
      </c>
      <c r="F9537" s="2">
        <v>0.85399999999999998</v>
      </c>
      <c r="G9537" s="2">
        <v>0.94440000000000002</v>
      </c>
      <c r="H9537" s="2">
        <v>0.86960000000000004</v>
      </c>
      <c r="I9537">
        <v>2813</v>
      </c>
    </row>
    <row r="9538" spans="1:9" x14ac:dyDescent="0.35">
      <c r="A9538" t="s">
        <v>228</v>
      </c>
      <c r="B9538" t="s">
        <v>228</v>
      </c>
      <c r="C9538">
        <v>1</v>
      </c>
      <c r="D9538" s="2">
        <v>2.9700000000000001E-2</v>
      </c>
      <c r="E9538" s="2">
        <v>4.2799999999999998E-2</v>
      </c>
      <c r="F9538" s="2">
        <v>1.67E-2</v>
      </c>
      <c r="G9538" s="2">
        <v>5.1000000000000004E-3</v>
      </c>
      <c r="H9538" s="2">
        <v>1.7999999999999999E-2</v>
      </c>
      <c r="I9538">
        <v>2813</v>
      </c>
    </row>
    <row r="9539" spans="1:9" x14ac:dyDescent="0.35">
      <c r="A9539" t="s">
        <v>228</v>
      </c>
      <c r="B9539" t="s">
        <v>228</v>
      </c>
      <c r="C9539">
        <v>2</v>
      </c>
      <c r="D9539" s="2">
        <v>8.6699999999999999E-2</v>
      </c>
      <c r="E9539" s="2">
        <v>2.4799999999999999E-2</v>
      </c>
      <c r="F9539" s="2">
        <v>3.5400000000000001E-2</v>
      </c>
      <c r="G9539" s="2">
        <v>1.1900000000000001E-2</v>
      </c>
      <c r="H9539" s="2">
        <v>2.6700000000000002E-2</v>
      </c>
      <c r="I9539">
        <v>2813</v>
      </c>
    </row>
    <row r="9540" spans="1:9" x14ac:dyDescent="0.35">
      <c r="A9540" t="s">
        <v>228</v>
      </c>
      <c r="B9540" t="s">
        <v>228</v>
      </c>
      <c r="C9540">
        <v>3</v>
      </c>
      <c r="D9540" s="2">
        <v>5.8700000000000002E-2</v>
      </c>
      <c r="E9540" s="2">
        <v>1.9300000000000001E-2</v>
      </c>
      <c r="F9540" s="2">
        <v>2.5999999999999999E-2</v>
      </c>
      <c r="G9540" s="2">
        <v>1.0200000000000001E-2</v>
      </c>
      <c r="H9540" s="2">
        <v>2.1299999999999999E-2</v>
      </c>
      <c r="I9540">
        <v>2813</v>
      </c>
    </row>
    <row r="9541" spans="1:9" x14ac:dyDescent="0.35">
      <c r="A9541" t="s">
        <v>228</v>
      </c>
      <c r="B9541" t="s">
        <v>228</v>
      </c>
      <c r="C9541">
        <v>4</v>
      </c>
      <c r="D9541" s="2">
        <v>2.4E-2</v>
      </c>
      <c r="E9541" s="2">
        <v>1.6000000000000001E-3</v>
      </c>
      <c r="F9541" s="2">
        <v>1.38E-2</v>
      </c>
      <c r="G9541" s="2">
        <v>1.01E-2</v>
      </c>
      <c r="H9541" s="2">
        <v>1.0200000000000001E-2</v>
      </c>
      <c r="I9541">
        <v>2813</v>
      </c>
    </row>
    <row r="9542" spans="1:9" x14ac:dyDescent="0.35">
      <c r="A9542" t="s">
        <v>228</v>
      </c>
      <c r="B9542" t="s">
        <v>228</v>
      </c>
      <c r="C9542">
        <v>5</v>
      </c>
      <c r="D9542" s="2">
        <v>2.1700000000000001E-2</v>
      </c>
      <c r="E9542" s="2">
        <v>2.8E-3</v>
      </c>
      <c r="F9542" s="2">
        <v>8.8000000000000005E-3</v>
      </c>
      <c r="G9542" s="2">
        <v>8.9999999999999998E-4</v>
      </c>
      <c r="H9542" s="2">
        <v>7.9000000000000008E-3</v>
      </c>
      <c r="I9542">
        <v>2813</v>
      </c>
    </row>
    <row r="9543" spans="1:9" x14ac:dyDescent="0.35">
      <c r="A9543" t="s">
        <v>228</v>
      </c>
      <c r="B9543" t="s">
        <v>228</v>
      </c>
      <c r="C9543">
        <v>7</v>
      </c>
      <c r="D9543" s="2">
        <v>0.1108</v>
      </c>
      <c r="E9543" s="2">
        <v>8.6E-3</v>
      </c>
      <c r="F9543" s="2">
        <v>4.5100000000000001E-2</v>
      </c>
      <c r="G9543" s="2">
        <v>1.4999999999999999E-2</v>
      </c>
      <c r="H9543" s="2">
        <v>4.4600000000000001E-2</v>
      </c>
      <c r="I9543">
        <v>2813</v>
      </c>
    </row>
    <row r="9545" spans="1:9" x14ac:dyDescent="0.35">
      <c r="A9545" s="1" t="s">
        <v>2266</v>
      </c>
    </row>
    <row r="9546" spans="1:9" x14ac:dyDescent="0.35">
      <c r="A9546" t="s">
        <v>219</v>
      </c>
      <c r="B9546" t="s">
        <v>301</v>
      </c>
      <c r="C9546" t="s">
        <v>1264</v>
      </c>
      <c r="D9546" t="s">
        <v>2259</v>
      </c>
      <c r="E9546" t="s">
        <v>2260</v>
      </c>
      <c r="F9546" t="s">
        <v>2261</v>
      </c>
      <c r="G9546" t="s">
        <v>2262</v>
      </c>
      <c r="H9546" t="s">
        <v>2263</v>
      </c>
      <c r="I9546" t="s">
        <v>957</v>
      </c>
    </row>
    <row r="9547" spans="1:9" x14ac:dyDescent="0.35">
      <c r="A9547" t="s">
        <v>227</v>
      </c>
      <c r="B9547" t="s">
        <v>240</v>
      </c>
      <c r="C9547">
        <v>0</v>
      </c>
      <c r="D9547" s="2">
        <v>0.6986</v>
      </c>
      <c r="E9547" s="2">
        <v>0.91020000000000001</v>
      </c>
      <c r="F9547" s="2">
        <v>0.88060000000000005</v>
      </c>
      <c r="G9547" s="2">
        <v>0.93840000000000001</v>
      </c>
      <c r="H9547" s="2">
        <v>0.89800000000000002</v>
      </c>
      <c r="I9547">
        <v>1756</v>
      </c>
    </row>
    <row r="9548" spans="1:9" x14ac:dyDescent="0.35">
      <c r="A9548" t="s">
        <v>227</v>
      </c>
      <c r="B9548" t="s">
        <v>242</v>
      </c>
      <c r="C9548">
        <v>7</v>
      </c>
      <c r="D9548" s="2">
        <v>7.8700000000000006E-2</v>
      </c>
      <c r="E9548" s="2">
        <v>1.26E-2</v>
      </c>
      <c r="F9548" s="2">
        <v>5.3800000000000001E-2</v>
      </c>
      <c r="G9548" s="2">
        <v>4.6199999999999998E-2</v>
      </c>
      <c r="H9548" s="2">
        <v>2.9399999999999999E-2</v>
      </c>
      <c r="I9548">
        <v>166</v>
      </c>
    </row>
    <row r="9549" spans="1:9" x14ac:dyDescent="0.35">
      <c r="A9549" t="s">
        <v>227</v>
      </c>
      <c r="B9549" t="s">
        <v>242</v>
      </c>
      <c r="C9549">
        <v>6</v>
      </c>
      <c r="D9549" s="2">
        <v>7.7999999999999996E-3</v>
      </c>
      <c r="I9549">
        <v>166</v>
      </c>
    </row>
    <row r="9550" spans="1:9" x14ac:dyDescent="0.35">
      <c r="A9550" t="s">
        <v>227</v>
      </c>
      <c r="B9550" t="s">
        <v>242</v>
      </c>
      <c r="C9550">
        <v>5</v>
      </c>
      <c r="D9550" s="2">
        <v>1.66E-2</v>
      </c>
      <c r="E9550" s="2">
        <v>2.5999999999999999E-3</v>
      </c>
      <c r="F9550" s="2">
        <v>1.0800000000000001E-2</v>
      </c>
      <c r="G9550" s="2">
        <v>5.7999999999999996E-3</v>
      </c>
      <c r="H9550" s="2">
        <v>2.9499999999999998E-2</v>
      </c>
      <c r="I9550">
        <v>166</v>
      </c>
    </row>
    <row r="9551" spans="1:9" x14ac:dyDescent="0.35">
      <c r="A9551" t="s">
        <v>227</v>
      </c>
      <c r="B9551" t="s">
        <v>242</v>
      </c>
      <c r="C9551">
        <v>4</v>
      </c>
      <c r="D9551" s="2">
        <v>9.1999999999999998E-3</v>
      </c>
      <c r="F9551" s="2">
        <v>2.81E-2</v>
      </c>
      <c r="G9551" s="2">
        <v>5.0599999999999999E-2</v>
      </c>
      <c r="H9551" s="2">
        <v>1.23E-2</v>
      </c>
      <c r="I9551">
        <v>166</v>
      </c>
    </row>
    <row r="9552" spans="1:9" x14ac:dyDescent="0.35">
      <c r="A9552" t="s">
        <v>227</v>
      </c>
      <c r="B9552" t="s">
        <v>242</v>
      </c>
      <c r="C9552">
        <v>3</v>
      </c>
      <c r="D9552" s="2">
        <v>9.8699999999999996E-2</v>
      </c>
      <c r="E9552" s="2">
        <v>3.9300000000000002E-2</v>
      </c>
      <c r="F9552" s="2">
        <v>1.9400000000000001E-2</v>
      </c>
      <c r="G9552" s="2">
        <v>3.3000000000000002E-2</v>
      </c>
      <c r="H9552" s="2">
        <v>4.8500000000000001E-2</v>
      </c>
      <c r="I9552">
        <v>166</v>
      </c>
    </row>
    <row r="9553" spans="1:9" x14ac:dyDescent="0.35">
      <c r="A9553" t="s">
        <v>227</v>
      </c>
      <c r="B9553" t="s">
        <v>242</v>
      </c>
      <c r="C9553">
        <v>2</v>
      </c>
      <c r="D9553" s="2">
        <v>0.1212</v>
      </c>
      <c r="E9553" s="2">
        <v>2.8799999999999999E-2</v>
      </c>
      <c r="F9553" s="2">
        <v>4.0300000000000002E-2</v>
      </c>
      <c r="G9553" s="2">
        <v>2.5700000000000001E-2</v>
      </c>
      <c r="H9553" s="2">
        <v>1.29E-2</v>
      </c>
      <c r="I9553">
        <v>166</v>
      </c>
    </row>
    <row r="9554" spans="1:9" x14ac:dyDescent="0.35">
      <c r="A9554" t="s">
        <v>227</v>
      </c>
      <c r="B9554" t="s">
        <v>242</v>
      </c>
      <c r="C9554">
        <v>1</v>
      </c>
      <c r="D9554" s="2">
        <v>1.26E-2</v>
      </c>
      <c r="E9554" s="2">
        <v>3.8E-3</v>
      </c>
      <c r="F9554" s="2">
        <v>3.95E-2</v>
      </c>
      <c r="G9554" s="2">
        <v>2.5899999999999999E-2</v>
      </c>
      <c r="H9554" s="2">
        <v>1.1999999999999999E-3</v>
      </c>
      <c r="I9554">
        <v>166</v>
      </c>
    </row>
    <row r="9555" spans="1:9" x14ac:dyDescent="0.35">
      <c r="A9555" t="s">
        <v>227</v>
      </c>
      <c r="B9555" t="s">
        <v>242</v>
      </c>
      <c r="C9555">
        <v>0</v>
      </c>
      <c r="D9555" s="2">
        <v>0.65510000000000002</v>
      </c>
      <c r="E9555" s="2">
        <v>0.91290000000000004</v>
      </c>
      <c r="F9555" s="2">
        <v>0.80810000000000004</v>
      </c>
      <c r="G9555" s="2">
        <v>0.81279999999999997</v>
      </c>
      <c r="H9555" s="2">
        <v>0.86619999999999997</v>
      </c>
      <c r="I9555">
        <v>166</v>
      </c>
    </row>
    <row r="9556" spans="1:9" x14ac:dyDescent="0.35">
      <c r="A9556" t="s">
        <v>227</v>
      </c>
      <c r="B9556" t="s">
        <v>241</v>
      </c>
      <c r="C9556">
        <v>6</v>
      </c>
      <c r="D9556" s="2">
        <v>2.5000000000000001E-3</v>
      </c>
      <c r="F9556" s="2">
        <v>8.0000000000000004E-4</v>
      </c>
      <c r="I9556">
        <v>891</v>
      </c>
    </row>
    <row r="9557" spans="1:9" x14ac:dyDescent="0.35">
      <c r="A9557" t="s">
        <v>227</v>
      </c>
      <c r="B9557" t="s">
        <v>241</v>
      </c>
      <c r="C9557">
        <v>5</v>
      </c>
      <c r="D9557" s="2">
        <v>2.7900000000000001E-2</v>
      </c>
      <c r="E9557" s="2">
        <v>5.7000000000000002E-3</v>
      </c>
      <c r="F9557" s="2">
        <v>9.4999999999999998E-3</v>
      </c>
      <c r="G9557" s="2">
        <v>2.0000000000000001E-4</v>
      </c>
      <c r="H9557" s="2">
        <v>9.7999999999999997E-3</v>
      </c>
      <c r="I9557">
        <v>891</v>
      </c>
    </row>
    <row r="9558" spans="1:9" x14ac:dyDescent="0.35">
      <c r="A9558" t="s">
        <v>227</v>
      </c>
      <c r="B9558" t="s">
        <v>241</v>
      </c>
      <c r="C9558">
        <v>4</v>
      </c>
      <c r="D9558" s="2">
        <v>1.7100000000000001E-2</v>
      </c>
      <c r="E9558" s="2">
        <v>1.5E-3</v>
      </c>
      <c r="F9558" s="2">
        <v>2.01E-2</v>
      </c>
      <c r="G9558" s="2">
        <v>3.3E-3</v>
      </c>
      <c r="H9558" s="2">
        <v>5.1000000000000004E-3</v>
      </c>
      <c r="I9558">
        <v>891</v>
      </c>
    </row>
    <row r="9559" spans="1:9" x14ac:dyDescent="0.35">
      <c r="A9559" t="s">
        <v>227</v>
      </c>
      <c r="B9559" t="s">
        <v>241</v>
      </c>
      <c r="C9559">
        <v>7</v>
      </c>
      <c r="D9559" s="2">
        <v>0.16039999999999999</v>
      </c>
      <c r="E9559" s="2">
        <v>1.84E-2</v>
      </c>
      <c r="F9559" s="2">
        <v>6.4699999999999994E-2</v>
      </c>
      <c r="G9559" s="2">
        <v>8.9999999999999993E-3</v>
      </c>
      <c r="H9559" s="2">
        <v>7.8399999999999997E-2</v>
      </c>
      <c r="I9559">
        <v>891</v>
      </c>
    </row>
    <row r="9560" spans="1:9" x14ac:dyDescent="0.35">
      <c r="A9560" t="s">
        <v>227</v>
      </c>
      <c r="B9560" t="s">
        <v>241</v>
      </c>
      <c r="C9560">
        <v>2</v>
      </c>
      <c r="D9560" s="2">
        <v>0.109</v>
      </c>
      <c r="E9560" s="2">
        <v>1.7100000000000001E-2</v>
      </c>
      <c r="F9560" s="2">
        <v>3.7699999999999997E-2</v>
      </c>
      <c r="H9560" s="2">
        <v>3.1300000000000001E-2</v>
      </c>
      <c r="I9560">
        <v>891</v>
      </c>
    </row>
    <row r="9561" spans="1:9" x14ac:dyDescent="0.35">
      <c r="A9561" t="s">
        <v>227</v>
      </c>
      <c r="B9561" t="s">
        <v>240</v>
      </c>
      <c r="C9561">
        <v>1</v>
      </c>
      <c r="D9561" s="2">
        <v>3.1199999999999999E-2</v>
      </c>
      <c r="E9561" s="2">
        <v>3.6200000000000003E-2</v>
      </c>
      <c r="F9561" s="2">
        <v>1.4200000000000001E-2</v>
      </c>
      <c r="G9561" s="2">
        <v>5.0000000000000001E-3</v>
      </c>
      <c r="H9561" s="2">
        <v>1.41E-2</v>
      </c>
      <c r="I9561">
        <v>1756</v>
      </c>
    </row>
    <row r="9562" spans="1:9" x14ac:dyDescent="0.35">
      <c r="A9562" t="s">
        <v>227</v>
      </c>
      <c r="B9562" t="s">
        <v>241</v>
      </c>
      <c r="C9562">
        <v>3</v>
      </c>
      <c r="D9562" s="2">
        <v>5.6399999999999999E-2</v>
      </c>
      <c r="E9562" s="2">
        <v>2.2100000000000002E-2</v>
      </c>
      <c r="F9562" s="2">
        <v>4.3999999999999997E-2</v>
      </c>
      <c r="H9562" s="2">
        <v>3.6499999999999998E-2</v>
      </c>
      <c r="I9562">
        <v>891</v>
      </c>
    </row>
    <row r="9563" spans="1:9" x14ac:dyDescent="0.35">
      <c r="A9563" t="s">
        <v>227</v>
      </c>
      <c r="B9563" t="s">
        <v>240</v>
      </c>
      <c r="C9563">
        <v>3</v>
      </c>
      <c r="D9563" s="2">
        <v>5.5599999999999997E-2</v>
      </c>
      <c r="E9563" s="2">
        <v>1.5900000000000001E-2</v>
      </c>
      <c r="F9563" s="2">
        <v>1.83E-2</v>
      </c>
      <c r="G9563" s="2">
        <v>1.2500000000000001E-2</v>
      </c>
      <c r="H9563" s="2">
        <v>1.14E-2</v>
      </c>
      <c r="I9563">
        <v>1756</v>
      </c>
    </row>
    <row r="9564" spans="1:9" x14ac:dyDescent="0.35">
      <c r="A9564" t="s">
        <v>227</v>
      </c>
      <c r="B9564" t="s">
        <v>240</v>
      </c>
      <c r="C9564">
        <v>4</v>
      </c>
      <c r="D9564" s="2">
        <v>2.87E-2</v>
      </c>
      <c r="E9564" s="2">
        <v>1.8E-3</v>
      </c>
      <c r="F9564" s="2">
        <v>9.4000000000000004E-3</v>
      </c>
      <c r="G9564" s="2">
        <v>8.9999999999999993E-3</v>
      </c>
      <c r="H9564" s="2">
        <v>1.23E-2</v>
      </c>
      <c r="I9564">
        <v>1756</v>
      </c>
    </row>
    <row r="9565" spans="1:9" x14ac:dyDescent="0.35">
      <c r="A9565" t="s">
        <v>227</v>
      </c>
      <c r="B9565" t="s">
        <v>240</v>
      </c>
      <c r="C9565">
        <v>5</v>
      </c>
      <c r="D9565" s="2">
        <v>1.9400000000000001E-2</v>
      </c>
      <c r="E9565" s="2">
        <v>1.6000000000000001E-3</v>
      </c>
      <c r="F9565" s="2">
        <v>8.2000000000000007E-3</v>
      </c>
      <c r="G9565" s="2">
        <v>8.0000000000000004E-4</v>
      </c>
      <c r="H9565" s="2">
        <v>4.7999999999999996E-3</v>
      </c>
      <c r="I9565">
        <v>1756</v>
      </c>
    </row>
    <row r="9566" spans="1:9" x14ac:dyDescent="0.35">
      <c r="A9566" t="s">
        <v>227</v>
      </c>
      <c r="B9566" t="s">
        <v>240</v>
      </c>
      <c r="C9566">
        <v>2</v>
      </c>
      <c r="D9566" s="2">
        <v>7.2800000000000004E-2</v>
      </c>
      <c r="E9566" s="2">
        <v>2.8000000000000001E-2</v>
      </c>
      <c r="F9566" s="2">
        <v>3.3799999999999997E-2</v>
      </c>
      <c r="G9566" s="2">
        <v>1.6E-2</v>
      </c>
      <c r="H9566" s="2">
        <v>2.5999999999999999E-2</v>
      </c>
      <c r="I9566">
        <v>1756</v>
      </c>
    </row>
    <row r="9567" spans="1:9" x14ac:dyDescent="0.35">
      <c r="A9567" t="s">
        <v>227</v>
      </c>
      <c r="B9567" t="s">
        <v>240</v>
      </c>
      <c r="C9567">
        <v>7</v>
      </c>
      <c r="D9567" s="2">
        <v>9.1200000000000003E-2</v>
      </c>
      <c r="E9567" s="2">
        <v>3.7000000000000002E-3</v>
      </c>
      <c r="F9567" s="2">
        <v>3.5200000000000002E-2</v>
      </c>
      <c r="G9567" s="2">
        <v>1.4500000000000001E-2</v>
      </c>
      <c r="H9567" s="2">
        <v>3.0599999999999999E-2</v>
      </c>
      <c r="I9567">
        <v>1756</v>
      </c>
    </row>
    <row r="9568" spans="1:9" x14ac:dyDescent="0.35">
      <c r="A9568" t="s">
        <v>227</v>
      </c>
      <c r="B9568" t="s">
        <v>241</v>
      </c>
      <c r="C9568">
        <v>0</v>
      </c>
      <c r="D9568" s="2">
        <v>0.59619999999999995</v>
      </c>
      <c r="E9568" s="2">
        <v>0.86950000000000005</v>
      </c>
      <c r="F9568" s="2">
        <v>0.80630000000000002</v>
      </c>
      <c r="G9568" s="2">
        <v>0.9869</v>
      </c>
      <c r="H9568" s="2">
        <v>0.8085</v>
      </c>
      <c r="I9568">
        <v>891</v>
      </c>
    </row>
    <row r="9569" spans="1:9" x14ac:dyDescent="0.35">
      <c r="A9569" t="s">
        <v>227</v>
      </c>
      <c r="B9569" t="s">
        <v>241</v>
      </c>
      <c r="C9569">
        <v>1</v>
      </c>
      <c r="D9569" s="2">
        <v>3.0499999999999999E-2</v>
      </c>
      <c r="E9569" s="2">
        <v>6.5699999999999995E-2</v>
      </c>
      <c r="F9569" s="2">
        <v>1.6899999999999998E-2</v>
      </c>
      <c r="G9569" s="2">
        <v>5.9999999999999995E-4</v>
      </c>
      <c r="H9569" s="2">
        <v>3.0300000000000001E-2</v>
      </c>
      <c r="I9569">
        <v>891</v>
      </c>
    </row>
    <row r="9570" spans="1:9" x14ac:dyDescent="0.35">
      <c r="A9570" t="s">
        <v>227</v>
      </c>
      <c r="B9570" t="s">
        <v>240</v>
      </c>
      <c r="C9570">
        <v>6</v>
      </c>
      <c r="D9570" s="2">
        <v>2.3999999999999998E-3</v>
      </c>
      <c r="E9570" s="2">
        <v>2.5999999999999999E-3</v>
      </c>
      <c r="F9570" s="2">
        <v>2.9999999999999997E-4</v>
      </c>
      <c r="G9570" s="2">
        <v>3.7000000000000002E-3</v>
      </c>
      <c r="H9570" s="2">
        <v>2.8E-3</v>
      </c>
      <c r="I9570">
        <v>1756</v>
      </c>
    </row>
    <row r="9571" spans="1:9" x14ac:dyDescent="0.35">
      <c r="A9571" t="s">
        <v>228</v>
      </c>
      <c r="B9571" t="s">
        <v>228</v>
      </c>
      <c r="C9571">
        <v>6</v>
      </c>
      <c r="D9571" s="2">
        <v>2.8E-3</v>
      </c>
      <c r="E9571" s="2">
        <v>1.6999999999999999E-3</v>
      </c>
      <c r="F9571" s="2">
        <v>4.0000000000000002E-4</v>
      </c>
      <c r="G9571" s="2">
        <v>2.3999999999999998E-3</v>
      </c>
      <c r="H9571" s="2">
        <v>1.8E-3</v>
      </c>
      <c r="I9571">
        <v>2813</v>
      </c>
    </row>
    <row r="9572" spans="1:9" x14ac:dyDescent="0.35">
      <c r="A9572" t="s">
        <v>228</v>
      </c>
      <c r="B9572" t="s">
        <v>228</v>
      </c>
      <c r="C9572">
        <v>0</v>
      </c>
      <c r="D9572" s="2">
        <v>0.66559999999999997</v>
      </c>
      <c r="E9572" s="2">
        <v>0.89839999999999998</v>
      </c>
      <c r="F9572" s="2">
        <v>0.85399999999999998</v>
      </c>
      <c r="G9572" s="2">
        <v>0.94440000000000002</v>
      </c>
      <c r="H9572" s="2">
        <v>0.86960000000000004</v>
      </c>
      <c r="I9572">
        <v>2813</v>
      </c>
    </row>
    <row r="9573" spans="1:9" x14ac:dyDescent="0.35">
      <c r="A9573" t="s">
        <v>228</v>
      </c>
      <c r="B9573" t="s">
        <v>228</v>
      </c>
      <c r="C9573">
        <v>1</v>
      </c>
      <c r="D9573" s="2">
        <v>2.9700000000000001E-2</v>
      </c>
      <c r="E9573" s="2">
        <v>4.2799999999999998E-2</v>
      </c>
      <c r="F9573" s="2">
        <v>1.67E-2</v>
      </c>
      <c r="G9573" s="2">
        <v>5.1000000000000004E-3</v>
      </c>
      <c r="H9573" s="2">
        <v>1.7999999999999999E-2</v>
      </c>
      <c r="I9573">
        <v>2813</v>
      </c>
    </row>
    <row r="9574" spans="1:9" x14ac:dyDescent="0.35">
      <c r="A9574" t="s">
        <v>228</v>
      </c>
      <c r="B9574" t="s">
        <v>228</v>
      </c>
      <c r="C9574">
        <v>2</v>
      </c>
      <c r="D9574" s="2">
        <v>8.6699999999999999E-2</v>
      </c>
      <c r="E9574" s="2">
        <v>2.4799999999999999E-2</v>
      </c>
      <c r="F9574" s="2">
        <v>3.5400000000000001E-2</v>
      </c>
      <c r="G9574" s="2">
        <v>1.1900000000000001E-2</v>
      </c>
      <c r="H9574" s="2">
        <v>2.6700000000000002E-2</v>
      </c>
      <c r="I9574">
        <v>2813</v>
      </c>
    </row>
    <row r="9575" spans="1:9" x14ac:dyDescent="0.35">
      <c r="A9575" t="s">
        <v>228</v>
      </c>
      <c r="B9575" t="s">
        <v>228</v>
      </c>
      <c r="C9575">
        <v>3</v>
      </c>
      <c r="D9575" s="2">
        <v>5.8700000000000002E-2</v>
      </c>
      <c r="E9575" s="2">
        <v>1.9300000000000001E-2</v>
      </c>
      <c r="F9575" s="2">
        <v>2.5999999999999999E-2</v>
      </c>
      <c r="G9575" s="2">
        <v>1.0200000000000001E-2</v>
      </c>
      <c r="H9575" s="2">
        <v>2.1299999999999999E-2</v>
      </c>
      <c r="I9575">
        <v>2813</v>
      </c>
    </row>
    <row r="9576" spans="1:9" x14ac:dyDescent="0.35">
      <c r="A9576" t="s">
        <v>228</v>
      </c>
      <c r="B9576" t="s">
        <v>228</v>
      </c>
      <c r="C9576">
        <v>4</v>
      </c>
      <c r="D9576" s="2">
        <v>2.4E-2</v>
      </c>
      <c r="E9576" s="2">
        <v>1.6000000000000001E-3</v>
      </c>
      <c r="F9576" s="2">
        <v>1.38E-2</v>
      </c>
      <c r="G9576" s="2">
        <v>1.01E-2</v>
      </c>
      <c r="H9576" s="2">
        <v>1.0200000000000001E-2</v>
      </c>
      <c r="I9576">
        <v>2813</v>
      </c>
    </row>
    <row r="9577" spans="1:9" x14ac:dyDescent="0.35">
      <c r="A9577" t="s">
        <v>228</v>
      </c>
      <c r="B9577" t="s">
        <v>228</v>
      </c>
      <c r="C9577">
        <v>5</v>
      </c>
      <c r="D9577" s="2">
        <v>2.1700000000000001E-2</v>
      </c>
      <c r="E9577" s="2">
        <v>2.8E-3</v>
      </c>
      <c r="F9577" s="2">
        <v>8.8000000000000005E-3</v>
      </c>
      <c r="G9577" s="2">
        <v>8.9999999999999998E-4</v>
      </c>
      <c r="H9577" s="2">
        <v>7.9000000000000008E-3</v>
      </c>
      <c r="I9577">
        <v>2813</v>
      </c>
    </row>
    <row r="9578" spans="1:9" x14ac:dyDescent="0.35">
      <c r="A9578" t="s">
        <v>228</v>
      </c>
      <c r="B9578" t="s">
        <v>228</v>
      </c>
      <c r="C9578">
        <v>7</v>
      </c>
      <c r="D9578" s="2">
        <v>0.1108</v>
      </c>
      <c r="E9578" s="2">
        <v>8.6E-3</v>
      </c>
      <c r="F9578" s="2">
        <v>4.5100000000000001E-2</v>
      </c>
      <c r="G9578" s="2">
        <v>1.4999999999999999E-2</v>
      </c>
      <c r="H9578" s="2">
        <v>4.4600000000000001E-2</v>
      </c>
      <c r="I9578">
        <v>2813</v>
      </c>
    </row>
    <row r="9580" spans="1:9" x14ac:dyDescent="0.35">
      <c r="A9580" s="1" t="s">
        <v>2267</v>
      </c>
    </row>
    <row r="9581" spans="1:9" x14ac:dyDescent="0.35">
      <c r="A9581" t="s">
        <v>219</v>
      </c>
      <c r="B9581" t="s">
        <v>301</v>
      </c>
      <c r="C9581" t="s">
        <v>1264</v>
      </c>
      <c r="D9581" t="s">
        <v>2259</v>
      </c>
      <c r="E9581" t="s">
        <v>2260</v>
      </c>
      <c r="F9581" t="s">
        <v>2261</v>
      </c>
      <c r="G9581" t="s">
        <v>2262</v>
      </c>
      <c r="H9581" t="s">
        <v>2263</v>
      </c>
      <c r="I9581" t="s">
        <v>957</v>
      </c>
    </row>
    <row r="9582" spans="1:9" x14ac:dyDescent="0.35">
      <c r="A9582" t="s">
        <v>227</v>
      </c>
      <c r="B9582" t="s">
        <v>334</v>
      </c>
      <c r="C9582">
        <v>0</v>
      </c>
      <c r="D9582" s="2">
        <v>0.47339999999999999</v>
      </c>
      <c r="E9582" s="2">
        <v>0.81200000000000006</v>
      </c>
      <c r="F9582" s="2">
        <v>0.76559999999999995</v>
      </c>
      <c r="G9582" s="2">
        <v>0.88790000000000002</v>
      </c>
      <c r="H9582" s="2">
        <v>0.77380000000000004</v>
      </c>
      <c r="I9582">
        <v>625</v>
      </c>
    </row>
    <row r="9583" spans="1:9" x14ac:dyDescent="0.35">
      <c r="A9583" t="s">
        <v>227</v>
      </c>
      <c r="B9583" t="s">
        <v>337</v>
      </c>
      <c r="C9583">
        <v>7</v>
      </c>
      <c r="D9583" s="2">
        <v>0.11609999999999999</v>
      </c>
      <c r="E9583" s="2">
        <v>5.0000000000000001E-3</v>
      </c>
      <c r="F9583" s="2">
        <v>1.9E-2</v>
      </c>
      <c r="G9583" s="2">
        <v>5.7000000000000002E-3</v>
      </c>
      <c r="H9583" s="2">
        <v>1.9199999999999998E-2</v>
      </c>
      <c r="I9583">
        <v>602</v>
      </c>
    </row>
    <row r="9584" spans="1:9" x14ac:dyDescent="0.35">
      <c r="A9584" t="s">
        <v>227</v>
      </c>
      <c r="B9584" t="s">
        <v>337</v>
      </c>
      <c r="C9584">
        <v>6</v>
      </c>
      <c r="D9584" s="2">
        <v>5.0000000000000001E-3</v>
      </c>
      <c r="I9584">
        <v>602</v>
      </c>
    </row>
    <row r="9585" spans="1:9" x14ac:dyDescent="0.35">
      <c r="A9585" t="s">
        <v>227</v>
      </c>
      <c r="B9585" t="s">
        <v>337</v>
      </c>
      <c r="C9585">
        <v>5</v>
      </c>
      <c r="D9585" s="2">
        <v>7.7999999999999996E-3</v>
      </c>
      <c r="E9585" s="2">
        <v>8.9999999999999998E-4</v>
      </c>
      <c r="F9585" s="2">
        <v>1.6500000000000001E-2</v>
      </c>
      <c r="G9585" s="2">
        <v>5.0000000000000001E-4</v>
      </c>
      <c r="H9585" s="2">
        <v>3.3999999999999998E-3</v>
      </c>
      <c r="I9585">
        <v>602</v>
      </c>
    </row>
    <row r="9586" spans="1:9" x14ac:dyDescent="0.35">
      <c r="A9586" t="s">
        <v>227</v>
      </c>
      <c r="B9586" t="s">
        <v>337</v>
      </c>
      <c r="C9586">
        <v>4</v>
      </c>
      <c r="D9586" s="2">
        <v>2.0400000000000001E-2</v>
      </c>
      <c r="E9586" s="2">
        <v>4.0000000000000002E-4</v>
      </c>
      <c r="F9586" s="2">
        <v>9.9000000000000008E-3</v>
      </c>
      <c r="G9586" s="2">
        <v>7.4999999999999997E-3</v>
      </c>
      <c r="H9586" s="2">
        <v>1.4500000000000001E-2</v>
      </c>
      <c r="I9586">
        <v>602</v>
      </c>
    </row>
    <row r="9587" spans="1:9" x14ac:dyDescent="0.35">
      <c r="A9587" t="s">
        <v>227</v>
      </c>
      <c r="B9587" t="s">
        <v>337</v>
      </c>
      <c r="C9587">
        <v>3</v>
      </c>
      <c r="D9587" s="2">
        <v>6.4000000000000001E-2</v>
      </c>
      <c r="E9587" s="2">
        <v>9.1000000000000004E-3</v>
      </c>
      <c r="F9587" s="2">
        <v>3.2399999999999998E-2</v>
      </c>
      <c r="G9587" s="2">
        <v>5.7999999999999996E-3</v>
      </c>
      <c r="H9587" s="2">
        <v>1.72E-2</v>
      </c>
      <c r="I9587">
        <v>602</v>
      </c>
    </row>
    <row r="9588" spans="1:9" x14ac:dyDescent="0.35">
      <c r="A9588" t="s">
        <v>227</v>
      </c>
      <c r="B9588" t="s">
        <v>337</v>
      </c>
      <c r="C9588">
        <v>2</v>
      </c>
      <c r="D9588" s="2">
        <v>8.7800000000000003E-2</v>
      </c>
      <c r="E9588" s="2">
        <v>1.35E-2</v>
      </c>
      <c r="F9588" s="2">
        <v>3.9699999999999999E-2</v>
      </c>
      <c r="G9588" s="2">
        <v>8.9999999999999993E-3</v>
      </c>
      <c r="H9588" s="2">
        <v>0.02</v>
      </c>
      <c r="I9588">
        <v>602</v>
      </c>
    </row>
    <row r="9589" spans="1:9" x14ac:dyDescent="0.35">
      <c r="A9589" t="s">
        <v>227</v>
      </c>
      <c r="B9589" t="s">
        <v>337</v>
      </c>
      <c r="C9589">
        <v>1</v>
      </c>
      <c r="D9589" s="2">
        <v>2.8400000000000002E-2</v>
      </c>
      <c r="E9589" s="2">
        <v>3.6799999999999999E-2</v>
      </c>
      <c r="F9589" s="2">
        <v>1.7000000000000001E-2</v>
      </c>
      <c r="G9589" s="2">
        <v>1.55E-2</v>
      </c>
      <c r="H9589" s="2">
        <v>1.38E-2</v>
      </c>
      <c r="I9589">
        <v>602</v>
      </c>
    </row>
    <row r="9590" spans="1:9" x14ac:dyDescent="0.35">
      <c r="A9590" t="s">
        <v>227</v>
      </c>
      <c r="B9590" t="s">
        <v>337</v>
      </c>
      <c r="C9590">
        <v>0</v>
      </c>
      <c r="D9590" s="2">
        <v>0.67049999999999998</v>
      </c>
      <c r="E9590" s="2">
        <v>0.93420000000000003</v>
      </c>
      <c r="F9590" s="2">
        <v>0.86550000000000005</v>
      </c>
      <c r="G9590" s="2">
        <v>0.95599999999999996</v>
      </c>
      <c r="H9590" s="2">
        <v>0.91200000000000003</v>
      </c>
      <c r="I9590">
        <v>602</v>
      </c>
    </row>
    <row r="9591" spans="1:9" x14ac:dyDescent="0.35">
      <c r="A9591" t="s">
        <v>227</v>
      </c>
      <c r="B9591" t="s">
        <v>336</v>
      </c>
      <c r="C9591">
        <v>7</v>
      </c>
      <c r="D9591" s="2">
        <v>0.111</v>
      </c>
      <c r="E9591" s="2">
        <v>4.1000000000000003E-3</v>
      </c>
      <c r="F9591" s="2">
        <v>6.5100000000000005E-2</v>
      </c>
      <c r="G9591" s="2">
        <v>9.2999999999999992E-3</v>
      </c>
      <c r="H9591" s="2">
        <v>6.6500000000000004E-2</v>
      </c>
      <c r="I9591">
        <v>621</v>
      </c>
    </row>
    <row r="9592" spans="1:9" x14ac:dyDescent="0.35">
      <c r="A9592" t="s">
        <v>227</v>
      </c>
      <c r="B9592" t="s">
        <v>336</v>
      </c>
      <c r="C9592">
        <v>6</v>
      </c>
      <c r="D9592" s="2">
        <v>2.3E-3</v>
      </c>
      <c r="F9592" s="2">
        <v>1.6000000000000001E-3</v>
      </c>
      <c r="G9592" s="2">
        <v>3.5999999999999999E-3</v>
      </c>
      <c r="H9592" s="2">
        <v>4.0000000000000002E-4</v>
      </c>
      <c r="I9592">
        <v>621</v>
      </c>
    </row>
    <row r="9593" spans="1:9" x14ac:dyDescent="0.35">
      <c r="A9593" t="s">
        <v>227</v>
      </c>
      <c r="B9593" t="s">
        <v>336</v>
      </c>
      <c r="C9593">
        <v>5</v>
      </c>
      <c r="D9593" s="2">
        <v>2.2200000000000001E-2</v>
      </c>
      <c r="E9593" s="2">
        <v>1.2800000000000001E-2</v>
      </c>
      <c r="F9593" s="2">
        <v>4.0000000000000002E-4</v>
      </c>
      <c r="G9593" s="2">
        <v>1.1000000000000001E-3</v>
      </c>
      <c r="H9593" s="2">
        <v>4.7000000000000002E-3</v>
      </c>
      <c r="I9593">
        <v>621</v>
      </c>
    </row>
    <row r="9594" spans="1:9" x14ac:dyDescent="0.35">
      <c r="A9594" t="s">
        <v>227</v>
      </c>
      <c r="B9594" t="s">
        <v>336</v>
      </c>
      <c r="C9594">
        <v>3</v>
      </c>
      <c r="D9594" s="2">
        <v>7.9299999999999995E-2</v>
      </c>
      <c r="E9594" s="2">
        <v>1.7100000000000001E-2</v>
      </c>
      <c r="F9594" s="2">
        <v>0.04</v>
      </c>
      <c r="G9594" s="2">
        <v>2.0299999999999999E-2</v>
      </c>
      <c r="H9594" s="2">
        <v>1.7000000000000001E-2</v>
      </c>
      <c r="I9594">
        <v>621</v>
      </c>
    </row>
    <row r="9595" spans="1:9" x14ac:dyDescent="0.35">
      <c r="A9595" t="s">
        <v>227</v>
      </c>
      <c r="B9595" t="s">
        <v>336</v>
      </c>
      <c r="C9595">
        <v>2</v>
      </c>
      <c r="D9595" s="2">
        <v>0.10340000000000001</v>
      </c>
      <c r="E9595" s="2">
        <v>4.9599999999999998E-2</v>
      </c>
      <c r="F9595" s="2">
        <v>3.5000000000000003E-2</v>
      </c>
      <c r="G9595" s="2">
        <v>2.4799999999999999E-2</v>
      </c>
      <c r="H9595" s="2">
        <v>3.1099999999999999E-2</v>
      </c>
      <c r="I9595">
        <v>621</v>
      </c>
    </row>
    <row r="9596" spans="1:9" x14ac:dyDescent="0.35">
      <c r="A9596" t="s">
        <v>227</v>
      </c>
      <c r="B9596" t="s">
        <v>336</v>
      </c>
      <c r="C9596">
        <v>1</v>
      </c>
      <c r="D9596" s="2">
        <v>5.0099999999999999E-2</v>
      </c>
      <c r="E9596" s="2">
        <v>4.07E-2</v>
      </c>
      <c r="F9596" s="2">
        <v>2.1899999999999999E-2</v>
      </c>
      <c r="G9596" s="2">
        <v>1E-3</v>
      </c>
      <c r="H9596" s="2">
        <v>1.5900000000000001E-2</v>
      </c>
      <c r="I9596">
        <v>621</v>
      </c>
    </row>
    <row r="9597" spans="1:9" x14ac:dyDescent="0.35">
      <c r="A9597" t="s">
        <v>227</v>
      </c>
      <c r="B9597" t="s">
        <v>336</v>
      </c>
      <c r="C9597">
        <v>4</v>
      </c>
      <c r="D9597" s="2">
        <v>3.7400000000000003E-2</v>
      </c>
      <c r="E9597" s="2">
        <v>1.2999999999999999E-3</v>
      </c>
      <c r="F9597" s="2">
        <v>2.0199999999999999E-2</v>
      </c>
      <c r="G9597" s="2">
        <v>1.14E-2</v>
      </c>
      <c r="H9597" s="2">
        <v>1.6500000000000001E-2</v>
      </c>
      <c r="I9597">
        <v>621</v>
      </c>
    </row>
    <row r="9598" spans="1:9" x14ac:dyDescent="0.35">
      <c r="A9598" t="s">
        <v>227</v>
      </c>
      <c r="B9598" t="s">
        <v>335</v>
      </c>
      <c r="C9598">
        <v>7</v>
      </c>
      <c r="D9598" s="2">
        <v>3.78E-2</v>
      </c>
      <c r="E9598" s="2">
        <v>5.8999999999999999E-3</v>
      </c>
      <c r="F9598" s="2">
        <v>2.3E-2</v>
      </c>
      <c r="G9598" s="2">
        <v>1.37E-2</v>
      </c>
      <c r="H9598" s="2">
        <v>3.2599999999999997E-2</v>
      </c>
      <c r="I9598">
        <v>628</v>
      </c>
    </row>
    <row r="9599" spans="1:9" x14ac:dyDescent="0.35">
      <c r="A9599" t="s">
        <v>227</v>
      </c>
      <c r="B9599" t="s">
        <v>334</v>
      </c>
      <c r="C9599">
        <v>1</v>
      </c>
      <c r="D9599" s="2">
        <v>4.0300000000000002E-2</v>
      </c>
      <c r="E9599" s="2">
        <v>7.8299999999999995E-2</v>
      </c>
      <c r="F9599" s="2">
        <v>1.5900000000000001E-2</v>
      </c>
      <c r="G9599" s="2">
        <v>6.1000000000000004E-3</v>
      </c>
      <c r="H9599" s="2">
        <v>1.9099999999999999E-2</v>
      </c>
      <c r="I9599">
        <v>625</v>
      </c>
    </row>
    <row r="9600" spans="1:9" x14ac:dyDescent="0.35">
      <c r="A9600" t="s">
        <v>227</v>
      </c>
      <c r="B9600" t="s">
        <v>334</v>
      </c>
      <c r="C9600">
        <v>2</v>
      </c>
      <c r="D9600" s="2">
        <v>0.1053</v>
      </c>
      <c r="E9600" s="2">
        <v>4.2999999999999997E-2</v>
      </c>
      <c r="F9600" s="2">
        <v>6.2E-2</v>
      </c>
      <c r="G9600" s="2">
        <v>1.9300000000000001E-2</v>
      </c>
      <c r="H9600" s="2">
        <v>4.9099999999999998E-2</v>
      </c>
      <c r="I9600">
        <v>625</v>
      </c>
    </row>
    <row r="9601" spans="1:9" x14ac:dyDescent="0.35">
      <c r="A9601" t="s">
        <v>227</v>
      </c>
      <c r="B9601" t="s">
        <v>334</v>
      </c>
      <c r="C9601">
        <v>3</v>
      </c>
      <c r="D9601" s="2">
        <v>9.2600000000000002E-2</v>
      </c>
      <c r="E9601" s="2">
        <v>3.5299999999999998E-2</v>
      </c>
      <c r="F9601" s="2">
        <v>3.6700000000000003E-2</v>
      </c>
      <c r="G9601" s="2">
        <v>1.83E-2</v>
      </c>
      <c r="H9601" s="2">
        <v>5.3900000000000003E-2</v>
      </c>
      <c r="I9601">
        <v>625</v>
      </c>
    </row>
    <row r="9602" spans="1:9" x14ac:dyDescent="0.35">
      <c r="A9602" t="s">
        <v>227</v>
      </c>
      <c r="B9602" t="s">
        <v>336</v>
      </c>
      <c r="C9602">
        <v>0</v>
      </c>
      <c r="D9602" s="2">
        <v>0.59419999999999995</v>
      </c>
      <c r="E9602" s="2">
        <v>0.87439999999999996</v>
      </c>
      <c r="F9602" s="2">
        <v>0.81569999999999998</v>
      </c>
      <c r="G9602" s="2">
        <v>0.92859999999999998</v>
      </c>
      <c r="H9602" s="2">
        <v>0.84789999999999999</v>
      </c>
      <c r="I9602">
        <v>621</v>
      </c>
    </row>
    <row r="9603" spans="1:9" x14ac:dyDescent="0.35">
      <c r="A9603" t="s">
        <v>227</v>
      </c>
      <c r="B9603" t="s">
        <v>334</v>
      </c>
      <c r="C9603">
        <v>5</v>
      </c>
      <c r="D9603" s="2">
        <v>4.5100000000000001E-2</v>
      </c>
      <c r="E9603" s="2">
        <v>5.9999999999999995E-4</v>
      </c>
      <c r="F9603" s="2">
        <v>1.7100000000000001E-2</v>
      </c>
      <c r="G9603" s="2">
        <v>2E-3</v>
      </c>
      <c r="H9603" s="2">
        <v>1.03E-2</v>
      </c>
      <c r="I9603">
        <v>625</v>
      </c>
    </row>
    <row r="9604" spans="1:9" x14ac:dyDescent="0.35">
      <c r="A9604" t="s">
        <v>227</v>
      </c>
      <c r="B9604" t="s">
        <v>334</v>
      </c>
      <c r="C9604">
        <v>6</v>
      </c>
      <c r="D9604" s="2">
        <v>2.7000000000000001E-3</v>
      </c>
      <c r="E9604" s="2">
        <v>7.9000000000000008E-3</v>
      </c>
      <c r="G9604" s="2">
        <v>7.9000000000000008E-3</v>
      </c>
      <c r="H9604" s="2">
        <v>7.9000000000000008E-3</v>
      </c>
      <c r="I9604">
        <v>625</v>
      </c>
    </row>
    <row r="9605" spans="1:9" x14ac:dyDescent="0.35">
      <c r="A9605" t="s">
        <v>227</v>
      </c>
      <c r="B9605" t="s">
        <v>334</v>
      </c>
      <c r="C9605">
        <v>7</v>
      </c>
      <c r="D9605" s="2">
        <v>0.2099</v>
      </c>
      <c r="E9605" s="2">
        <v>2.06E-2</v>
      </c>
      <c r="F9605" s="2">
        <v>9.0899999999999995E-2</v>
      </c>
      <c r="G9605" s="2">
        <v>3.6700000000000003E-2</v>
      </c>
      <c r="H9605" s="2">
        <v>7.6499999999999999E-2</v>
      </c>
      <c r="I9605">
        <v>625</v>
      </c>
    </row>
    <row r="9606" spans="1:9" x14ac:dyDescent="0.35">
      <c r="A9606" t="s">
        <v>227</v>
      </c>
      <c r="B9606" t="s">
        <v>334</v>
      </c>
      <c r="C9606">
        <v>4</v>
      </c>
      <c r="D9606" s="2">
        <v>3.0800000000000001E-2</v>
      </c>
      <c r="E9606" s="2">
        <v>2.3E-3</v>
      </c>
      <c r="F9606" s="2">
        <v>1.17E-2</v>
      </c>
      <c r="G9606" s="2">
        <v>2.18E-2</v>
      </c>
      <c r="H9606" s="2">
        <v>9.2999999999999992E-3</v>
      </c>
      <c r="I9606">
        <v>625</v>
      </c>
    </row>
    <row r="9607" spans="1:9" x14ac:dyDescent="0.35">
      <c r="A9607" t="s">
        <v>227</v>
      </c>
      <c r="B9607" t="s">
        <v>335</v>
      </c>
      <c r="C9607">
        <v>1</v>
      </c>
      <c r="D9607" s="2">
        <v>9.4000000000000004E-3</v>
      </c>
      <c r="E9607" s="2">
        <v>2.6100000000000002E-2</v>
      </c>
      <c r="F9607" s="2">
        <v>8.3999999999999995E-3</v>
      </c>
      <c r="G9607" s="2">
        <v>5.9999999999999995E-4</v>
      </c>
      <c r="H9607" s="2">
        <v>1.8499999999999999E-2</v>
      </c>
      <c r="I9607">
        <v>628</v>
      </c>
    </row>
    <row r="9608" spans="1:9" x14ac:dyDescent="0.35">
      <c r="A9608" t="s">
        <v>227</v>
      </c>
      <c r="B9608" t="s">
        <v>335</v>
      </c>
      <c r="C9608">
        <v>2</v>
      </c>
      <c r="D9608" s="2">
        <v>6.2600000000000003E-2</v>
      </c>
      <c r="E9608" s="2">
        <v>9.4000000000000004E-3</v>
      </c>
      <c r="F9608" s="2">
        <v>1.4999999999999999E-2</v>
      </c>
      <c r="G9608" s="2">
        <v>3.0000000000000001E-3</v>
      </c>
      <c r="H9608" s="2">
        <v>1.26E-2</v>
      </c>
      <c r="I9608">
        <v>628</v>
      </c>
    </row>
    <row r="9609" spans="1:9" x14ac:dyDescent="0.35">
      <c r="A9609" t="s">
        <v>227</v>
      </c>
      <c r="B9609" t="s">
        <v>335</v>
      </c>
      <c r="C9609">
        <v>3</v>
      </c>
      <c r="D9609" s="2">
        <v>2.64E-2</v>
      </c>
      <c r="E9609" s="2">
        <v>2.1299999999999999E-2</v>
      </c>
      <c r="F9609" s="2">
        <v>1.0800000000000001E-2</v>
      </c>
      <c r="G9609" s="2">
        <v>2.2000000000000001E-3</v>
      </c>
      <c r="H9609" s="2">
        <v>7.0000000000000001E-3</v>
      </c>
      <c r="I9609">
        <v>628</v>
      </c>
    </row>
    <row r="9610" spans="1:9" x14ac:dyDescent="0.35">
      <c r="A9610" t="s">
        <v>227</v>
      </c>
      <c r="B9610" t="s">
        <v>335</v>
      </c>
      <c r="C9610">
        <v>4</v>
      </c>
      <c r="D9610" s="2">
        <v>1.32E-2</v>
      </c>
      <c r="E9610" s="2">
        <v>2.2000000000000001E-3</v>
      </c>
      <c r="F9610" s="2">
        <v>1.7100000000000001E-2</v>
      </c>
      <c r="G9610" s="2">
        <v>5.7000000000000002E-3</v>
      </c>
      <c r="H9610" s="2">
        <v>3.0999999999999999E-3</v>
      </c>
      <c r="I9610">
        <v>628</v>
      </c>
    </row>
    <row r="9611" spans="1:9" x14ac:dyDescent="0.35">
      <c r="A9611" t="s">
        <v>227</v>
      </c>
      <c r="B9611" t="s">
        <v>335</v>
      </c>
      <c r="C9611">
        <v>5</v>
      </c>
      <c r="D9611" s="2">
        <v>1.12E-2</v>
      </c>
      <c r="G9611" s="2">
        <v>5.0000000000000001E-4</v>
      </c>
      <c r="H9611" s="2">
        <v>1.38E-2</v>
      </c>
      <c r="I9611">
        <v>628</v>
      </c>
    </row>
    <row r="9612" spans="1:9" x14ac:dyDescent="0.35">
      <c r="A9612" t="s">
        <v>227</v>
      </c>
      <c r="B9612" t="s">
        <v>335</v>
      </c>
      <c r="C9612">
        <v>0</v>
      </c>
      <c r="D9612" s="2">
        <v>0.83950000000000002</v>
      </c>
      <c r="E9612" s="2">
        <v>0.93510000000000004</v>
      </c>
      <c r="F9612" s="2">
        <v>0.92549999999999999</v>
      </c>
      <c r="G9612" s="2">
        <v>0.97419999999999995</v>
      </c>
      <c r="H9612" s="2">
        <v>0.91239999999999999</v>
      </c>
      <c r="I9612">
        <v>628</v>
      </c>
    </row>
    <row r="9613" spans="1:9" x14ac:dyDescent="0.35">
      <c r="A9613" t="s">
        <v>228</v>
      </c>
      <c r="B9613" t="s">
        <v>228</v>
      </c>
      <c r="C9613">
        <v>6</v>
      </c>
      <c r="D9613" s="2">
        <v>2.8E-3</v>
      </c>
      <c r="E9613" s="2">
        <v>1.6999999999999999E-3</v>
      </c>
      <c r="F9613" s="2">
        <v>4.0000000000000002E-4</v>
      </c>
      <c r="G9613" s="2">
        <v>2.3999999999999998E-3</v>
      </c>
      <c r="H9613" s="2">
        <v>1.8E-3</v>
      </c>
      <c r="I9613">
        <v>2813</v>
      </c>
    </row>
    <row r="9614" spans="1:9" x14ac:dyDescent="0.35">
      <c r="A9614" t="s">
        <v>228</v>
      </c>
      <c r="B9614" t="s">
        <v>228</v>
      </c>
      <c r="C9614">
        <v>0</v>
      </c>
      <c r="D9614" s="2">
        <v>0.66559999999999997</v>
      </c>
      <c r="E9614" s="2">
        <v>0.89839999999999998</v>
      </c>
      <c r="F9614" s="2">
        <v>0.85399999999999998</v>
      </c>
      <c r="G9614" s="2">
        <v>0.94440000000000002</v>
      </c>
      <c r="H9614" s="2">
        <v>0.86960000000000004</v>
      </c>
      <c r="I9614">
        <v>2813</v>
      </c>
    </row>
    <row r="9615" spans="1:9" x14ac:dyDescent="0.35">
      <c r="A9615" t="s">
        <v>228</v>
      </c>
      <c r="B9615" t="s">
        <v>228</v>
      </c>
      <c r="C9615">
        <v>1</v>
      </c>
      <c r="D9615" s="2">
        <v>2.9700000000000001E-2</v>
      </c>
      <c r="E9615" s="2">
        <v>4.2799999999999998E-2</v>
      </c>
      <c r="F9615" s="2">
        <v>1.67E-2</v>
      </c>
      <c r="G9615" s="2">
        <v>5.1000000000000004E-3</v>
      </c>
      <c r="H9615" s="2">
        <v>1.7999999999999999E-2</v>
      </c>
      <c r="I9615">
        <v>2813</v>
      </c>
    </row>
    <row r="9616" spans="1:9" x14ac:dyDescent="0.35">
      <c r="A9616" t="s">
        <v>228</v>
      </c>
      <c r="B9616" t="s">
        <v>228</v>
      </c>
      <c r="C9616">
        <v>2</v>
      </c>
      <c r="D9616" s="2">
        <v>8.6699999999999999E-2</v>
      </c>
      <c r="E9616" s="2">
        <v>2.4799999999999999E-2</v>
      </c>
      <c r="F9616" s="2">
        <v>3.5400000000000001E-2</v>
      </c>
      <c r="G9616" s="2">
        <v>1.1900000000000001E-2</v>
      </c>
      <c r="H9616" s="2">
        <v>2.6700000000000002E-2</v>
      </c>
      <c r="I9616">
        <v>2813</v>
      </c>
    </row>
    <row r="9617" spans="1:9" x14ac:dyDescent="0.35">
      <c r="A9617" t="s">
        <v>228</v>
      </c>
      <c r="B9617" t="s">
        <v>228</v>
      </c>
      <c r="C9617">
        <v>3</v>
      </c>
      <c r="D9617" s="2">
        <v>5.8700000000000002E-2</v>
      </c>
      <c r="E9617" s="2">
        <v>1.9300000000000001E-2</v>
      </c>
      <c r="F9617" s="2">
        <v>2.5999999999999999E-2</v>
      </c>
      <c r="G9617" s="2">
        <v>1.0200000000000001E-2</v>
      </c>
      <c r="H9617" s="2">
        <v>2.1299999999999999E-2</v>
      </c>
      <c r="I9617">
        <v>2813</v>
      </c>
    </row>
    <row r="9618" spans="1:9" x14ac:dyDescent="0.35">
      <c r="A9618" t="s">
        <v>228</v>
      </c>
      <c r="B9618" t="s">
        <v>228</v>
      </c>
      <c r="C9618">
        <v>4</v>
      </c>
      <c r="D9618" s="2">
        <v>2.4E-2</v>
      </c>
      <c r="E9618" s="2">
        <v>1.6000000000000001E-3</v>
      </c>
      <c r="F9618" s="2">
        <v>1.38E-2</v>
      </c>
      <c r="G9618" s="2">
        <v>1.01E-2</v>
      </c>
      <c r="H9618" s="2">
        <v>1.0200000000000001E-2</v>
      </c>
      <c r="I9618">
        <v>2813</v>
      </c>
    </row>
    <row r="9619" spans="1:9" x14ac:dyDescent="0.35">
      <c r="A9619" t="s">
        <v>228</v>
      </c>
      <c r="B9619" t="s">
        <v>228</v>
      </c>
      <c r="C9619">
        <v>5</v>
      </c>
      <c r="D9619" s="2">
        <v>2.1700000000000001E-2</v>
      </c>
      <c r="E9619" s="2">
        <v>2.8E-3</v>
      </c>
      <c r="F9619" s="2">
        <v>8.8000000000000005E-3</v>
      </c>
      <c r="G9619" s="2">
        <v>8.9999999999999998E-4</v>
      </c>
      <c r="H9619" s="2">
        <v>7.9000000000000008E-3</v>
      </c>
      <c r="I9619">
        <v>2813</v>
      </c>
    </row>
    <row r="9620" spans="1:9" x14ac:dyDescent="0.35">
      <c r="A9620" t="s">
        <v>228</v>
      </c>
      <c r="B9620" t="s">
        <v>228</v>
      </c>
      <c r="C9620">
        <v>7</v>
      </c>
      <c r="D9620" s="2">
        <v>0.1108</v>
      </c>
      <c r="E9620" s="2">
        <v>8.6E-3</v>
      </c>
      <c r="F9620" s="2">
        <v>4.5100000000000001E-2</v>
      </c>
      <c r="G9620" s="2">
        <v>1.4999999999999999E-2</v>
      </c>
      <c r="H9620" s="2">
        <v>4.4600000000000001E-2</v>
      </c>
      <c r="I9620">
        <v>2813</v>
      </c>
    </row>
    <row r="9622" spans="1:9" x14ac:dyDescent="0.35">
      <c r="A9622" s="1" t="s">
        <v>2268</v>
      </c>
    </row>
    <row r="9623" spans="1:9" x14ac:dyDescent="0.35">
      <c r="A9623" t="s">
        <v>219</v>
      </c>
      <c r="B9623" t="s">
        <v>301</v>
      </c>
      <c r="C9623" t="s">
        <v>1264</v>
      </c>
      <c r="D9623" t="s">
        <v>2259</v>
      </c>
      <c r="E9623" t="s">
        <v>2260</v>
      </c>
      <c r="F9623" t="s">
        <v>2261</v>
      </c>
      <c r="G9623" t="s">
        <v>2262</v>
      </c>
      <c r="H9623" t="s">
        <v>2263</v>
      </c>
      <c r="I9623" t="s">
        <v>957</v>
      </c>
    </row>
    <row r="9624" spans="1:9" x14ac:dyDescent="0.35">
      <c r="A9624" t="s">
        <v>227</v>
      </c>
      <c r="B9624" t="s">
        <v>263</v>
      </c>
      <c r="C9624">
        <v>0</v>
      </c>
      <c r="D9624" s="2">
        <v>0.67920000000000003</v>
      </c>
      <c r="E9624" s="2">
        <v>0.91900000000000004</v>
      </c>
      <c r="F9624" s="2">
        <v>0.89849999999999997</v>
      </c>
      <c r="G9624" s="2">
        <v>0.96050000000000002</v>
      </c>
      <c r="H9624" s="2">
        <v>0.88839999999999997</v>
      </c>
      <c r="I9624">
        <v>589</v>
      </c>
    </row>
    <row r="9625" spans="1:9" x14ac:dyDescent="0.35">
      <c r="A9625" s="3" t="s">
        <v>227</v>
      </c>
      <c r="B9625" s="3" t="s">
        <v>232</v>
      </c>
      <c r="C9625" s="5">
        <v>3</v>
      </c>
      <c r="D9625" s="4">
        <v>0.5</v>
      </c>
      <c r="E9625" s="5"/>
      <c r="F9625" s="5"/>
      <c r="G9625" s="5"/>
      <c r="H9625" s="4">
        <v>0.5</v>
      </c>
      <c r="I9625" s="5">
        <v>2</v>
      </c>
    </row>
    <row r="9626" spans="1:9" x14ac:dyDescent="0.35">
      <c r="A9626" s="3" t="s">
        <v>227</v>
      </c>
      <c r="B9626" s="3" t="s">
        <v>232</v>
      </c>
      <c r="C9626" s="5">
        <v>0</v>
      </c>
      <c r="D9626" s="4">
        <v>0.5</v>
      </c>
      <c r="E9626" s="4">
        <v>1</v>
      </c>
      <c r="F9626" s="4">
        <v>0.5</v>
      </c>
      <c r="G9626" s="4">
        <v>1</v>
      </c>
      <c r="H9626" s="4">
        <v>0.5</v>
      </c>
      <c r="I9626" s="5">
        <v>2</v>
      </c>
    </row>
    <row r="9627" spans="1:9" x14ac:dyDescent="0.35">
      <c r="A9627" t="s">
        <v>227</v>
      </c>
      <c r="B9627" t="s">
        <v>261</v>
      </c>
      <c r="C9627">
        <v>7</v>
      </c>
      <c r="D9627" s="2">
        <v>7.5999999999999998E-2</v>
      </c>
      <c r="E9627" s="2">
        <v>3.5000000000000001E-3</v>
      </c>
      <c r="F9627" s="2">
        <v>3.6600000000000001E-2</v>
      </c>
      <c r="G9627" s="2">
        <v>1.18E-2</v>
      </c>
      <c r="H9627" s="2">
        <v>2.3699999999999999E-2</v>
      </c>
      <c r="I9627">
        <v>1062</v>
      </c>
    </row>
    <row r="9628" spans="1:9" x14ac:dyDescent="0.35">
      <c r="A9628" t="s">
        <v>227</v>
      </c>
      <c r="B9628" t="s">
        <v>261</v>
      </c>
      <c r="C9628">
        <v>6</v>
      </c>
      <c r="D9628" s="2">
        <v>2.3999999999999998E-3</v>
      </c>
      <c r="E9628" s="2">
        <v>3.8999999999999998E-3</v>
      </c>
      <c r="F9628" s="2">
        <v>2.0000000000000001E-4</v>
      </c>
      <c r="G9628" s="2">
        <v>3.8999999999999998E-3</v>
      </c>
      <c r="H9628" s="2">
        <v>3.8999999999999998E-3</v>
      </c>
      <c r="I9628">
        <v>1062</v>
      </c>
    </row>
    <row r="9629" spans="1:9" x14ac:dyDescent="0.35">
      <c r="A9629" t="s">
        <v>227</v>
      </c>
      <c r="B9629" t="s">
        <v>261</v>
      </c>
      <c r="C9629">
        <v>5</v>
      </c>
      <c r="D9629" s="2">
        <v>1.6400000000000001E-2</v>
      </c>
      <c r="E9629" s="2">
        <v>8.0000000000000004E-4</v>
      </c>
      <c r="F9629" s="2">
        <v>8.3000000000000001E-3</v>
      </c>
      <c r="G9629" s="2">
        <v>1.2999999999999999E-3</v>
      </c>
      <c r="H9629" s="2">
        <v>1.0999999999999999E-2</v>
      </c>
      <c r="I9629">
        <v>1062</v>
      </c>
    </row>
    <row r="9630" spans="1:9" x14ac:dyDescent="0.35">
      <c r="A9630" t="s">
        <v>227</v>
      </c>
      <c r="B9630" t="s">
        <v>261</v>
      </c>
      <c r="C9630">
        <v>4</v>
      </c>
      <c r="D9630" s="2">
        <v>3.0599999999999999E-2</v>
      </c>
      <c r="E9630" s="2">
        <v>2.0000000000000001E-4</v>
      </c>
      <c r="F9630" s="2">
        <v>1.5599999999999999E-2</v>
      </c>
      <c r="G9630" s="2">
        <v>1.41E-2</v>
      </c>
      <c r="H9630" s="2">
        <v>5.4999999999999997E-3</v>
      </c>
      <c r="I9630">
        <v>1062</v>
      </c>
    </row>
    <row r="9631" spans="1:9" x14ac:dyDescent="0.35">
      <c r="A9631" t="s">
        <v>227</v>
      </c>
      <c r="B9631" t="s">
        <v>261</v>
      </c>
      <c r="C9631">
        <v>3</v>
      </c>
      <c r="D9631" s="2">
        <v>5.4199999999999998E-2</v>
      </c>
      <c r="E9631" s="2">
        <v>1.9199999999999998E-2</v>
      </c>
      <c r="F9631" s="2">
        <v>1.5100000000000001E-2</v>
      </c>
      <c r="G9631" s="2">
        <v>1.6199999999999999E-2</v>
      </c>
      <c r="H9631" s="2">
        <v>1.24E-2</v>
      </c>
      <c r="I9631">
        <v>1062</v>
      </c>
    </row>
    <row r="9632" spans="1:9" x14ac:dyDescent="0.35">
      <c r="A9632" t="s">
        <v>227</v>
      </c>
      <c r="B9632" t="s">
        <v>261</v>
      </c>
      <c r="C9632">
        <v>2</v>
      </c>
      <c r="D9632" s="2">
        <v>7.4099999999999999E-2</v>
      </c>
      <c r="E9632" s="2">
        <v>2.3599999999999999E-2</v>
      </c>
      <c r="F9632" s="2">
        <v>2.7300000000000001E-2</v>
      </c>
      <c r="G9632" s="2">
        <v>1.2800000000000001E-2</v>
      </c>
      <c r="H9632" s="2">
        <v>1.84E-2</v>
      </c>
      <c r="I9632">
        <v>1062</v>
      </c>
    </row>
    <row r="9633" spans="1:9" x14ac:dyDescent="0.35">
      <c r="A9633" t="s">
        <v>227</v>
      </c>
      <c r="B9633" t="s">
        <v>261</v>
      </c>
      <c r="C9633">
        <v>1</v>
      </c>
      <c r="D9633" s="2">
        <v>2.58E-2</v>
      </c>
      <c r="E9633" s="2">
        <v>2.9399999999999999E-2</v>
      </c>
      <c r="F9633" s="2">
        <v>1.9199999999999998E-2</v>
      </c>
      <c r="G9633" s="2">
        <v>5.7000000000000002E-3</v>
      </c>
      <c r="H9633" s="2">
        <v>8.2000000000000007E-3</v>
      </c>
      <c r="I9633">
        <v>1062</v>
      </c>
    </row>
    <row r="9634" spans="1:9" x14ac:dyDescent="0.35">
      <c r="A9634" t="s">
        <v>227</v>
      </c>
      <c r="B9634" t="s">
        <v>262</v>
      </c>
      <c r="C9634">
        <v>7</v>
      </c>
      <c r="D9634" s="2">
        <v>0.14680000000000001</v>
      </c>
      <c r="E9634" s="2">
        <v>1.0999999999999999E-2</v>
      </c>
      <c r="F9634" s="2">
        <v>6.4299999999999996E-2</v>
      </c>
      <c r="G9634" s="2">
        <v>1.95E-2</v>
      </c>
      <c r="H9634" s="2">
        <v>7.6600000000000001E-2</v>
      </c>
      <c r="I9634">
        <v>1160</v>
      </c>
    </row>
    <row r="9635" spans="1:9" x14ac:dyDescent="0.35">
      <c r="A9635" t="s">
        <v>227</v>
      </c>
      <c r="B9635" t="s">
        <v>262</v>
      </c>
      <c r="C9635">
        <v>6</v>
      </c>
      <c r="D9635" s="2">
        <v>2E-3</v>
      </c>
      <c r="F9635" s="2">
        <v>5.9999999999999995E-4</v>
      </c>
      <c r="G9635" s="2">
        <v>1.9E-3</v>
      </c>
      <c r="I9635">
        <v>1160</v>
      </c>
    </row>
    <row r="9636" spans="1:9" x14ac:dyDescent="0.35">
      <c r="A9636" t="s">
        <v>227</v>
      </c>
      <c r="B9636" t="s">
        <v>262</v>
      </c>
      <c r="C9636">
        <v>5</v>
      </c>
      <c r="D9636" s="2">
        <v>2.9700000000000001E-2</v>
      </c>
      <c r="E9636" s="2">
        <v>4.7000000000000002E-3</v>
      </c>
      <c r="F9636" s="2">
        <v>9.4999999999999998E-3</v>
      </c>
      <c r="G9636" s="2">
        <v>5.0000000000000001E-4</v>
      </c>
      <c r="H9636" s="2">
        <v>6.7999999999999996E-3</v>
      </c>
      <c r="I9636">
        <v>1160</v>
      </c>
    </row>
    <row r="9637" spans="1:9" x14ac:dyDescent="0.35">
      <c r="A9637" t="s">
        <v>227</v>
      </c>
      <c r="B9637" t="s">
        <v>261</v>
      </c>
      <c r="C9637">
        <v>0</v>
      </c>
      <c r="D9637" s="2">
        <v>0.72060000000000002</v>
      </c>
      <c r="E9637" s="2">
        <v>0.9194</v>
      </c>
      <c r="F9637" s="2">
        <v>0.87780000000000002</v>
      </c>
      <c r="G9637" s="2">
        <v>0.93420000000000003</v>
      </c>
      <c r="H9637" s="2">
        <v>0.91700000000000004</v>
      </c>
      <c r="I9637">
        <v>1062</v>
      </c>
    </row>
    <row r="9638" spans="1:9" x14ac:dyDescent="0.35">
      <c r="A9638" t="s">
        <v>227</v>
      </c>
      <c r="B9638" t="s">
        <v>262</v>
      </c>
      <c r="C9638">
        <v>3</v>
      </c>
      <c r="D9638" s="2">
        <v>6.3799999999999996E-2</v>
      </c>
      <c r="E9638" s="2">
        <v>2.4199999999999999E-2</v>
      </c>
      <c r="F9638" s="2">
        <v>4.7E-2</v>
      </c>
      <c r="G9638" s="2">
        <v>8.6999999999999994E-3</v>
      </c>
      <c r="H9638" s="2">
        <v>3.3300000000000003E-2</v>
      </c>
      <c r="I9638">
        <v>1160</v>
      </c>
    </row>
    <row r="9639" spans="1:9" x14ac:dyDescent="0.35">
      <c r="A9639" t="s">
        <v>227</v>
      </c>
      <c r="B9639" t="s">
        <v>263</v>
      </c>
      <c r="C9639">
        <v>1</v>
      </c>
      <c r="D9639" s="2">
        <v>1.9400000000000001E-2</v>
      </c>
      <c r="E9639" s="2">
        <v>3.5299999999999998E-2</v>
      </c>
      <c r="F9639" s="2">
        <v>1.78E-2</v>
      </c>
      <c r="G9639" s="2">
        <v>1.01E-2</v>
      </c>
      <c r="H9639" s="2">
        <v>2.5399999999999999E-2</v>
      </c>
      <c r="I9639">
        <v>589</v>
      </c>
    </row>
    <row r="9640" spans="1:9" x14ac:dyDescent="0.35">
      <c r="A9640" t="s">
        <v>227</v>
      </c>
      <c r="B9640" t="s">
        <v>263</v>
      </c>
      <c r="C9640">
        <v>2</v>
      </c>
      <c r="D9640" s="2">
        <v>9.1899999999999996E-2</v>
      </c>
      <c r="E9640" s="2">
        <v>1.5699999999999999E-2</v>
      </c>
      <c r="F9640" s="2">
        <v>3.2300000000000002E-2</v>
      </c>
      <c r="G9640" s="2">
        <v>1.1900000000000001E-2</v>
      </c>
      <c r="H9640" s="2">
        <v>1.7500000000000002E-2</v>
      </c>
      <c r="I9640">
        <v>589</v>
      </c>
    </row>
    <row r="9641" spans="1:9" x14ac:dyDescent="0.35">
      <c r="A9641" t="s">
        <v>227</v>
      </c>
      <c r="B9641" t="s">
        <v>262</v>
      </c>
      <c r="C9641">
        <v>4</v>
      </c>
      <c r="D9641" s="2">
        <v>2.3900000000000001E-2</v>
      </c>
      <c r="E9641" s="2">
        <v>3.8E-3</v>
      </c>
      <c r="F9641" s="2">
        <v>1.7999999999999999E-2</v>
      </c>
      <c r="G9641" s="2">
        <v>9.7999999999999997E-3</v>
      </c>
      <c r="H9641" s="2">
        <v>1.09E-2</v>
      </c>
      <c r="I9641">
        <v>1160</v>
      </c>
    </row>
    <row r="9642" spans="1:9" x14ac:dyDescent="0.35">
      <c r="A9642" t="s">
        <v>227</v>
      </c>
      <c r="B9642" t="s">
        <v>263</v>
      </c>
      <c r="C9642">
        <v>4</v>
      </c>
      <c r="D9642" s="2">
        <v>1.0999999999999999E-2</v>
      </c>
      <c r="E9642" s="2">
        <v>5.0000000000000001E-4</v>
      </c>
      <c r="F9642" s="2">
        <v>2.5000000000000001E-3</v>
      </c>
      <c r="G9642" s="2">
        <v>2.5000000000000001E-3</v>
      </c>
      <c r="H9642" s="2">
        <v>1.8599999999999998E-2</v>
      </c>
      <c r="I9642">
        <v>589</v>
      </c>
    </row>
    <row r="9643" spans="1:9" x14ac:dyDescent="0.35">
      <c r="A9643" t="s">
        <v>227</v>
      </c>
      <c r="B9643" t="s">
        <v>263</v>
      </c>
      <c r="C9643">
        <v>5</v>
      </c>
      <c r="D9643" s="2">
        <v>1.8599999999999998E-2</v>
      </c>
      <c r="E9643" s="2">
        <v>3.8E-3</v>
      </c>
      <c r="F9643" s="2">
        <v>8.5000000000000006E-3</v>
      </c>
      <c r="G9643" s="2">
        <v>1E-3</v>
      </c>
      <c r="H9643" s="2">
        <v>3.3999999999999998E-3</v>
      </c>
      <c r="I9643">
        <v>589</v>
      </c>
    </row>
    <row r="9644" spans="1:9" x14ac:dyDescent="0.35">
      <c r="A9644" t="s">
        <v>227</v>
      </c>
      <c r="B9644" t="s">
        <v>263</v>
      </c>
      <c r="C9644">
        <v>3</v>
      </c>
      <c r="D9644" s="2">
        <v>5.6099999999999997E-2</v>
      </c>
      <c r="E9644" s="2">
        <v>1.0800000000000001E-2</v>
      </c>
      <c r="F9644" s="2">
        <v>1.12E-2</v>
      </c>
      <c r="G9644" s="2">
        <v>6.9999999999999999E-4</v>
      </c>
      <c r="H9644" s="2">
        <v>1.5100000000000001E-2</v>
      </c>
      <c r="I9644">
        <v>589</v>
      </c>
    </row>
    <row r="9645" spans="1:9" x14ac:dyDescent="0.35">
      <c r="A9645" t="s">
        <v>227</v>
      </c>
      <c r="B9645" t="s">
        <v>263</v>
      </c>
      <c r="C9645">
        <v>7</v>
      </c>
      <c r="D9645" s="2">
        <v>0.11899999999999999</v>
      </c>
      <c r="E9645" s="2">
        <v>1.49E-2</v>
      </c>
      <c r="F9645" s="2">
        <v>2.8799999999999999E-2</v>
      </c>
      <c r="G9645" s="2">
        <v>1.35E-2</v>
      </c>
      <c r="H9645" s="2">
        <v>3.1099999999999999E-2</v>
      </c>
      <c r="I9645">
        <v>589</v>
      </c>
    </row>
    <row r="9646" spans="1:9" x14ac:dyDescent="0.35">
      <c r="A9646" t="s">
        <v>227</v>
      </c>
      <c r="B9646" t="s">
        <v>262</v>
      </c>
      <c r="C9646">
        <v>0</v>
      </c>
      <c r="D9646" s="2">
        <v>0.59489999999999998</v>
      </c>
      <c r="E9646" s="2">
        <v>0.86209999999999998</v>
      </c>
      <c r="F9646" s="2">
        <v>0.80249999999999999</v>
      </c>
      <c r="G9646" s="2">
        <v>0.94689999999999996</v>
      </c>
      <c r="H9646" s="2">
        <v>0.8054</v>
      </c>
      <c r="I9646">
        <v>1160</v>
      </c>
    </row>
    <row r="9647" spans="1:9" x14ac:dyDescent="0.35">
      <c r="A9647" t="s">
        <v>227</v>
      </c>
      <c r="B9647" t="s">
        <v>262</v>
      </c>
      <c r="C9647">
        <v>1</v>
      </c>
      <c r="D9647" s="2">
        <v>4.0300000000000002E-2</v>
      </c>
      <c r="E9647" s="2">
        <v>6.2700000000000006E-2</v>
      </c>
      <c r="F9647" s="2">
        <v>1.3100000000000001E-2</v>
      </c>
      <c r="G9647" s="2">
        <v>1.6000000000000001E-3</v>
      </c>
      <c r="H9647" s="2">
        <v>2.53E-2</v>
      </c>
      <c r="I9647">
        <v>1160</v>
      </c>
    </row>
    <row r="9648" spans="1:9" x14ac:dyDescent="0.35">
      <c r="A9648" t="s">
        <v>227</v>
      </c>
      <c r="B9648" t="s">
        <v>262</v>
      </c>
      <c r="C9648">
        <v>2</v>
      </c>
      <c r="D9648" s="2">
        <v>9.8699999999999996E-2</v>
      </c>
      <c r="E9648" s="2">
        <v>3.15E-2</v>
      </c>
      <c r="F9648" s="2">
        <v>4.48E-2</v>
      </c>
      <c r="G9648" s="2">
        <v>1.0999999999999999E-2</v>
      </c>
      <c r="H9648" s="2">
        <v>4.1599999999999998E-2</v>
      </c>
      <c r="I9648">
        <v>1160</v>
      </c>
    </row>
    <row r="9649" spans="1:9" x14ac:dyDescent="0.35">
      <c r="A9649" t="s">
        <v>227</v>
      </c>
      <c r="B9649" t="s">
        <v>263</v>
      </c>
      <c r="C9649">
        <v>6</v>
      </c>
      <c r="D9649" s="2">
        <v>4.8999999999999998E-3</v>
      </c>
      <c r="F9649" s="2">
        <v>4.0000000000000002E-4</v>
      </c>
      <c r="H9649" s="2">
        <v>4.0000000000000002E-4</v>
      </c>
      <c r="I9649">
        <v>589</v>
      </c>
    </row>
    <row r="9650" spans="1:9" x14ac:dyDescent="0.35">
      <c r="A9650" t="s">
        <v>228</v>
      </c>
      <c r="B9650" t="s">
        <v>228</v>
      </c>
      <c r="C9650">
        <v>6</v>
      </c>
      <c r="D9650" s="2">
        <v>2.8E-3</v>
      </c>
      <c r="E9650" s="2">
        <v>1.6999999999999999E-3</v>
      </c>
      <c r="F9650" s="2">
        <v>4.0000000000000002E-4</v>
      </c>
      <c r="G9650" s="2">
        <v>2.3999999999999998E-3</v>
      </c>
      <c r="H9650" s="2">
        <v>1.8E-3</v>
      </c>
      <c r="I9650">
        <v>2813</v>
      </c>
    </row>
    <row r="9651" spans="1:9" x14ac:dyDescent="0.35">
      <c r="A9651" t="s">
        <v>228</v>
      </c>
      <c r="B9651" t="s">
        <v>228</v>
      </c>
      <c r="C9651">
        <v>0</v>
      </c>
      <c r="D9651" s="2">
        <v>0.66559999999999997</v>
      </c>
      <c r="E9651" s="2">
        <v>0.89839999999999998</v>
      </c>
      <c r="F9651" s="2">
        <v>0.85399999999999998</v>
      </c>
      <c r="G9651" s="2">
        <v>0.94440000000000002</v>
      </c>
      <c r="H9651" s="2">
        <v>0.86960000000000004</v>
      </c>
      <c r="I9651">
        <v>2813</v>
      </c>
    </row>
    <row r="9652" spans="1:9" x14ac:dyDescent="0.35">
      <c r="A9652" t="s">
        <v>228</v>
      </c>
      <c r="B9652" t="s">
        <v>228</v>
      </c>
      <c r="C9652">
        <v>1</v>
      </c>
      <c r="D9652" s="2">
        <v>2.9700000000000001E-2</v>
      </c>
      <c r="E9652" s="2">
        <v>4.2799999999999998E-2</v>
      </c>
      <c r="F9652" s="2">
        <v>1.67E-2</v>
      </c>
      <c r="G9652" s="2">
        <v>5.1000000000000004E-3</v>
      </c>
      <c r="H9652" s="2">
        <v>1.7999999999999999E-2</v>
      </c>
      <c r="I9652">
        <v>2813</v>
      </c>
    </row>
    <row r="9653" spans="1:9" x14ac:dyDescent="0.35">
      <c r="A9653" t="s">
        <v>228</v>
      </c>
      <c r="B9653" t="s">
        <v>228</v>
      </c>
      <c r="C9653">
        <v>2</v>
      </c>
      <c r="D9653" s="2">
        <v>8.6699999999999999E-2</v>
      </c>
      <c r="E9653" s="2">
        <v>2.4799999999999999E-2</v>
      </c>
      <c r="F9653" s="2">
        <v>3.5400000000000001E-2</v>
      </c>
      <c r="G9653" s="2">
        <v>1.1900000000000001E-2</v>
      </c>
      <c r="H9653" s="2">
        <v>2.6700000000000002E-2</v>
      </c>
      <c r="I9653">
        <v>2813</v>
      </c>
    </row>
    <row r="9654" spans="1:9" x14ac:dyDescent="0.35">
      <c r="A9654" t="s">
        <v>228</v>
      </c>
      <c r="B9654" t="s">
        <v>228</v>
      </c>
      <c r="C9654">
        <v>3</v>
      </c>
      <c r="D9654" s="2">
        <v>5.8700000000000002E-2</v>
      </c>
      <c r="E9654" s="2">
        <v>1.9300000000000001E-2</v>
      </c>
      <c r="F9654" s="2">
        <v>2.5999999999999999E-2</v>
      </c>
      <c r="G9654" s="2">
        <v>1.0200000000000001E-2</v>
      </c>
      <c r="H9654" s="2">
        <v>2.1299999999999999E-2</v>
      </c>
      <c r="I9654">
        <v>2813</v>
      </c>
    </row>
    <row r="9655" spans="1:9" x14ac:dyDescent="0.35">
      <c r="A9655" t="s">
        <v>228</v>
      </c>
      <c r="B9655" t="s">
        <v>228</v>
      </c>
      <c r="C9655">
        <v>4</v>
      </c>
      <c r="D9655" s="2">
        <v>2.4E-2</v>
      </c>
      <c r="E9655" s="2">
        <v>1.6000000000000001E-3</v>
      </c>
      <c r="F9655" s="2">
        <v>1.38E-2</v>
      </c>
      <c r="G9655" s="2">
        <v>1.01E-2</v>
      </c>
      <c r="H9655" s="2">
        <v>1.0200000000000001E-2</v>
      </c>
      <c r="I9655">
        <v>2813</v>
      </c>
    </row>
    <row r="9656" spans="1:9" x14ac:dyDescent="0.35">
      <c r="A9656" t="s">
        <v>228</v>
      </c>
      <c r="B9656" t="s">
        <v>228</v>
      </c>
      <c r="C9656">
        <v>5</v>
      </c>
      <c r="D9656" s="2">
        <v>2.1700000000000001E-2</v>
      </c>
      <c r="E9656" s="2">
        <v>2.8E-3</v>
      </c>
      <c r="F9656" s="2">
        <v>8.8000000000000005E-3</v>
      </c>
      <c r="G9656" s="2">
        <v>8.9999999999999998E-4</v>
      </c>
      <c r="H9656" s="2">
        <v>7.9000000000000008E-3</v>
      </c>
      <c r="I9656">
        <v>2813</v>
      </c>
    </row>
    <row r="9657" spans="1:9" x14ac:dyDescent="0.35">
      <c r="A9657" t="s">
        <v>228</v>
      </c>
      <c r="B9657" t="s">
        <v>228</v>
      </c>
      <c r="C9657">
        <v>7</v>
      </c>
      <c r="D9657" s="2">
        <v>0.1108</v>
      </c>
      <c r="E9657" s="2">
        <v>8.6E-3</v>
      </c>
      <c r="F9657" s="2">
        <v>4.5100000000000001E-2</v>
      </c>
      <c r="G9657" s="2">
        <v>1.4999999999999999E-2</v>
      </c>
      <c r="H9657" s="2">
        <v>4.4600000000000001E-2</v>
      </c>
      <c r="I9657">
        <v>2813</v>
      </c>
    </row>
    <row r="9659" spans="1:9" x14ac:dyDescent="0.35">
      <c r="A9659" s="1" t="s">
        <v>2269</v>
      </c>
    </row>
    <row r="9660" spans="1:9" x14ac:dyDescent="0.35">
      <c r="A9660" t="s">
        <v>219</v>
      </c>
      <c r="B9660" t="s">
        <v>301</v>
      </c>
      <c r="C9660" t="s">
        <v>1264</v>
      </c>
      <c r="D9660" t="s">
        <v>2259</v>
      </c>
      <c r="E9660" t="s">
        <v>2260</v>
      </c>
      <c r="F9660" t="s">
        <v>2261</v>
      </c>
      <c r="G9660" t="s">
        <v>2262</v>
      </c>
      <c r="H9660" t="s">
        <v>2263</v>
      </c>
      <c r="I9660" t="s">
        <v>957</v>
      </c>
    </row>
    <row r="9661" spans="1:9" x14ac:dyDescent="0.35">
      <c r="A9661" t="s">
        <v>227</v>
      </c>
      <c r="B9661" t="s">
        <v>248</v>
      </c>
      <c r="C9661">
        <v>0</v>
      </c>
      <c r="D9661" s="2">
        <v>0.54459999999999997</v>
      </c>
      <c r="E9661" s="2">
        <v>0.89610000000000001</v>
      </c>
      <c r="F9661" s="2">
        <v>0.80520000000000003</v>
      </c>
      <c r="G9661" s="2">
        <v>0.98409999999999997</v>
      </c>
      <c r="H9661" s="2">
        <v>0.82930000000000004</v>
      </c>
      <c r="I9661">
        <v>796</v>
      </c>
    </row>
    <row r="9662" spans="1:9" x14ac:dyDescent="0.35">
      <c r="A9662" t="s">
        <v>227</v>
      </c>
      <c r="B9662" t="s">
        <v>247</v>
      </c>
      <c r="C9662">
        <v>7</v>
      </c>
      <c r="D9662" s="2">
        <v>5.8900000000000001E-2</v>
      </c>
      <c r="E9662" s="2">
        <v>3.5000000000000001E-3</v>
      </c>
      <c r="F9662" s="2">
        <v>2.8400000000000002E-2</v>
      </c>
      <c r="G9662" s="2">
        <v>1.2999999999999999E-2</v>
      </c>
      <c r="H9662" s="2">
        <v>2.7199999999999998E-2</v>
      </c>
      <c r="I9662">
        <v>1476</v>
      </c>
    </row>
    <row r="9663" spans="1:9" x14ac:dyDescent="0.35">
      <c r="A9663" t="s">
        <v>227</v>
      </c>
      <c r="B9663" t="s">
        <v>247</v>
      </c>
      <c r="C9663">
        <v>6</v>
      </c>
      <c r="D9663" s="2">
        <v>3.3E-3</v>
      </c>
      <c r="F9663" s="2">
        <v>2.0000000000000001E-4</v>
      </c>
      <c r="G9663" s="2">
        <v>4.4999999999999997E-3</v>
      </c>
      <c r="H9663" s="2">
        <v>3.0999999999999999E-3</v>
      </c>
      <c r="I9663">
        <v>1476</v>
      </c>
    </row>
    <row r="9664" spans="1:9" x14ac:dyDescent="0.35">
      <c r="A9664" t="s">
        <v>227</v>
      </c>
      <c r="B9664" t="s">
        <v>247</v>
      </c>
      <c r="C9664">
        <v>5</v>
      </c>
      <c r="D9664" s="2">
        <v>1.3899999999999999E-2</v>
      </c>
      <c r="E9664" s="2">
        <v>8.0000000000000004E-4</v>
      </c>
      <c r="F9664" s="2">
        <v>7.1000000000000004E-3</v>
      </c>
      <c r="G9664" s="2">
        <v>8.9999999999999998E-4</v>
      </c>
      <c r="H9664" s="2">
        <v>7.6E-3</v>
      </c>
      <c r="I9664">
        <v>1476</v>
      </c>
    </row>
    <row r="9665" spans="1:9" x14ac:dyDescent="0.35">
      <c r="A9665" t="s">
        <v>227</v>
      </c>
      <c r="B9665" t="s">
        <v>247</v>
      </c>
      <c r="C9665">
        <v>4</v>
      </c>
      <c r="D9665" s="2">
        <v>1.78E-2</v>
      </c>
      <c r="E9665" s="2">
        <v>5.9999999999999995E-4</v>
      </c>
      <c r="F9665" s="2">
        <v>1.7999999999999999E-2</v>
      </c>
      <c r="G9665" s="2">
        <v>1.0800000000000001E-2</v>
      </c>
      <c r="H9665" s="2">
        <v>1.1299999999999999E-2</v>
      </c>
      <c r="I9665">
        <v>1476</v>
      </c>
    </row>
    <row r="9666" spans="1:9" x14ac:dyDescent="0.35">
      <c r="A9666" t="s">
        <v>227</v>
      </c>
      <c r="B9666" t="s">
        <v>247</v>
      </c>
      <c r="C9666">
        <v>3</v>
      </c>
      <c r="D9666" s="2">
        <v>5.3699999999999998E-2</v>
      </c>
      <c r="E9666" s="2">
        <v>2.0199999999999999E-2</v>
      </c>
      <c r="F9666" s="2">
        <v>1.17E-2</v>
      </c>
      <c r="G9666" s="2">
        <v>1.2200000000000001E-2</v>
      </c>
      <c r="H9666" s="2">
        <v>1.18E-2</v>
      </c>
      <c r="I9666">
        <v>1476</v>
      </c>
    </row>
    <row r="9667" spans="1:9" x14ac:dyDescent="0.35">
      <c r="A9667" t="s">
        <v>227</v>
      </c>
      <c r="B9667" t="s">
        <v>247</v>
      </c>
      <c r="C9667">
        <v>2</v>
      </c>
      <c r="D9667" s="2">
        <v>8.6699999999999999E-2</v>
      </c>
      <c r="E9667" s="2">
        <v>3.4099999999999998E-2</v>
      </c>
      <c r="F9667" s="2">
        <v>3.1E-2</v>
      </c>
      <c r="G9667" s="2">
        <v>1.89E-2</v>
      </c>
      <c r="H9667" s="2">
        <v>3.1699999999999999E-2</v>
      </c>
      <c r="I9667">
        <v>1476</v>
      </c>
    </row>
    <row r="9668" spans="1:9" x14ac:dyDescent="0.35">
      <c r="A9668" t="s">
        <v>227</v>
      </c>
      <c r="B9668" t="s">
        <v>247</v>
      </c>
      <c r="C9668">
        <v>1</v>
      </c>
      <c r="D9668" s="2">
        <v>2.4299999999999999E-2</v>
      </c>
      <c r="E9668" s="2">
        <v>4.3299999999999998E-2</v>
      </c>
      <c r="F9668" s="2">
        <v>1.9900000000000001E-2</v>
      </c>
      <c r="G9668" s="2">
        <v>8.6E-3</v>
      </c>
      <c r="H9668" s="2">
        <v>1.5800000000000002E-2</v>
      </c>
      <c r="I9668">
        <v>1476</v>
      </c>
    </row>
    <row r="9669" spans="1:9" x14ac:dyDescent="0.35">
      <c r="A9669" t="s">
        <v>227</v>
      </c>
      <c r="B9669" t="s">
        <v>247</v>
      </c>
      <c r="C9669">
        <v>0</v>
      </c>
      <c r="D9669" s="2">
        <v>0.74129999999999996</v>
      </c>
      <c r="E9669" s="2">
        <v>0.89749999999999996</v>
      </c>
      <c r="F9669" s="2">
        <v>0.88370000000000004</v>
      </c>
      <c r="G9669" s="2">
        <v>0.93100000000000005</v>
      </c>
      <c r="H9669" s="2">
        <v>0.89139999999999997</v>
      </c>
      <c r="I9669">
        <v>1476</v>
      </c>
    </row>
    <row r="9670" spans="1:9" x14ac:dyDescent="0.35">
      <c r="A9670" t="s">
        <v>227</v>
      </c>
      <c r="B9670" t="s">
        <v>249</v>
      </c>
      <c r="C9670">
        <v>6</v>
      </c>
      <c r="D9670" s="2">
        <v>4.1000000000000003E-3</v>
      </c>
      <c r="I9670">
        <v>541</v>
      </c>
    </row>
    <row r="9671" spans="1:9" x14ac:dyDescent="0.35">
      <c r="A9671" t="s">
        <v>227</v>
      </c>
      <c r="B9671" t="s">
        <v>249</v>
      </c>
      <c r="C9671">
        <v>5</v>
      </c>
      <c r="D9671" s="2">
        <v>4.0000000000000001E-3</v>
      </c>
      <c r="E9671" s="2">
        <v>4.0000000000000002E-4</v>
      </c>
      <c r="F9671" s="2">
        <v>4.1000000000000003E-3</v>
      </c>
      <c r="G9671" s="2">
        <v>2.0999999999999999E-3</v>
      </c>
      <c r="H9671" s="2">
        <v>1.0800000000000001E-2</v>
      </c>
      <c r="I9671">
        <v>541</v>
      </c>
    </row>
    <row r="9672" spans="1:9" x14ac:dyDescent="0.35">
      <c r="A9672" t="s">
        <v>227</v>
      </c>
      <c r="B9672" t="s">
        <v>249</v>
      </c>
      <c r="C9672">
        <v>4</v>
      </c>
      <c r="D9672" s="2">
        <v>4.53E-2</v>
      </c>
      <c r="E9672" s="2">
        <v>3.7000000000000002E-3</v>
      </c>
      <c r="F9672" s="2">
        <v>1.09E-2</v>
      </c>
      <c r="G9672" s="2">
        <v>1.7500000000000002E-2</v>
      </c>
      <c r="H9672" s="2">
        <v>8.0000000000000002E-3</v>
      </c>
      <c r="I9672">
        <v>541</v>
      </c>
    </row>
    <row r="9673" spans="1:9" x14ac:dyDescent="0.35">
      <c r="A9673" t="s">
        <v>227</v>
      </c>
      <c r="B9673" t="s">
        <v>249</v>
      </c>
      <c r="C9673">
        <v>7</v>
      </c>
      <c r="D9673" s="2">
        <v>0.13320000000000001</v>
      </c>
      <c r="E9673" s="2">
        <v>7.7999999999999996E-3</v>
      </c>
      <c r="F9673" s="2">
        <v>5.6099999999999997E-2</v>
      </c>
      <c r="G9673" s="2">
        <v>2.81E-2</v>
      </c>
      <c r="H9673" s="2">
        <v>4.5900000000000003E-2</v>
      </c>
      <c r="I9673">
        <v>541</v>
      </c>
    </row>
    <row r="9674" spans="1:9" x14ac:dyDescent="0.35">
      <c r="A9674" t="s">
        <v>227</v>
      </c>
      <c r="B9674" t="s">
        <v>249</v>
      </c>
      <c r="C9674">
        <v>2</v>
      </c>
      <c r="D9674" s="2">
        <v>8.8099999999999998E-2</v>
      </c>
      <c r="E9674" s="2">
        <v>2.12E-2</v>
      </c>
      <c r="F9674" s="2">
        <v>4.4299999999999999E-2</v>
      </c>
      <c r="G9674" s="2">
        <v>9.5999999999999992E-3</v>
      </c>
      <c r="H9674" s="2">
        <v>1.9800000000000002E-2</v>
      </c>
      <c r="I9674">
        <v>541</v>
      </c>
    </row>
    <row r="9675" spans="1:9" x14ac:dyDescent="0.35">
      <c r="A9675" t="s">
        <v>227</v>
      </c>
      <c r="B9675" t="s">
        <v>248</v>
      </c>
      <c r="C9675">
        <v>1</v>
      </c>
      <c r="D9675" s="2">
        <v>3.3500000000000002E-2</v>
      </c>
      <c r="E9675" s="2">
        <v>4.2700000000000002E-2</v>
      </c>
      <c r="F9675" s="2">
        <v>1.47E-2</v>
      </c>
      <c r="H9675" s="2">
        <v>1.9099999999999999E-2</v>
      </c>
      <c r="I9675">
        <v>796</v>
      </c>
    </row>
    <row r="9676" spans="1:9" x14ac:dyDescent="0.35">
      <c r="A9676" t="s">
        <v>227</v>
      </c>
      <c r="B9676" t="s">
        <v>249</v>
      </c>
      <c r="C9676">
        <v>3</v>
      </c>
      <c r="D9676" s="2">
        <v>5.6800000000000003E-2</v>
      </c>
      <c r="E9676" s="2">
        <v>2.1299999999999999E-2</v>
      </c>
      <c r="F9676" s="2">
        <v>3.2300000000000002E-2</v>
      </c>
      <c r="G9676" s="2">
        <v>1.4800000000000001E-2</v>
      </c>
      <c r="H9676" s="2">
        <v>2.5999999999999999E-2</v>
      </c>
      <c r="I9676">
        <v>541</v>
      </c>
    </row>
    <row r="9677" spans="1:9" x14ac:dyDescent="0.35">
      <c r="A9677" t="s">
        <v>227</v>
      </c>
      <c r="B9677" t="s">
        <v>248</v>
      </c>
      <c r="C9677">
        <v>3</v>
      </c>
      <c r="D9677" s="2">
        <v>6.9599999999999995E-2</v>
      </c>
      <c r="E9677" s="2">
        <v>1.61E-2</v>
      </c>
      <c r="F9677" s="2">
        <v>4.9200000000000001E-2</v>
      </c>
      <c r="G9677" s="2">
        <v>2.8999999999999998E-3</v>
      </c>
      <c r="H9677" s="2">
        <v>3.6200000000000003E-2</v>
      </c>
      <c r="I9677">
        <v>796</v>
      </c>
    </row>
    <row r="9678" spans="1:9" x14ac:dyDescent="0.35">
      <c r="A9678" t="s">
        <v>227</v>
      </c>
      <c r="B9678" t="s">
        <v>248</v>
      </c>
      <c r="C9678">
        <v>4</v>
      </c>
      <c r="D9678" s="2">
        <v>2.1000000000000001E-2</v>
      </c>
      <c r="E9678" s="2">
        <v>1.9E-3</v>
      </c>
      <c r="F9678" s="2">
        <v>7.4999999999999997E-3</v>
      </c>
      <c r="G9678" s="2">
        <v>3.5000000000000001E-3</v>
      </c>
      <c r="H9678" s="2">
        <v>9.4999999999999998E-3</v>
      </c>
      <c r="I9678">
        <v>796</v>
      </c>
    </row>
    <row r="9679" spans="1:9" x14ac:dyDescent="0.35">
      <c r="A9679" t="s">
        <v>227</v>
      </c>
      <c r="B9679" t="s">
        <v>248</v>
      </c>
      <c r="C9679">
        <v>5</v>
      </c>
      <c r="D9679" s="2">
        <v>4.9399999999999999E-2</v>
      </c>
      <c r="E9679" s="2">
        <v>8.6E-3</v>
      </c>
      <c r="F9679" s="2">
        <v>1.5299999999999999E-2</v>
      </c>
      <c r="H9679" s="2">
        <v>6.4000000000000003E-3</v>
      </c>
      <c r="I9679">
        <v>796</v>
      </c>
    </row>
    <row r="9680" spans="1:9" x14ac:dyDescent="0.35">
      <c r="A9680" t="s">
        <v>227</v>
      </c>
      <c r="B9680" t="s">
        <v>248</v>
      </c>
      <c r="C9680">
        <v>2</v>
      </c>
      <c r="D9680" s="2">
        <v>8.5699999999999998E-2</v>
      </c>
      <c r="E9680" s="2">
        <v>9.4000000000000004E-3</v>
      </c>
      <c r="F9680" s="2">
        <v>3.7499999999999999E-2</v>
      </c>
      <c r="H9680" s="2">
        <v>2.1899999999999999E-2</v>
      </c>
      <c r="I9680">
        <v>796</v>
      </c>
    </row>
    <row r="9681" spans="1:9" x14ac:dyDescent="0.35">
      <c r="A9681" t="s">
        <v>227</v>
      </c>
      <c r="B9681" t="s">
        <v>248</v>
      </c>
      <c r="C9681">
        <v>7</v>
      </c>
      <c r="D9681" s="2">
        <v>0.19539999999999999</v>
      </c>
      <c r="E9681" s="2">
        <v>1.9199999999999998E-2</v>
      </c>
      <c r="F9681" s="2">
        <v>6.9500000000000006E-2</v>
      </c>
      <c r="G9681" s="2">
        <v>9.4999999999999998E-3</v>
      </c>
      <c r="H9681" s="2">
        <v>7.7399999999999997E-2</v>
      </c>
      <c r="I9681">
        <v>796</v>
      </c>
    </row>
    <row r="9682" spans="1:9" x14ac:dyDescent="0.35">
      <c r="A9682" t="s">
        <v>227</v>
      </c>
      <c r="B9682" t="s">
        <v>249</v>
      </c>
      <c r="C9682">
        <v>0</v>
      </c>
      <c r="D9682" s="2">
        <v>0.62919999999999998</v>
      </c>
      <c r="E9682" s="2">
        <v>0.9042</v>
      </c>
      <c r="F9682" s="2">
        <v>0.84150000000000003</v>
      </c>
      <c r="G9682" s="2">
        <v>0.92520000000000002</v>
      </c>
      <c r="H9682" s="2">
        <v>0.86680000000000001</v>
      </c>
      <c r="I9682">
        <v>541</v>
      </c>
    </row>
    <row r="9683" spans="1:9" x14ac:dyDescent="0.35">
      <c r="A9683" t="s">
        <v>227</v>
      </c>
      <c r="B9683" t="s">
        <v>249</v>
      </c>
      <c r="C9683">
        <v>1</v>
      </c>
      <c r="D9683" s="2">
        <v>3.9399999999999998E-2</v>
      </c>
      <c r="E9683" s="2">
        <v>4.1399999999999999E-2</v>
      </c>
      <c r="F9683" s="2">
        <v>1.0699999999999999E-2</v>
      </c>
      <c r="G9683" s="2">
        <v>2.7000000000000001E-3</v>
      </c>
      <c r="H9683" s="2">
        <v>2.2599999999999999E-2</v>
      </c>
      <c r="I9683">
        <v>541</v>
      </c>
    </row>
    <row r="9684" spans="1:9" x14ac:dyDescent="0.35">
      <c r="A9684" t="s">
        <v>227</v>
      </c>
      <c r="B9684" t="s">
        <v>248</v>
      </c>
      <c r="C9684">
        <v>6</v>
      </c>
      <c r="D9684" s="2">
        <v>8.0000000000000004E-4</v>
      </c>
      <c r="E9684" s="2">
        <v>6.1000000000000004E-3</v>
      </c>
      <c r="F9684" s="2">
        <v>1.1000000000000001E-3</v>
      </c>
      <c r="H9684" s="2">
        <v>2.9999999999999997E-4</v>
      </c>
      <c r="I9684">
        <v>796</v>
      </c>
    </row>
    <row r="9685" spans="1:9" x14ac:dyDescent="0.35">
      <c r="A9685" t="s">
        <v>228</v>
      </c>
      <c r="B9685" t="s">
        <v>228</v>
      </c>
      <c r="C9685">
        <v>6</v>
      </c>
      <c r="D9685" s="2">
        <v>2.8E-3</v>
      </c>
      <c r="E9685" s="2">
        <v>1.6999999999999999E-3</v>
      </c>
      <c r="F9685" s="2">
        <v>4.0000000000000002E-4</v>
      </c>
      <c r="G9685" s="2">
        <v>2.3999999999999998E-3</v>
      </c>
      <c r="H9685" s="2">
        <v>1.8E-3</v>
      </c>
      <c r="I9685">
        <v>2813</v>
      </c>
    </row>
    <row r="9686" spans="1:9" x14ac:dyDescent="0.35">
      <c r="A9686" t="s">
        <v>228</v>
      </c>
      <c r="B9686" t="s">
        <v>228</v>
      </c>
      <c r="C9686">
        <v>0</v>
      </c>
      <c r="D9686" s="2">
        <v>0.66559999999999997</v>
      </c>
      <c r="E9686" s="2">
        <v>0.89839999999999998</v>
      </c>
      <c r="F9686" s="2">
        <v>0.85399999999999998</v>
      </c>
      <c r="G9686" s="2">
        <v>0.94440000000000002</v>
      </c>
      <c r="H9686" s="2">
        <v>0.86960000000000004</v>
      </c>
      <c r="I9686">
        <v>2813</v>
      </c>
    </row>
    <row r="9687" spans="1:9" x14ac:dyDescent="0.35">
      <c r="A9687" t="s">
        <v>228</v>
      </c>
      <c r="B9687" t="s">
        <v>228</v>
      </c>
      <c r="C9687">
        <v>1</v>
      </c>
      <c r="D9687" s="2">
        <v>2.9700000000000001E-2</v>
      </c>
      <c r="E9687" s="2">
        <v>4.2799999999999998E-2</v>
      </c>
      <c r="F9687" s="2">
        <v>1.67E-2</v>
      </c>
      <c r="G9687" s="2">
        <v>5.1000000000000004E-3</v>
      </c>
      <c r="H9687" s="2">
        <v>1.7999999999999999E-2</v>
      </c>
      <c r="I9687">
        <v>2813</v>
      </c>
    </row>
    <row r="9688" spans="1:9" x14ac:dyDescent="0.35">
      <c r="A9688" t="s">
        <v>228</v>
      </c>
      <c r="B9688" t="s">
        <v>228</v>
      </c>
      <c r="C9688">
        <v>2</v>
      </c>
      <c r="D9688" s="2">
        <v>8.6699999999999999E-2</v>
      </c>
      <c r="E9688" s="2">
        <v>2.4799999999999999E-2</v>
      </c>
      <c r="F9688" s="2">
        <v>3.5400000000000001E-2</v>
      </c>
      <c r="G9688" s="2">
        <v>1.1900000000000001E-2</v>
      </c>
      <c r="H9688" s="2">
        <v>2.6700000000000002E-2</v>
      </c>
      <c r="I9688">
        <v>2813</v>
      </c>
    </row>
    <row r="9689" spans="1:9" x14ac:dyDescent="0.35">
      <c r="A9689" t="s">
        <v>228</v>
      </c>
      <c r="B9689" t="s">
        <v>228</v>
      </c>
      <c r="C9689">
        <v>3</v>
      </c>
      <c r="D9689" s="2">
        <v>5.8700000000000002E-2</v>
      </c>
      <c r="E9689" s="2">
        <v>1.9300000000000001E-2</v>
      </c>
      <c r="F9689" s="2">
        <v>2.5999999999999999E-2</v>
      </c>
      <c r="G9689" s="2">
        <v>1.0200000000000001E-2</v>
      </c>
      <c r="H9689" s="2">
        <v>2.1299999999999999E-2</v>
      </c>
      <c r="I9689">
        <v>2813</v>
      </c>
    </row>
    <row r="9690" spans="1:9" x14ac:dyDescent="0.35">
      <c r="A9690" t="s">
        <v>228</v>
      </c>
      <c r="B9690" t="s">
        <v>228</v>
      </c>
      <c r="C9690">
        <v>4</v>
      </c>
      <c r="D9690" s="2">
        <v>2.4E-2</v>
      </c>
      <c r="E9690" s="2">
        <v>1.6000000000000001E-3</v>
      </c>
      <c r="F9690" s="2">
        <v>1.38E-2</v>
      </c>
      <c r="G9690" s="2">
        <v>1.01E-2</v>
      </c>
      <c r="H9690" s="2">
        <v>1.0200000000000001E-2</v>
      </c>
      <c r="I9690">
        <v>2813</v>
      </c>
    </row>
    <row r="9691" spans="1:9" x14ac:dyDescent="0.35">
      <c r="A9691" t="s">
        <v>228</v>
      </c>
      <c r="B9691" t="s">
        <v>228</v>
      </c>
      <c r="C9691">
        <v>5</v>
      </c>
      <c r="D9691" s="2">
        <v>2.1700000000000001E-2</v>
      </c>
      <c r="E9691" s="2">
        <v>2.8E-3</v>
      </c>
      <c r="F9691" s="2">
        <v>8.8000000000000005E-3</v>
      </c>
      <c r="G9691" s="2">
        <v>8.9999999999999998E-4</v>
      </c>
      <c r="H9691" s="2">
        <v>7.9000000000000008E-3</v>
      </c>
      <c r="I9691">
        <v>2813</v>
      </c>
    </row>
    <row r="9692" spans="1:9" x14ac:dyDescent="0.35">
      <c r="A9692" t="s">
        <v>228</v>
      </c>
      <c r="B9692" t="s">
        <v>228</v>
      </c>
      <c r="C9692">
        <v>7</v>
      </c>
      <c r="D9692" s="2">
        <v>0.1108</v>
      </c>
      <c r="E9692" s="2">
        <v>8.6E-3</v>
      </c>
      <c r="F9692" s="2">
        <v>4.5100000000000001E-2</v>
      </c>
      <c r="G9692" s="2">
        <v>1.4999999999999999E-2</v>
      </c>
      <c r="H9692" s="2">
        <v>4.4600000000000001E-2</v>
      </c>
      <c r="I9692">
        <v>2813</v>
      </c>
    </row>
    <row r="9694" spans="1:9" x14ac:dyDescent="0.35">
      <c r="A9694" s="1" t="s">
        <v>2270</v>
      </c>
    </row>
    <row r="9695" spans="1:9" x14ac:dyDescent="0.35">
      <c r="A9695" t="s">
        <v>219</v>
      </c>
      <c r="B9695" t="s">
        <v>301</v>
      </c>
      <c r="C9695" t="s">
        <v>1264</v>
      </c>
      <c r="D9695" t="s">
        <v>2259</v>
      </c>
      <c r="E9695" t="s">
        <v>2260</v>
      </c>
      <c r="F9695" t="s">
        <v>2261</v>
      </c>
      <c r="G9695" t="s">
        <v>2262</v>
      </c>
      <c r="H9695" t="s">
        <v>2263</v>
      </c>
      <c r="I9695" t="s">
        <v>957</v>
      </c>
    </row>
    <row r="9696" spans="1:9" x14ac:dyDescent="0.35">
      <c r="A9696" t="s">
        <v>227</v>
      </c>
      <c r="B9696" t="s">
        <v>245</v>
      </c>
      <c r="C9696">
        <v>0</v>
      </c>
      <c r="D9696" s="2">
        <v>0.69910000000000005</v>
      </c>
      <c r="E9696" s="2">
        <v>0.86899999999999999</v>
      </c>
      <c r="F9696" s="2">
        <v>0.86839999999999995</v>
      </c>
      <c r="G9696" s="2">
        <v>0.8377</v>
      </c>
      <c r="H9696" s="2">
        <v>0.87949999999999995</v>
      </c>
      <c r="I9696">
        <v>783</v>
      </c>
    </row>
    <row r="9697" spans="1:9" x14ac:dyDescent="0.35">
      <c r="A9697" t="s">
        <v>227</v>
      </c>
      <c r="B9697" t="s">
        <v>244</v>
      </c>
      <c r="C9697">
        <v>7</v>
      </c>
      <c r="D9697" s="2">
        <v>0.13089999999999999</v>
      </c>
      <c r="E9697" s="2">
        <v>9.1000000000000004E-3</v>
      </c>
      <c r="F9697" s="2">
        <v>4.8800000000000003E-2</v>
      </c>
      <c r="G9697" s="2">
        <v>5.3E-3</v>
      </c>
      <c r="H9697" s="2">
        <v>5.1900000000000002E-2</v>
      </c>
      <c r="I9697">
        <v>2030</v>
      </c>
    </row>
    <row r="9698" spans="1:9" x14ac:dyDescent="0.35">
      <c r="A9698" t="s">
        <v>227</v>
      </c>
      <c r="B9698" t="s">
        <v>244</v>
      </c>
      <c r="C9698">
        <v>6</v>
      </c>
      <c r="D9698" s="2">
        <v>3.0999999999999999E-3</v>
      </c>
      <c r="E9698" s="2">
        <v>2.3E-3</v>
      </c>
      <c r="F9698" s="2">
        <v>5.9999999999999995E-4</v>
      </c>
      <c r="H9698" s="2">
        <v>1E-4</v>
      </c>
      <c r="I9698">
        <v>2030</v>
      </c>
    </row>
    <row r="9699" spans="1:9" x14ac:dyDescent="0.35">
      <c r="A9699" t="s">
        <v>227</v>
      </c>
      <c r="B9699" t="s">
        <v>244</v>
      </c>
      <c r="C9699">
        <v>5</v>
      </c>
      <c r="D9699" s="2">
        <v>2.2100000000000002E-2</v>
      </c>
      <c r="E9699" s="2">
        <v>3.3E-3</v>
      </c>
      <c r="F9699" s="2">
        <v>1.2E-2</v>
      </c>
      <c r="G9699" s="2">
        <v>2.0000000000000001E-4</v>
      </c>
      <c r="H9699" s="2">
        <v>6.6E-3</v>
      </c>
      <c r="I9699">
        <v>2030</v>
      </c>
    </row>
    <row r="9700" spans="1:9" x14ac:dyDescent="0.35">
      <c r="A9700" t="s">
        <v>227</v>
      </c>
      <c r="B9700" t="s">
        <v>244</v>
      </c>
      <c r="C9700">
        <v>4</v>
      </c>
      <c r="D9700" s="2">
        <v>2.0400000000000001E-2</v>
      </c>
      <c r="E9700" s="2">
        <v>1.6999999999999999E-3</v>
      </c>
      <c r="F9700" s="2">
        <v>9.5999999999999992E-3</v>
      </c>
      <c r="G9700" s="2">
        <v>3.8E-3</v>
      </c>
      <c r="H9700" s="2">
        <v>9.4999999999999998E-3</v>
      </c>
      <c r="I9700">
        <v>2030</v>
      </c>
    </row>
    <row r="9701" spans="1:9" x14ac:dyDescent="0.35">
      <c r="A9701" t="s">
        <v>227</v>
      </c>
      <c r="B9701" t="s">
        <v>244</v>
      </c>
      <c r="C9701">
        <v>2</v>
      </c>
      <c r="D9701" s="2">
        <v>8.7400000000000005E-2</v>
      </c>
      <c r="E9701" s="2">
        <v>1.66E-2</v>
      </c>
      <c r="F9701" s="2">
        <v>3.3799999999999997E-2</v>
      </c>
      <c r="G9701" s="2">
        <v>4.0000000000000002E-4</v>
      </c>
      <c r="H9701" s="2">
        <v>2.2599999999999999E-2</v>
      </c>
      <c r="I9701">
        <v>2030</v>
      </c>
    </row>
    <row r="9702" spans="1:9" x14ac:dyDescent="0.35">
      <c r="A9702" t="s">
        <v>227</v>
      </c>
      <c r="B9702" t="s">
        <v>244</v>
      </c>
      <c r="C9702">
        <v>1</v>
      </c>
      <c r="D9702" s="2">
        <v>3.1300000000000001E-2</v>
      </c>
      <c r="E9702" s="2">
        <v>3.9800000000000002E-2</v>
      </c>
      <c r="F9702" s="2">
        <v>1.7000000000000001E-2</v>
      </c>
      <c r="G9702" s="2">
        <v>1.1999999999999999E-3</v>
      </c>
      <c r="H9702" s="2">
        <v>2.0799999999999999E-2</v>
      </c>
      <c r="I9702">
        <v>2030</v>
      </c>
    </row>
    <row r="9703" spans="1:9" x14ac:dyDescent="0.35">
      <c r="A9703" t="s">
        <v>227</v>
      </c>
      <c r="B9703" t="s">
        <v>244</v>
      </c>
      <c r="C9703">
        <v>0</v>
      </c>
      <c r="D9703" s="2">
        <v>0.65229999999999999</v>
      </c>
      <c r="E9703" s="2">
        <v>0.91010000000000002</v>
      </c>
      <c r="F9703" s="2">
        <v>0.84819999999999995</v>
      </c>
      <c r="G9703" s="2">
        <v>0.98670000000000002</v>
      </c>
      <c r="H9703" s="2">
        <v>0.86570000000000003</v>
      </c>
      <c r="I9703">
        <v>2030</v>
      </c>
    </row>
    <row r="9704" spans="1:9" x14ac:dyDescent="0.35">
      <c r="A9704" t="s">
        <v>227</v>
      </c>
      <c r="B9704" t="s">
        <v>244</v>
      </c>
      <c r="C9704">
        <v>3</v>
      </c>
      <c r="D9704" s="2">
        <v>5.2600000000000001E-2</v>
      </c>
      <c r="E9704" s="2">
        <v>1.6899999999999998E-2</v>
      </c>
      <c r="F9704" s="2">
        <v>2.9899999999999999E-2</v>
      </c>
      <c r="G9704" s="2">
        <v>2.5000000000000001E-3</v>
      </c>
      <c r="H9704" s="2">
        <v>2.2800000000000001E-2</v>
      </c>
      <c r="I9704">
        <v>2030</v>
      </c>
    </row>
    <row r="9705" spans="1:9" x14ac:dyDescent="0.35">
      <c r="A9705" t="s">
        <v>227</v>
      </c>
      <c r="B9705" t="s">
        <v>245</v>
      </c>
      <c r="C9705">
        <v>6</v>
      </c>
      <c r="D9705" s="2">
        <v>2E-3</v>
      </c>
      <c r="G9705" s="2">
        <v>8.3999999999999995E-3</v>
      </c>
      <c r="H9705" s="2">
        <v>5.8999999999999999E-3</v>
      </c>
      <c r="I9705">
        <v>783</v>
      </c>
    </row>
    <row r="9706" spans="1:9" x14ac:dyDescent="0.35">
      <c r="A9706" t="s">
        <v>227</v>
      </c>
      <c r="B9706" t="s">
        <v>245</v>
      </c>
      <c r="C9706">
        <v>5</v>
      </c>
      <c r="D9706" s="2">
        <v>2.0799999999999999E-2</v>
      </c>
      <c r="E9706" s="2">
        <v>1.6000000000000001E-3</v>
      </c>
      <c r="F9706" s="2">
        <v>5.9999999999999995E-4</v>
      </c>
      <c r="G9706" s="2">
        <v>2.8E-3</v>
      </c>
      <c r="H9706" s="2">
        <v>1.0999999999999999E-2</v>
      </c>
      <c r="I9706">
        <v>783</v>
      </c>
    </row>
    <row r="9707" spans="1:9" x14ac:dyDescent="0.35">
      <c r="A9707" t="s">
        <v>227</v>
      </c>
      <c r="B9707" t="s">
        <v>245</v>
      </c>
      <c r="C9707">
        <v>4</v>
      </c>
      <c r="D9707" s="2">
        <v>3.32E-2</v>
      </c>
      <c r="E9707" s="2">
        <v>1.1999999999999999E-3</v>
      </c>
      <c r="F9707" s="2">
        <v>2.4199999999999999E-2</v>
      </c>
      <c r="G9707" s="2">
        <v>2.5999999999999999E-2</v>
      </c>
      <c r="H9707" s="2">
        <v>1.18E-2</v>
      </c>
      <c r="I9707">
        <v>783</v>
      </c>
    </row>
    <row r="9708" spans="1:9" x14ac:dyDescent="0.35">
      <c r="A9708" t="s">
        <v>227</v>
      </c>
      <c r="B9708" t="s">
        <v>245</v>
      </c>
      <c r="C9708">
        <v>3</v>
      </c>
      <c r="D9708" s="2">
        <v>7.4099999999999999E-2</v>
      </c>
      <c r="E9708" s="2">
        <v>2.52E-2</v>
      </c>
      <c r="F9708" s="2">
        <v>1.5900000000000001E-2</v>
      </c>
      <c r="G9708" s="2">
        <v>2.9600000000000001E-2</v>
      </c>
      <c r="H9708" s="2">
        <v>1.7500000000000002E-2</v>
      </c>
      <c r="I9708">
        <v>783</v>
      </c>
    </row>
    <row r="9709" spans="1:9" x14ac:dyDescent="0.35">
      <c r="A9709" t="s">
        <v>227</v>
      </c>
      <c r="B9709" t="s">
        <v>245</v>
      </c>
      <c r="C9709">
        <v>2</v>
      </c>
      <c r="D9709" s="2">
        <v>8.4900000000000003E-2</v>
      </c>
      <c r="E9709" s="2">
        <v>4.5499999999999999E-2</v>
      </c>
      <c r="F9709" s="2">
        <v>3.9300000000000002E-2</v>
      </c>
      <c r="G9709" s="2">
        <v>4.1000000000000002E-2</v>
      </c>
      <c r="H9709" s="2">
        <v>3.6999999999999998E-2</v>
      </c>
      <c r="I9709">
        <v>783</v>
      </c>
    </row>
    <row r="9710" spans="1:9" x14ac:dyDescent="0.35">
      <c r="A9710" t="s">
        <v>227</v>
      </c>
      <c r="B9710" t="s">
        <v>245</v>
      </c>
      <c r="C9710">
        <v>1</v>
      </c>
      <c r="D9710" s="2">
        <v>2.5899999999999999E-2</v>
      </c>
      <c r="E9710" s="2">
        <v>5.0200000000000002E-2</v>
      </c>
      <c r="F9710" s="2">
        <v>1.5900000000000001E-2</v>
      </c>
      <c r="G9710" s="2">
        <v>1.4999999999999999E-2</v>
      </c>
      <c r="H9710" s="2">
        <v>1.09E-2</v>
      </c>
      <c r="I9710">
        <v>783</v>
      </c>
    </row>
    <row r="9711" spans="1:9" x14ac:dyDescent="0.35">
      <c r="A9711" t="s">
        <v>227</v>
      </c>
      <c r="B9711" t="s">
        <v>245</v>
      </c>
      <c r="C9711">
        <v>7</v>
      </c>
      <c r="D9711" s="2">
        <v>5.9900000000000002E-2</v>
      </c>
      <c r="E9711" s="2">
        <v>7.3000000000000001E-3</v>
      </c>
      <c r="F9711" s="2">
        <v>3.56E-2</v>
      </c>
      <c r="G9711" s="2">
        <v>3.95E-2</v>
      </c>
      <c r="H9711" s="2">
        <v>2.64E-2</v>
      </c>
      <c r="I9711">
        <v>783</v>
      </c>
    </row>
    <row r="9712" spans="1:9" x14ac:dyDescent="0.35">
      <c r="A9712" t="s">
        <v>228</v>
      </c>
      <c r="B9712" t="s">
        <v>228</v>
      </c>
      <c r="C9712">
        <v>6</v>
      </c>
      <c r="D9712" s="2">
        <v>2.8E-3</v>
      </c>
      <c r="E9712" s="2">
        <v>1.6999999999999999E-3</v>
      </c>
      <c r="F9712" s="2">
        <v>4.0000000000000002E-4</v>
      </c>
      <c r="G9712" s="2">
        <v>2.3999999999999998E-3</v>
      </c>
      <c r="H9712" s="2">
        <v>1.8E-3</v>
      </c>
      <c r="I9712">
        <v>2813</v>
      </c>
    </row>
    <row r="9713" spans="1:9" x14ac:dyDescent="0.35">
      <c r="A9713" t="s">
        <v>228</v>
      </c>
      <c r="B9713" t="s">
        <v>228</v>
      </c>
      <c r="C9713">
        <v>0</v>
      </c>
      <c r="D9713" s="2">
        <v>0.66559999999999997</v>
      </c>
      <c r="E9713" s="2">
        <v>0.89839999999999998</v>
      </c>
      <c r="F9713" s="2">
        <v>0.85399999999999998</v>
      </c>
      <c r="G9713" s="2">
        <v>0.94440000000000002</v>
      </c>
      <c r="H9713" s="2">
        <v>0.86960000000000004</v>
      </c>
      <c r="I9713">
        <v>2813</v>
      </c>
    </row>
    <row r="9714" spans="1:9" x14ac:dyDescent="0.35">
      <c r="A9714" t="s">
        <v>228</v>
      </c>
      <c r="B9714" t="s">
        <v>228</v>
      </c>
      <c r="C9714">
        <v>1</v>
      </c>
      <c r="D9714" s="2">
        <v>2.9700000000000001E-2</v>
      </c>
      <c r="E9714" s="2">
        <v>4.2799999999999998E-2</v>
      </c>
      <c r="F9714" s="2">
        <v>1.67E-2</v>
      </c>
      <c r="G9714" s="2">
        <v>5.1000000000000004E-3</v>
      </c>
      <c r="H9714" s="2">
        <v>1.7999999999999999E-2</v>
      </c>
      <c r="I9714">
        <v>2813</v>
      </c>
    </row>
    <row r="9715" spans="1:9" x14ac:dyDescent="0.35">
      <c r="A9715" t="s">
        <v>228</v>
      </c>
      <c r="B9715" t="s">
        <v>228</v>
      </c>
      <c r="C9715">
        <v>2</v>
      </c>
      <c r="D9715" s="2">
        <v>8.6699999999999999E-2</v>
      </c>
      <c r="E9715" s="2">
        <v>2.4799999999999999E-2</v>
      </c>
      <c r="F9715" s="2">
        <v>3.5400000000000001E-2</v>
      </c>
      <c r="G9715" s="2">
        <v>1.1900000000000001E-2</v>
      </c>
      <c r="H9715" s="2">
        <v>2.6700000000000002E-2</v>
      </c>
      <c r="I9715">
        <v>2813</v>
      </c>
    </row>
    <row r="9716" spans="1:9" x14ac:dyDescent="0.35">
      <c r="A9716" t="s">
        <v>228</v>
      </c>
      <c r="B9716" t="s">
        <v>228</v>
      </c>
      <c r="C9716">
        <v>3</v>
      </c>
      <c r="D9716" s="2">
        <v>5.8700000000000002E-2</v>
      </c>
      <c r="E9716" s="2">
        <v>1.9300000000000001E-2</v>
      </c>
      <c r="F9716" s="2">
        <v>2.5999999999999999E-2</v>
      </c>
      <c r="G9716" s="2">
        <v>1.0200000000000001E-2</v>
      </c>
      <c r="H9716" s="2">
        <v>2.1299999999999999E-2</v>
      </c>
      <c r="I9716">
        <v>2813</v>
      </c>
    </row>
    <row r="9717" spans="1:9" x14ac:dyDescent="0.35">
      <c r="A9717" t="s">
        <v>228</v>
      </c>
      <c r="B9717" t="s">
        <v>228</v>
      </c>
      <c r="C9717">
        <v>4</v>
      </c>
      <c r="D9717" s="2">
        <v>2.4E-2</v>
      </c>
      <c r="E9717" s="2">
        <v>1.6000000000000001E-3</v>
      </c>
      <c r="F9717" s="2">
        <v>1.38E-2</v>
      </c>
      <c r="G9717" s="2">
        <v>1.01E-2</v>
      </c>
      <c r="H9717" s="2">
        <v>1.0200000000000001E-2</v>
      </c>
      <c r="I9717">
        <v>2813</v>
      </c>
    </row>
    <row r="9718" spans="1:9" x14ac:dyDescent="0.35">
      <c r="A9718" t="s">
        <v>228</v>
      </c>
      <c r="B9718" t="s">
        <v>228</v>
      </c>
      <c r="C9718">
        <v>5</v>
      </c>
      <c r="D9718" s="2">
        <v>2.1700000000000001E-2</v>
      </c>
      <c r="E9718" s="2">
        <v>2.8E-3</v>
      </c>
      <c r="F9718" s="2">
        <v>8.8000000000000005E-3</v>
      </c>
      <c r="G9718" s="2">
        <v>8.9999999999999998E-4</v>
      </c>
      <c r="H9718" s="2">
        <v>7.9000000000000008E-3</v>
      </c>
      <c r="I9718">
        <v>2813</v>
      </c>
    </row>
    <row r="9719" spans="1:9" x14ac:dyDescent="0.35">
      <c r="A9719" t="s">
        <v>228</v>
      </c>
      <c r="B9719" t="s">
        <v>228</v>
      </c>
      <c r="C9719">
        <v>7</v>
      </c>
      <c r="D9719" s="2">
        <v>0.1108</v>
      </c>
      <c r="E9719" s="2">
        <v>8.6E-3</v>
      </c>
      <c r="F9719" s="2">
        <v>4.5100000000000001E-2</v>
      </c>
      <c r="G9719" s="2">
        <v>1.4999999999999999E-2</v>
      </c>
      <c r="H9719" s="2">
        <v>4.4600000000000001E-2</v>
      </c>
      <c r="I9719">
        <v>2813</v>
      </c>
    </row>
    <row r="9721" spans="1:9" x14ac:dyDescent="0.35">
      <c r="A9721" s="1" t="s">
        <v>2271</v>
      </c>
    </row>
    <row r="9722" spans="1:9" x14ac:dyDescent="0.35">
      <c r="A9722" t="s">
        <v>219</v>
      </c>
      <c r="B9722" t="s">
        <v>301</v>
      </c>
      <c r="C9722" t="s">
        <v>1264</v>
      </c>
      <c r="D9722" t="s">
        <v>2259</v>
      </c>
      <c r="E9722" t="s">
        <v>2260</v>
      </c>
      <c r="F9722" t="s">
        <v>2261</v>
      </c>
      <c r="G9722" t="s">
        <v>2262</v>
      </c>
      <c r="H9722" t="s">
        <v>2263</v>
      </c>
      <c r="I9722" t="s">
        <v>957</v>
      </c>
    </row>
    <row r="9723" spans="1:9" x14ac:dyDescent="0.35">
      <c r="A9723" t="s">
        <v>227</v>
      </c>
      <c r="B9723" t="s">
        <v>259</v>
      </c>
      <c r="C9723">
        <v>0</v>
      </c>
      <c r="D9723" s="2">
        <v>0.5706</v>
      </c>
      <c r="E9723" s="2">
        <v>0.76939999999999997</v>
      </c>
      <c r="F9723" s="2">
        <v>0.7157</v>
      </c>
      <c r="G9723" s="2">
        <v>0.96150000000000002</v>
      </c>
      <c r="H9723" s="2">
        <v>0.7742</v>
      </c>
      <c r="I9723">
        <v>69</v>
      </c>
    </row>
    <row r="9724" spans="1:9" x14ac:dyDescent="0.35">
      <c r="A9724" t="s">
        <v>227</v>
      </c>
      <c r="B9724" t="s">
        <v>256</v>
      </c>
      <c r="C9724">
        <v>5</v>
      </c>
      <c r="D9724" s="2">
        <v>1.77E-2</v>
      </c>
      <c r="E9724" s="2">
        <v>3.3999999999999998E-3</v>
      </c>
      <c r="F9724" s="2">
        <v>5.1000000000000004E-3</v>
      </c>
      <c r="G9724" s="2">
        <v>5.0000000000000001E-4</v>
      </c>
      <c r="H9724" s="2">
        <v>5.1000000000000004E-3</v>
      </c>
      <c r="I9724">
        <v>1803</v>
      </c>
    </row>
    <row r="9725" spans="1:9" x14ac:dyDescent="0.35">
      <c r="A9725" t="s">
        <v>227</v>
      </c>
      <c r="B9725" t="s">
        <v>256</v>
      </c>
      <c r="C9725">
        <v>7</v>
      </c>
      <c r="D9725" s="2">
        <v>9.8799999999999999E-2</v>
      </c>
      <c r="E9725" s="2">
        <v>8.0999999999999996E-3</v>
      </c>
      <c r="F9725" s="2">
        <v>4.8500000000000001E-2</v>
      </c>
      <c r="G9725" s="2">
        <v>1.23E-2</v>
      </c>
      <c r="H9725" s="2">
        <v>5.2999999999999999E-2</v>
      </c>
      <c r="I9725">
        <v>1803</v>
      </c>
    </row>
    <row r="9726" spans="1:9" x14ac:dyDescent="0.35">
      <c r="A9726" s="3" t="s">
        <v>227</v>
      </c>
      <c r="B9726" s="3" t="s">
        <v>232</v>
      </c>
      <c r="C9726" s="5">
        <v>0</v>
      </c>
      <c r="D9726" s="4">
        <v>0.2606</v>
      </c>
      <c r="E9726" s="4">
        <v>0.71389999999999998</v>
      </c>
      <c r="F9726" s="4">
        <v>0.65590000000000004</v>
      </c>
      <c r="G9726" s="4">
        <v>0.97609999999999997</v>
      </c>
      <c r="H9726" s="4">
        <v>0.59130000000000005</v>
      </c>
      <c r="I9726" s="5">
        <v>11</v>
      </c>
    </row>
    <row r="9727" spans="1:9" x14ac:dyDescent="0.35">
      <c r="A9727" s="3" t="s">
        <v>227</v>
      </c>
      <c r="B9727" s="3" t="s">
        <v>232</v>
      </c>
      <c r="C9727" s="5">
        <v>1</v>
      </c>
      <c r="D9727" s="4">
        <v>4.4200000000000003E-2</v>
      </c>
      <c r="E9727" s="4">
        <v>0.26219999999999999</v>
      </c>
      <c r="F9727" s="5"/>
      <c r="G9727" s="5"/>
      <c r="H9727" s="5"/>
      <c r="I9727" s="5">
        <v>11</v>
      </c>
    </row>
    <row r="9728" spans="1:9" x14ac:dyDescent="0.35">
      <c r="A9728" s="3" t="s">
        <v>227</v>
      </c>
      <c r="B9728" s="3" t="s">
        <v>232</v>
      </c>
      <c r="C9728" s="5">
        <v>5</v>
      </c>
      <c r="D9728" s="4">
        <v>2.3900000000000001E-2</v>
      </c>
      <c r="E9728" s="4">
        <v>2.3900000000000001E-2</v>
      </c>
      <c r="F9728" s="5"/>
      <c r="G9728" s="4">
        <v>2.3900000000000001E-2</v>
      </c>
      <c r="H9728" s="5"/>
      <c r="I9728" s="5">
        <v>11</v>
      </c>
    </row>
    <row r="9729" spans="1:9" x14ac:dyDescent="0.35">
      <c r="A9729" s="3" t="s">
        <v>227</v>
      </c>
      <c r="B9729" s="3" t="s">
        <v>232</v>
      </c>
      <c r="C9729" s="5">
        <v>7</v>
      </c>
      <c r="D9729" s="4">
        <v>0.67130000000000001</v>
      </c>
      <c r="E9729" s="5"/>
      <c r="F9729" s="4">
        <v>8.1900000000000001E-2</v>
      </c>
      <c r="G9729" s="5"/>
      <c r="H9729" s="4">
        <v>0.10580000000000001</v>
      </c>
      <c r="I9729" s="5">
        <v>11</v>
      </c>
    </row>
    <row r="9730" spans="1:9" x14ac:dyDescent="0.35">
      <c r="A9730" t="s">
        <v>227</v>
      </c>
      <c r="B9730" t="s">
        <v>256</v>
      </c>
      <c r="C9730">
        <v>4</v>
      </c>
      <c r="D9730" s="2">
        <v>1.9400000000000001E-2</v>
      </c>
      <c r="E9730" s="2">
        <v>2E-3</v>
      </c>
      <c r="F9730" s="2">
        <v>1.15E-2</v>
      </c>
      <c r="G9730" s="2">
        <v>1.2500000000000001E-2</v>
      </c>
      <c r="H9730" s="2">
        <v>5.7999999999999996E-3</v>
      </c>
      <c r="I9730">
        <v>1803</v>
      </c>
    </row>
    <row r="9731" spans="1:9" x14ac:dyDescent="0.35">
      <c r="A9731" t="s">
        <v>227</v>
      </c>
      <c r="B9731" t="s">
        <v>258</v>
      </c>
      <c r="C9731">
        <v>0</v>
      </c>
      <c r="D9731" s="2">
        <v>0.72970000000000002</v>
      </c>
      <c r="E9731" s="2">
        <v>0.89129999999999998</v>
      </c>
      <c r="F9731" s="2">
        <v>0.88149999999999995</v>
      </c>
      <c r="G9731" s="2">
        <v>0.94520000000000004</v>
      </c>
      <c r="H9731" s="2">
        <v>0.9244</v>
      </c>
      <c r="I9731">
        <v>525</v>
      </c>
    </row>
    <row r="9732" spans="1:9" x14ac:dyDescent="0.35">
      <c r="A9732" t="s">
        <v>227</v>
      </c>
      <c r="B9732" t="s">
        <v>258</v>
      </c>
      <c r="C9732">
        <v>2</v>
      </c>
      <c r="D9732" s="2">
        <v>6.8199999999999997E-2</v>
      </c>
      <c r="E9732" s="2">
        <v>2.6800000000000001E-2</v>
      </c>
      <c r="F9732" s="2">
        <v>2.9899999999999999E-2</v>
      </c>
      <c r="G9732" s="2">
        <v>2.9000000000000001E-2</v>
      </c>
      <c r="H9732" s="2">
        <v>1.9300000000000001E-2</v>
      </c>
      <c r="I9732">
        <v>525</v>
      </c>
    </row>
    <row r="9733" spans="1:9" x14ac:dyDescent="0.35">
      <c r="A9733" t="s">
        <v>227</v>
      </c>
      <c r="B9733" t="s">
        <v>258</v>
      </c>
      <c r="C9733">
        <v>3</v>
      </c>
      <c r="D9733" s="2">
        <v>4.2099999999999999E-2</v>
      </c>
      <c r="E9733" s="2">
        <v>2.3400000000000001E-2</v>
      </c>
      <c r="F9733" s="2">
        <v>2.9100000000000001E-2</v>
      </c>
      <c r="G9733" s="2">
        <v>7.6E-3</v>
      </c>
      <c r="H9733" s="2">
        <v>2.2499999999999999E-2</v>
      </c>
      <c r="I9733">
        <v>525</v>
      </c>
    </row>
    <row r="9734" spans="1:9" x14ac:dyDescent="0.35">
      <c r="A9734" t="s">
        <v>227</v>
      </c>
      <c r="B9734" t="s">
        <v>258</v>
      </c>
      <c r="C9734">
        <v>4</v>
      </c>
      <c r="D9734" s="2">
        <v>2.5000000000000001E-2</v>
      </c>
      <c r="E9734" s="2">
        <v>1E-3</v>
      </c>
      <c r="F9734" s="2">
        <v>1.2E-2</v>
      </c>
      <c r="G9734" s="2">
        <v>2.0000000000000001E-4</v>
      </c>
      <c r="H9734" s="2">
        <v>2.3E-3</v>
      </c>
      <c r="I9734">
        <v>525</v>
      </c>
    </row>
    <row r="9735" spans="1:9" x14ac:dyDescent="0.35">
      <c r="A9735" t="s">
        <v>227</v>
      </c>
      <c r="B9735" t="s">
        <v>258</v>
      </c>
      <c r="C9735">
        <v>5</v>
      </c>
      <c r="D9735" s="2">
        <v>2.4199999999999999E-2</v>
      </c>
      <c r="E9735" s="2">
        <v>1.2999999999999999E-3</v>
      </c>
      <c r="F9735" s="2">
        <v>2.5000000000000001E-3</v>
      </c>
      <c r="G9735" s="2">
        <v>8.9999999999999998E-4</v>
      </c>
      <c r="H9735" s="2">
        <v>7.6E-3</v>
      </c>
      <c r="I9735">
        <v>525</v>
      </c>
    </row>
    <row r="9736" spans="1:9" x14ac:dyDescent="0.35">
      <c r="A9736" t="s">
        <v>227</v>
      </c>
      <c r="B9736" t="s">
        <v>258</v>
      </c>
      <c r="C9736">
        <v>6</v>
      </c>
      <c r="D9736" s="2">
        <v>7.4999999999999997E-3</v>
      </c>
      <c r="F9736" s="2">
        <v>5.9999999999999995E-4</v>
      </c>
      <c r="I9736">
        <v>525</v>
      </c>
    </row>
    <row r="9737" spans="1:9" x14ac:dyDescent="0.35">
      <c r="A9737" t="s">
        <v>227</v>
      </c>
      <c r="B9737" t="s">
        <v>258</v>
      </c>
      <c r="C9737">
        <v>7</v>
      </c>
      <c r="D9737" s="2">
        <v>7.1099999999999997E-2</v>
      </c>
      <c r="E9737" s="2">
        <v>5.1000000000000004E-3</v>
      </c>
      <c r="F9737" s="2">
        <v>2.3E-2</v>
      </c>
      <c r="G9737" s="2">
        <v>1.15E-2</v>
      </c>
      <c r="H9737" s="2">
        <v>1.03E-2</v>
      </c>
      <c r="I9737">
        <v>525</v>
      </c>
    </row>
    <row r="9738" spans="1:9" x14ac:dyDescent="0.35">
      <c r="A9738" t="s">
        <v>227</v>
      </c>
      <c r="B9738" t="s">
        <v>258</v>
      </c>
      <c r="C9738">
        <v>1</v>
      </c>
      <c r="D9738" s="2">
        <v>3.2199999999999999E-2</v>
      </c>
      <c r="E9738" s="2">
        <v>5.11E-2</v>
      </c>
      <c r="F9738" s="2">
        <v>2.1499999999999998E-2</v>
      </c>
      <c r="G9738" s="2">
        <v>5.7000000000000002E-3</v>
      </c>
      <c r="H9738" s="2">
        <v>1.3599999999999999E-2</v>
      </c>
      <c r="I9738">
        <v>525</v>
      </c>
    </row>
    <row r="9739" spans="1:9" x14ac:dyDescent="0.35">
      <c r="A9739" t="s">
        <v>227</v>
      </c>
      <c r="B9739" t="s">
        <v>256</v>
      </c>
      <c r="C9739">
        <v>3</v>
      </c>
      <c r="D9739" s="2">
        <v>6.1800000000000001E-2</v>
      </c>
      <c r="E9739" s="2">
        <v>1.78E-2</v>
      </c>
      <c r="F9739" s="2">
        <v>2.2499999999999999E-2</v>
      </c>
      <c r="G9739" s="2">
        <v>1.04E-2</v>
      </c>
      <c r="H9739" s="2">
        <v>1.7500000000000002E-2</v>
      </c>
      <c r="I9739">
        <v>1803</v>
      </c>
    </row>
    <row r="9740" spans="1:9" x14ac:dyDescent="0.35">
      <c r="A9740" t="s">
        <v>227</v>
      </c>
      <c r="B9740" t="s">
        <v>256</v>
      </c>
      <c r="C9740">
        <v>6</v>
      </c>
      <c r="D9740" s="2">
        <v>2.3999999999999998E-3</v>
      </c>
      <c r="F9740" s="2">
        <v>5.0000000000000001E-4</v>
      </c>
      <c r="G9740" s="2">
        <v>3.5999999999999999E-3</v>
      </c>
      <c r="H9740" s="2">
        <v>2.5999999999999999E-3</v>
      </c>
      <c r="I9740">
        <v>1803</v>
      </c>
    </row>
    <row r="9741" spans="1:9" x14ac:dyDescent="0.35">
      <c r="A9741" t="s">
        <v>227</v>
      </c>
      <c r="B9741" t="s">
        <v>256</v>
      </c>
      <c r="C9741">
        <v>1</v>
      </c>
      <c r="D9741" s="2">
        <v>2.8899999999999999E-2</v>
      </c>
      <c r="E9741" s="2">
        <v>4.0500000000000001E-2</v>
      </c>
      <c r="F9741" s="2">
        <v>1.24E-2</v>
      </c>
      <c r="G9741" s="2">
        <v>4.4999999999999997E-3</v>
      </c>
      <c r="H9741" s="2">
        <v>2.1100000000000001E-2</v>
      </c>
      <c r="I9741">
        <v>1803</v>
      </c>
    </row>
    <row r="9742" spans="1:9" x14ac:dyDescent="0.35">
      <c r="A9742" t="s">
        <v>227</v>
      </c>
      <c r="B9742" t="s">
        <v>259</v>
      </c>
      <c r="C9742">
        <v>1</v>
      </c>
      <c r="D9742" s="2">
        <v>6.3E-3</v>
      </c>
      <c r="E9742" s="2">
        <v>5.7000000000000002E-2</v>
      </c>
      <c r="H9742" s="2">
        <v>5.1000000000000004E-3</v>
      </c>
      <c r="I9742">
        <v>69</v>
      </c>
    </row>
    <row r="9743" spans="1:9" x14ac:dyDescent="0.35">
      <c r="A9743" t="s">
        <v>227</v>
      </c>
      <c r="B9743" t="s">
        <v>259</v>
      </c>
      <c r="C9743">
        <v>2</v>
      </c>
      <c r="D9743" s="2">
        <v>0.1139</v>
      </c>
      <c r="E9743" s="2">
        <v>4.7E-2</v>
      </c>
      <c r="F9743" s="2">
        <v>5.0299999999999997E-2</v>
      </c>
      <c r="G9743" s="2">
        <v>3.5400000000000001E-2</v>
      </c>
      <c r="H9743" s="2">
        <v>6.2199999999999998E-2</v>
      </c>
      <c r="I9743">
        <v>69</v>
      </c>
    </row>
    <row r="9744" spans="1:9" x14ac:dyDescent="0.35">
      <c r="A9744" t="s">
        <v>227</v>
      </c>
      <c r="B9744" t="s">
        <v>259</v>
      </c>
      <c r="C9744">
        <v>3</v>
      </c>
      <c r="D9744" s="2">
        <v>0.1293</v>
      </c>
      <c r="E9744" s="2">
        <v>0.109</v>
      </c>
      <c r="F9744" s="2">
        <v>0.1077</v>
      </c>
      <c r="G9744" s="2">
        <v>1.6000000000000001E-3</v>
      </c>
      <c r="H9744" s="2">
        <v>0.1009</v>
      </c>
      <c r="I9744">
        <v>69</v>
      </c>
    </row>
    <row r="9745" spans="1:9" x14ac:dyDescent="0.35">
      <c r="A9745" t="s">
        <v>227</v>
      </c>
      <c r="B9745" t="s">
        <v>259</v>
      </c>
      <c r="C9745">
        <v>4</v>
      </c>
      <c r="D9745" s="2">
        <v>0.13159999999999999</v>
      </c>
      <c r="F9745" s="2">
        <v>9.9400000000000002E-2</v>
      </c>
      <c r="H9745" s="2">
        <v>3.0700000000000002E-2</v>
      </c>
      <c r="I9745">
        <v>69</v>
      </c>
    </row>
    <row r="9746" spans="1:9" x14ac:dyDescent="0.35">
      <c r="A9746" t="s">
        <v>227</v>
      </c>
      <c r="B9746" t="s">
        <v>256</v>
      </c>
      <c r="C9746">
        <v>2</v>
      </c>
      <c r="D9746" s="2">
        <v>8.6900000000000005E-2</v>
      </c>
      <c r="E9746" s="2">
        <v>2.0500000000000001E-2</v>
      </c>
      <c r="F9746" s="2">
        <v>3.0800000000000001E-2</v>
      </c>
      <c r="G9746" s="2">
        <v>5.5999999999999999E-3</v>
      </c>
      <c r="H9746" s="2">
        <v>2.4299999999999999E-2</v>
      </c>
      <c r="I9746">
        <v>1803</v>
      </c>
    </row>
    <row r="9747" spans="1:9" x14ac:dyDescent="0.35">
      <c r="A9747" t="s">
        <v>227</v>
      </c>
      <c r="B9747" t="s">
        <v>257</v>
      </c>
      <c r="C9747">
        <v>0</v>
      </c>
      <c r="D9747" s="2">
        <v>0.55110000000000003</v>
      </c>
      <c r="E9747" s="2">
        <v>0.88339999999999996</v>
      </c>
      <c r="F9747" s="2">
        <v>0.7873</v>
      </c>
      <c r="G9747" s="2">
        <v>0.91690000000000005</v>
      </c>
      <c r="H9747" s="2">
        <v>0.83079999999999998</v>
      </c>
      <c r="I9747">
        <v>405</v>
      </c>
    </row>
    <row r="9748" spans="1:9" x14ac:dyDescent="0.35">
      <c r="A9748" t="s">
        <v>227</v>
      </c>
      <c r="B9748" t="s">
        <v>257</v>
      </c>
      <c r="C9748">
        <v>1</v>
      </c>
      <c r="D9748" s="2">
        <v>3.2899999999999999E-2</v>
      </c>
      <c r="E9748" s="2">
        <v>4.0300000000000002E-2</v>
      </c>
      <c r="F9748" s="2">
        <v>3.1300000000000001E-2</v>
      </c>
      <c r="G9748" s="2">
        <v>7.4999999999999997E-3</v>
      </c>
      <c r="H9748" s="2">
        <v>1.12E-2</v>
      </c>
      <c r="I9748">
        <v>405</v>
      </c>
    </row>
    <row r="9749" spans="1:9" x14ac:dyDescent="0.35">
      <c r="A9749" t="s">
        <v>227</v>
      </c>
      <c r="B9749" t="s">
        <v>259</v>
      </c>
      <c r="C9749">
        <v>7</v>
      </c>
      <c r="D9749" s="2">
        <v>4.82E-2</v>
      </c>
      <c r="E9749" s="2">
        <v>1.7600000000000001E-2</v>
      </c>
      <c r="F9749" s="2">
        <v>2.69E-2</v>
      </c>
      <c r="G9749" s="2">
        <v>1.6000000000000001E-3</v>
      </c>
      <c r="H9749" s="2">
        <v>2.69E-2</v>
      </c>
      <c r="I9749">
        <v>69</v>
      </c>
    </row>
    <row r="9750" spans="1:9" x14ac:dyDescent="0.35">
      <c r="A9750" t="s">
        <v>227</v>
      </c>
      <c r="B9750" t="s">
        <v>257</v>
      </c>
      <c r="C9750">
        <v>3</v>
      </c>
      <c r="D9750" s="2">
        <v>5.45E-2</v>
      </c>
      <c r="E9750" s="2">
        <v>1.29E-2</v>
      </c>
      <c r="F9750" s="2">
        <v>2.92E-2</v>
      </c>
      <c r="G9750" s="2">
        <v>1.26E-2</v>
      </c>
      <c r="H9750" s="2">
        <v>2.7300000000000001E-2</v>
      </c>
      <c r="I9750">
        <v>405</v>
      </c>
    </row>
    <row r="9751" spans="1:9" x14ac:dyDescent="0.35">
      <c r="A9751" t="s">
        <v>227</v>
      </c>
      <c r="B9751" t="s">
        <v>257</v>
      </c>
      <c r="C9751">
        <v>4</v>
      </c>
      <c r="D9751" s="2">
        <v>3.09E-2</v>
      </c>
      <c r="E9751" s="2">
        <v>4.0000000000000002E-4</v>
      </c>
      <c r="F9751" s="2">
        <v>1.5900000000000001E-2</v>
      </c>
      <c r="G9751" s="2">
        <v>1.04E-2</v>
      </c>
      <c r="H9751" s="2">
        <v>3.2300000000000002E-2</v>
      </c>
      <c r="I9751">
        <v>405</v>
      </c>
    </row>
    <row r="9752" spans="1:9" x14ac:dyDescent="0.35">
      <c r="A9752" t="s">
        <v>227</v>
      </c>
      <c r="B9752" t="s">
        <v>257</v>
      </c>
      <c r="C9752">
        <v>5</v>
      </c>
      <c r="D9752" s="2">
        <v>3.7499999999999999E-2</v>
      </c>
      <c r="E9752" s="2">
        <v>2E-3</v>
      </c>
      <c r="F9752" s="2">
        <v>2.9700000000000001E-2</v>
      </c>
      <c r="G9752" s="2">
        <v>2.5999999999999999E-3</v>
      </c>
      <c r="H9752" s="2">
        <v>2.01E-2</v>
      </c>
      <c r="I9752">
        <v>405</v>
      </c>
    </row>
    <row r="9753" spans="1:9" x14ac:dyDescent="0.35">
      <c r="A9753" t="s">
        <v>227</v>
      </c>
      <c r="B9753" t="s">
        <v>257</v>
      </c>
      <c r="C9753">
        <v>6</v>
      </c>
      <c r="D9753" s="2">
        <v>2.9999999999999997E-4</v>
      </c>
      <c r="E9753" s="2">
        <v>9.9000000000000008E-3</v>
      </c>
      <c r="I9753">
        <v>405</v>
      </c>
    </row>
    <row r="9754" spans="1:9" x14ac:dyDescent="0.35">
      <c r="A9754" t="s">
        <v>227</v>
      </c>
      <c r="B9754" t="s">
        <v>257</v>
      </c>
      <c r="C9754">
        <v>7</v>
      </c>
      <c r="D9754" s="2">
        <v>0.19239999999999999</v>
      </c>
      <c r="E9754" s="2">
        <v>1.2999999999999999E-2</v>
      </c>
      <c r="F9754" s="2">
        <v>5.2400000000000002E-2</v>
      </c>
      <c r="G9754" s="2">
        <v>0.03</v>
      </c>
      <c r="H9754" s="2">
        <v>4.2700000000000002E-2</v>
      </c>
      <c r="I9754">
        <v>405</v>
      </c>
    </row>
    <row r="9755" spans="1:9" x14ac:dyDescent="0.35">
      <c r="A9755" t="s">
        <v>227</v>
      </c>
      <c r="B9755" t="s">
        <v>256</v>
      </c>
      <c r="C9755">
        <v>0</v>
      </c>
      <c r="D9755" s="2">
        <v>0.68410000000000004</v>
      </c>
      <c r="E9755" s="2">
        <v>0.90759999999999996</v>
      </c>
      <c r="F9755" s="2">
        <v>0.86890000000000001</v>
      </c>
      <c r="G9755" s="2">
        <v>0.95069999999999999</v>
      </c>
      <c r="H9755" s="2">
        <v>0.87050000000000005</v>
      </c>
      <c r="I9755">
        <v>1803</v>
      </c>
    </row>
    <row r="9756" spans="1:9" x14ac:dyDescent="0.35">
      <c r="A9756" t="s">
        <v>227</v>
      </c>
      <c r="B9756" t="s">
        <v>257</v>
      </c>
      <c r="C9756">
        <v>2</v>
      </c>
      <c r="D9756" s="2">
        <v>0.1004</v>
      </c>
      <c r="E9756" s="2">
        <v>3.8100000000000002E-2</v>
      </c>
      <c r="F9756" s="2">
        <v>5.4199999999999998E-2</v>
      </c>
      <c r="G9756" s="2">
        <v>0.02</v>
      </c>
      <c r="H9756" s="2">
        <v>3.56E-2</v>
      </c>
      <c r="I9756">
        <v>405</v>
      </c>
    </row>
    <row r="9757" spans="1:9" x14ac:dyDescent="0.35">
      <c r="A9757" t="s">
        <v>228</v>
      </c>
      <c r="B9757" t="s">
        <v>228</v>
      </c>
      <c r="C9757">
        <v>6</v>
      </c>
      <c r="D9757" s="2">
        <v>2.8E-3</v>
      </c>
      <c r="E9757" s="2">
        <v>1.6999999999999999E-3</v>
      </c>
      <c r="F9757" s="2">
        <v>4.0000000000000002E-4</v>
      </c>
      <c r="G9757" s="2">
        <v>2.3999999999999998E-3</v>
      </c>
      <c r="H9757" s="2">
        <v>1.8E-3</v>
      </c>
      <c r="I9757">
        <v>2813</v>
      </c>
    </row>
    <row r="9758" spans="1:9" x14ac:dyDescent="0.35">
      <c r="A9758" t="s">
        <v>228</v>
      </c>
      <c r="B9758" t="s">
        <v>228</v>
      </c>
      <c r="C9758">
        <v>0</v>
      </c>
      <c r="D9758" s="2">
        <v>0.66559999999999997</v>
      </c>
      <c r="E9758" s="2">
        <v>0.89839999999999998</v>
      </c>
      <c r="F9758" s="2">
        <v>0.85399999999999998</v>
      </c>
      <c r="G9758" s="2">
        <v>0.94440000000000002</v>
      </c>
      <c r="H9758" s="2">
        <v>0.86960000000000004</v>
      </c>
      <c r="I9758">
        <v>2813</v>
      </c>
    </row>
    <row r="9759" spans="1:9" x14ac:dyDescent="0.35">
      <c r="A9759" t="s">
        <v>228</v>
      </c>
      <c r="B9759" t="s">
        <v>228</v>
      </c>
      <c r="C9759">
        <v>1</v>
      </c>
      <c r="D9759" s="2">
        <v>2.9700000000000001E-2</v>
      </c>
      <c r="E9759" s="2">
        <v>4.2799999999999998E-2</v>
      </c>
      <c r="F9759" s="2">
        <v>1.67E-2</v>
      </c>
      <c r="G9759" s="2">
        <v>5.1000000000000004E-3</v>
      </c>
      <c r="H9759" s="2">
        <v>1.7999999999999999E-2</v>
      </c>
      <c r="I9759">
        <v>2813</v>
      </c>
    </row>
    <row r="9760" spans="1:9" x14ac:dyDescent="0.35">
      <c r="A9760" t="s">
        <v>228</v>
      </c>
      <c r="B9760" t="s">
        <v>228</v>
      </c>
      <c r="C9760">
        <v>2</v>
      </c>
      <c r="D9760" s="2">
        <v>8.6699999999999999E-2</v>
      </c>
      <c r="E9760" s="2">
        <v>2.4799999999999999E-2</v>
      </c>
      <c r="F9760" s="2">
        <v>3.5400000000000001E-2</v>
      </c>
      <c r="G9760" s="2">
        <v>1.1900000000000001E-2</v>
      </c>
      <c r="H9760" s="2">
        <v>2.6700000000000002E-2</v>
      </c>
      <c r="I9760">
        <v>2813</v>
      </c>
    </row>
    <row r="9761" spans="1:9" x14ac:dyDescent="0.35">
      <c r="A9761" t="s">
        <v>228</v>
      </c>
      <c r="B9761" t="s">
        <v>228</v>
      </c>
      <c r="C9761">
        <v>3</v>
      </c>
      <c r="D9761" s="2">
        <v>5.8700000000000002E-2</v>
      </c>
      <c r="E9761" s="2">
        <v>1.9300000000000001E-2</v>
      </c>
      <c r="F9761" s="2">
        <v>2.5999999999999999E-2</v>
      </c>
      <c r="G9761" s="2">
        <v>1.0200000000000001E-2</v>
      </c>
      <c r="H9761" s="2">
        <v>2.1299999999999999E-2</v>
      </c>
      <c r="I9761">
        <v>2813</v>
      </c>
    </row>
    <row r="9762" spans="1:9" x14ac:dyDescent="0.35">
      <c r="A9762" t="s">
        <v>228</v>
      </c>
      <c r="B9762" t="s">
        <v>228</v>
      </c>
      <c r="C9762">
        <v>4</v>
      </c>
      <c r="D9762" s="2">
        <v>2.4E-2</v>
      </c>
      <c r="E9762" s="2">
        <v>1.6000000000000001E-3</v>
      </c>
      <c r="F9762" s="2">
        <v>1.38E-2</v>
      </c>
      <c r="G9762" s="2">
        <v>1.01E-2</v>
      </c>
      <c r="H9762" s="2">
        <v>1.0200000000000001E-2</v>
      </c>
      <c r="I9762">
        <v>2813</v>
      </c>
    </row>
    <row r="9763" spans="1:9" x14ac:dyDescent="0.35">
      <c r="A9763" t="s">
        <v>228</v>
      </c>
      <c r="B9763" t="s">
        <v>228</v>
      </c>
      <c r="C9763">
        <v>5</v>
      </c>
      <c r="D9763" s="2">
        <v>2.1700000000000001E-2</v>
      </c>
      <c r="E9763" s="2">
        <v>2.8E-3</v>
      </c>
      <c r="F9763" s="2">
        <v>8.8000000000000005E-3</v>
      </c>
      <c r="G9763" s="2">
        <v>8.9999999999999998E-4</v>
      </c>
      <c r="H9763" s="2">
        <v>7.9000000000000008E-3</v>
      </c>
      <c r="I9763">
        <v>2813</v>
      </c>
    </row>
    <row r="9764" spans="1:9" x14ac:dyDescent="0.35">
      <c r="A9764" t="s">
        <v>228</v>
      </c>
      <c r="B9764" t="s">
        <v>228</v>
      </c>
      <c r="C9764">
        <v>7</v>
      </c>
      <c r="D9764" s="2">
        <v>0.1108</v>
      </c>
      <c r="E9764" s="2">
        <v>8.6E-3</v>
      </c>
      <c r="F9764" s="2">
        <v>4.5100000000000001E-2</v>
      </c>
      <c r="G9764" s="2">
        <v>1.4999999999999999E-2</v>
      </c>
      <c r="H9764" s="2">
        <v>4.4600000000000001E-2</v>
      </c>
      <c r="I9764">
        <v>2813</v>
      </c>
    </row>
    <row r="9766" spans="1:9" x14ac:dyDescent="0.35">
      <c r="A9766" s="1" t="s">
        <v>2272</v>
      </c>
    </row>
    <row r="9767" spans="1:9" x14ac:dyDescent="0.35">
      <c r="A9767" t="s">
        <v>219</v>
      </c>
      <c r="B9767" t="s">
        <v>301</v>
      </c>
      <c r="C9767" t="s">
        <v>1264</v>
      </c>
      <c r="D9767" t="s">
        <v>2259</v>
      </c>
      <c r="E9767" t="s">
        <v>2260</v>
      </c>
      <c r="F9767" t="s">
        <v>2261</v>
      </c>
      <c r="G9767" t="s">
        <v>2262</v>
      </c>
      <c r="H9767" t="s">
        <v>2263</v>
      </c>
      <c r="I9767" t="s">
        <v>957</v>
      </c>
    </row>
    <row r="9768" spans="1:9" x14ac:dyDescent="0.35">
      <c r="A9768" t="s">
        <v>227</v>
      </c>
      <c r="B9768" t="s">
        <v>343</v>
      </c>
      <c r="C9768">
        <v>0</v>
      </c>
      <c r="D9768" s="2">
        <v>0.55110000000000003</v>
      </c>
      <c r="E9768" s="2">
        <v>0.88339999999999996</v>
      </c>
      <c r="F9768" s="2">
        <v>0.7873</v>
      </c>
      <c r="G9768" s="2">
        <v>0.91690000000000005</v>
      </c>
      <c r="H9768" s="2">
        <v>0.83079999999999998</v>
      </c>
      <c r="I9768">
        <v>405</v>
      </c>
    </row>
    <row r="9769" spans="1:9" x14ac:dyDescent="0.35">
      <c r="A9769" t="s">
        <v>227</v>
      </c>
      <c r="B9769" t="s">
        <v>344</v>
      </c>
      <c r="C9769">
        <v>7</v>
      </c>
      <c r="D9769" s="2">
        <v>9.4200000000000006E-2</v>
      </c>
      <c r="E9769" s="2">
        <v>7.7000000000000002E-3</v>
      </c>
      <c r="F9769" s="2">
        <v>4.36E-2</v>
      </c>
      <c r="G9769" s="2">
        <v>1.1900000000000001E-2</v>
      </c>
      <c r="H9769" s="2">
        <v>4.4999999999999998E-2</v>
      </c>
      <c r="I9769">
        <v>2408</v>
      </c>
    </row>
    <row r="9770" spans="1:9" x14ac:dyDescent="0.35">
      <c r="A9770" t="s">
        <v>227</v>
      </c>
      <c r="B9770" t="s">
        <v>344</v>
      </c>
      <c r="C9770">
        <v>6</v>
      </c>
      <c r="D9770" s="2">
        <v>3.3E-3</v>
      </c>
      <c r="F9770" s="2">
        <v>5.0000000000000001E-4</v>
      </c>
      <c r="G9770" s="2">
        <v>2.8999999999999998E-3</v>
      </c>
      <c r="H9770" s="2">
        <v>2.0999999999999999E-3</v>
      </c>
      <c r="I9770">
        <v>2408</v>
      </c>
    </row>
    <row r="9771" spans="1:9" x14ac:dyDescent="0.35">
      <c r="A9771" t="s">
        <v>227</v>
      </c>
      <c r="B9771" t="s">
        <v>344</v>
      </c>
      <c r="C9771">
        <v>5</v>
      </c>
      <c r="D9771" s="2">
        <v>1.8499999999999999E-2</v>
      </c>
      <c r="E9771" s="2">
        <v>3.0000000000000001E-3</v>
      </c>
      <c r="F9771" s="2">
        <v>4.4999999999999997E-3</v>
      </c>
      <c r="G9771" s="2">
        <v>5.9999999999999995E-4</v>
      </c>
      <c r="H9771" s="2">
        <v>5.4000000000000003E-3</v>
      </c>
      <c r="I9771">
        <v>2408</v>
      </c>
    </row>
    <row r="9772" spans="1:9" x14ac:dyDescent="0.35">
      <c r="A9772" t="s">
        <v>227</v>
      </c>
      <c r="B9772" t="s">
        <v>344</v>
      </c>
      <c r="C9772">
        <v>4</v>
      </c>
      <c r="D9772" s="2">
        <v>2.2599999999999999E-2</v>
      </c>
      <c r="E9772" s="2">
        <v>1.8E-3</v>
      </c>
      <c r="F9772" s="2">
        <v>1.3299999999999999E-2</v>
      </c>
      <c r="G9772" s="2">
        <v>0.01</v>
      </c>
      <c r="H9772" s="2">
        <v>5.7000000000000002E-3</v>
      </c>
      <c r="I9772">
        <v>2408</v>
      </c>
    </row>
    <row r="9773" spans="1:9" x14ac:dyDescent="0.35">
      <c r="A9773" t="s">
        <v>227</v>
      </c>
      <c r="B9773" t="s">
        <v>344</v>
      </c>
      <c r="C9773">
        <v>2</v>
      </c>
      <c r="D9773" s="2">
        <v>8.3900000000000002E-2</v>
      </c>
      <c r="E9773" s="2">
        <v>2.2100000000000002E-2</v>
      </c>
      <c r="F9773" s="2">
        <v>3.1600000000000003E-2</v>
      </c>
      <c r="G9773" s="2">
        <v>1.03E-2</v>
      </c>
      <c r="H9773" s="2">
        <v>2.4899999999999999E-2</v>
      </c>
      <c r="I9773">
        <v>2408</v>
      </c>
    </row>
    <row r="9774" spans="1:9" x14ac:dyDescent="0.35">
      <c r="A9774" t="s">
        <v>227</v>
      </c>
      <c r="B9774" t="s">
        <v>344</v>
      </c>
      <c r="C9774">
        <v>1</v>
      </c>
      <c r="D9774" s="2">
        <v>2.9100000000000001E-2</v>
      </c>
      <c r="E9774" s="2">
        <v>4.3299999999999998E-2</v>
      </c>
      <c r="F9774" s="2">
        <v>1.37E-2</v>
      </c>
      <c r="G9774" s="2">
        <v>4.5999999999999999E-3</v>
      </c>
      <c r="H9774" s="2">
        <v>1.9400000000000001E-2</v>
      </c>
      <c r="I9774">
        <v>2408</v>
      </c>
    </row>
    <row r="9775" spans="1:9" x14ac:dyDescent="0.35">
      <c r="A9775" t="s">
        <v>227</v>
      </c>
      <c r="B9775" t="s">
        <v>344</v>
      </c>
      <c r="C9775">
        <v>0</v>
      </c>
      <c r="D9775" s="2">
        <v>0.68889999999999996</v>
      </c>
      <c r="E9775" s="2">
        <v>0.90149999999999997</v>
      </c>
      <c r="F9775" s="2">
        <v>0.86750000000000005</v>
      </c>
      <c r="G9775" s="2">
        <v>0.95</v>
      </c>
      <c r="H9775" s="2">
        <v>0.87749999999999995</v>
      </c>
      <c r="I9775">
        <v>2408</v>
      </c>
    </row>
    <row r="9776" spans="1:9" x14ac:dyDescent="0.35">
      <c r="A9776" t="s">
        <v>227</v>
      </c>
      <c r="B9776" t="s">
        <v>344</v>
      </c>
      <c r="C9776">
        <v>3</v>
      </c>
      <c r="D9776" s="2">
        <v>5.9499999999999997E-2</v>
      </c>
      <c r="E9776" s="2">
        <v>2.06E-2</v>
      </c>
      <c r="F9776" s="2">
        <v>2.53E-2</v>
      </c>
      <c r="G9776" s="2">
        <v>9.7000000000000003E-3</v>
      </c>
      <c r="H9776" s="2">
        <v>2.01E-2</v>
      </c>
      <c r="I9776">
        <v>2408</v>
      </c>
    </row>
    <row r="9777" spans="1:9" x14ac:dyDescent="0.35">
      <c r="A9777" t="s">
        <v>227</v>
      </c>
      <c r="B9777" t="s">
        <v>343</v>
      </c>
      <c r="C9777">
        <v>6</v>
      </c>
      <c r="D9777" s="2">
        <v>2.9999999999999997E-4</v>
      </c>
      <c r="E9777" s="2">
        <v>9.9000000000000008E-3</v>
      </c>
      <c r="I9777">
        <v>405</v>
      </c>
    </row>
    <row r="9778" spans="1:9" x14ac:dyDescent="0.35">
      <c r="A9778" t="s">
        <v>227</v>
      </c>
      <c r="B9778" t="s">
        <v>343</v>
      </c>
      <c r="C9778">
        <v>5</v>
      </c>
      <c r="D9778" s="2">
        <v>3.7499999999999999E-2</v>
      </c>
      <c r="E9778" s="2">
        <v>2E-3</v>
      </c>
      <c r="F9778" s="2">
        <v>2.9700000000000001E-2</v>
      </c>
      <c r="G9778" s="2">
        <v>2.5999999999999999E-3</v>
      </c>
      <c r="H9778" s="2">
        <v>2.01E-2</v>
      </c>
      <c r="I9778">
        <v>405</v>
      </c>
    </row>
    <row r="9779" spans="1:9" x14ac:dyDescent="0.35">
      <c r="A9779" t="s">
        <v>227</v>
      </c>
      <c r="B9779" t="s">
        <v>343</v>
      </c>
      <c r="C9779">
        <v>4</v>
      </c>
      <c r="D9779" s="2">
        <v>3.09E-2</v>
      </c>
      <c r="E9779" s="2">
        <v>4.0000000000000002E-4</v>
      </c>
      <c r="F9779" s="2">
        <v>1.5900000000000001E-2</v>
      </c>
      <c r="G9779" s="2">
        <v>1.04E-2</v>
      </c>
      <c r="H9779" s="2">
        <v>3.2300000000000002E-2</v>
      </c>
      <c r="I9779">
        <v>405</v>
      </c>
    </row>
    <row r="9780" spans="1:9" x14ac:dyDescent="0.35">
      <c r="A9780" t="s">
        <v>227</v>
      </c>
      <c r="B9780" t="s">
        <v>343</v>
      </c>
      <c r="C9780">
        <v>3</v>
      </c>
      <c r="D9780" s="2">
        <v>5.45E-2</v>
      </c>
      <c r="E9780" s="2">
        <v>1.29E-2</v>
      </c>
      <c r="F9780" s="2">
        <v>2.92E-2</v>
      </c>
      <c r="G9780" s="2">
        <v>1.26E-2</v>
      </c>
      <c r="H9780" s="2">
        <v>2.7300000000000001E-2</v>
      </c>
      <c r="I9780">
        <v>405</v>
      </c>
    </row>
    <row r="9781" spans="1:9" x14ac:dyDescent="0.35">
      <c r="A9781" t="s">
        <v>227</v>
      </c>
      <c r="B9781" t="s">
        <v>343</v>
      </c>
      <c r="C9781">
        <v>2</v>
      </c>
      <c r="D9781" s="2">
        <v>0.1004</v>
      </c>
      <c r="E9781" s="2">
        <v>3.8100000000000002E-2</v>
      </c>
      <c r="F9781" s="2">
        <v>5.4199999999999998E-2</v>
      </c>
      <c r="G9781" s="2">
        <v>0.02</v>
      </c>
      <c r="H9781" s="2">
        <v>3.56E-2</v>
      </c>
      <c r="I9781">
        <v>405</v>
      </c>
    </row>
    <row r="9782" spans="1:9" x14ac:dyDescent="0.35">
      <c r="A9782" t="s">
        <v>227</v>
      </c>
      <c r="B9782" t="s">
        <v>343</v>
      </c>
      <c r="C9782">
        <v>1</v>
      </c>
      <c r="D9782" s="2">
        <v>3.2899999999999999E-2</v>
      </c>
      <c r="E9782" s="2">
        <v>4.0300000000000002E-2</v>
      </c>
      <c r="F9782" s="2">
        <v>3.1300000000000001E-2</v>
      </c>
      <c r="G9782" s="2">
        <v>7.4999999999999997E-3</v>
      </c>
      <c r="H9782" s="2">
        <v>1.12E-2</v>
      </c>
      <c r="I9782">
        <v>405</v>
      </c>
    </row>
    <row r="9783" spans="1:9" x14ac:dyDescent="0.35">
      <c r="A9783" t="s">
        <v>227</v>
      </c>
      <c r="B9783" t="s">
        <v>343</v>
      </c>
      <c r="C9783">
        <v>7</v>
      </c>
      <c r="D9783" s="2">
        <v>0.19239999999999999</v>
      </c>
      <c r="E9783" s="2">
        <v>1.2999999999999999E-2</v>
      </c>
      <c r="F9783" s="2">
        <v>5.2400000000000002E-2</v>
      </c>
      <c r="G9783" s="2">
        <v>0.03</v>
      </c>
      <c r="H9783" s="2">
        <v>4.2700000000000002E-2</v>
      </c>
      <c r="I9783">
        <v>405</v>
      </c>
    </row>
    <row r="9784" spans="1:9" x14ac:dyDescent="0.35">
      <c r="A9784" t="s">
        <v>228</v>
      </c>
      <c r="B9784" t="s">
        <v>228</v>
      </c>
      <c r="C9784">
        <v>6</v>
      </c>
      <c r="D9784" s="2">
        <v>2.8E-3</v>
      </c>
      <c r="E9784" s="2">
        <v>1.6999999999999999E-3</v>
      </c>
      <c r="F9784" s="2">
        <v>4.0000000000000002E-4</v>
      </c>
      <c r="G9784" s="2">
        <v>2.3999999999999998E-3</v>
      </c>
      <c r="H9784" s="2">
        <v>1.8E-3</v>
      </c>
      <c r="I9784">
        <v>2813</v>
      </c>
    </row>
    <row r="9785" spans="1:9" x14ac:dyDescent="0.35">
      <c r="A9785" t="s">
        <v>228</v>
      </c>
      <c r="B9785" t="s">
        <v>228</v>
      </c>
      <c r="C9785">
        <v>0</v>
      </c>
      <c r="D9785" s="2">
        <v>0.66559999999999997</v>
      </c>
      <c r="E9785" s="2">
        <v>0.89839999999999998</v>
      </c>
      <c r="F9785" s="2">
        <v>0.85399999999999998</v>
      </c>
      <c r="G9785" s="2">
        <v>0.94440000000000002</v>
      </c>
      <c r="H9785" s="2">
        <v>0.86960000000000004</v>
      </c>
      <c r="I9785">
        <v>2813</v>
      </c>
    </row>
    <row r="9786" spans="1:9" x14ac:dyDescent="0.35">
      <c r="A9786" t="s">
        <v>228</v>
      </c>
      <c r="B9786" t="s">
        <v>228</v>
      </c>
      <c r="C9786">
        <v>1</v>
      </c>
      <c r="D9786" s="2">
        <v>2.9700000000000001E-2</v>
      </c>
      <c r="E9786" s="2">
        <v>4.2799999999999998E-2</v>
      </c>
      <c r="F9786" s="2">
        <v>1.67E-2</v>
      </c>
      <c r="G9786" s="2">
        <v>5.1000000000000004E-3</v>
      </c>
      <c r="H9786" s="2">
        <v>1.7999999999999999E-2</v>
      </c>
      <c r="I9786">
        <v>2813</v>
      </c>
    </row>
    <row r="9787" spans="1:9" x14ac:dyDescent="0.35">
      <c r="A9787" t="s">
        <v>228</v>
      </c>
      <c r="B9787" t="s">
        <v>228</v>
      </c>
      <c r="C9787">
        <v>2</v>
      </c>
      <c r="D9787" s="2">
        <v>8.6699999999999999E-2</v>
      </c>
      <c r="E9787" s="2">
        <v>2.4799999999999999E-2</v>
      </c>
      <c r="F9787" s="2">
        <v>3.5400000000000001E-2</v>
      </c>
      <c r="G9787" s="2">
        <v>1.1900000000000001E-2</v>
      </c>
      <c r="H9787" s="2">
        <v>2.6700000000000002E-2</v>
      </c>
      <c r="I9787">
        <v>2813</v>
      </c>
    </row>
    <row r="9788" spans="1:9" x14ac:dyDescent="0.35">
      <c r="A9788" t="s">
        <v>228</v>
      </c>
      <c r="B9788" t="s">
        <v>228</v>
      </c>
      <c r="C9788">
        <v>3</v>
      </c>
      <c r="D9788" s="2">
        <v>5.8700000000000002E-2</v>
      </c>
      <c r="E9788" s="2">
        <v>1.9300000000000001E-2</v>
      </c>
      <c r="F9788" s="2">
        <v>2.5999999999999999E-2</v>
      </c>
      <c r="G9788" s="2">
        <v>1.0200000000000001E-2</v>
      </c>
      <c r="H9788" s="2">
        <v>2.1299999999999999E-2</v>
      </c>
      <c r="I9788">
        <v>2813</v>
      </c>
    </row>
    <row r="9789" spans="1:9" x14ac:dyDescent="0.35">
      <c r="A9789" t="s">
        <v>228</v>
      </c>
      <c r="B9789" t="s">
        <v>228</v>
      </c>
      <c r="C9789">
        <v>4</v>
      </c>
      <c r="D9789" s="2">
        <v>2.4E-2</v>
      </c>
      <c r="E9789" s="2">
        <v>1.6000000000000001E-3</v>
      </c>
      <c r="F9789" s="2">
        <v>1.38E-2</v>
      </c>
      <c r="G9789" s="2">
        <v>1.01E-2</v>
      </c>
      <c r="H9789" s="2">
        <v>1.0200000000000001E-2</v>
      </c>
      <c r="I9789">
        <v>2813</v>
      </c>
    </row>
    <row r="9790" spans="1:9" x14ac:dyDescent="0.35">
      <c r="A9790" t="s">
        <v>228</v>
      </c>
      <c r="B9790" t="s">
        <v>228</v>
      </c>
      <c r="C9790">
        <v>5</v>
      </c>
      <c r="D9790" s="2">
        <v>2.1700000000000001E-2</v>
      </c>
      <c r="E9790" s="2">
        <v>2.8E-3</v>
      </c>
      <c r="F9790" s="2">
        <v>8.8000000000000005E-3</v>
      </c>
      <c r="G9790" s="2">
        <v>8.9999999999999998E-4</v>
      </c>
      <c r="H9790" s="2">
        <v>7.9000000000000008E-3</v>
      </c>
      <c r="I9790">
        <v>2813</v>
      </c>
    </row>
    <row r="9791" spans="1:9" x14ac:dyDescent="0.35">
      <c r="A9791" t="s">
        <v>228</v>
      </c>
      <c r="B9791" t="s">
        <v>228</v>
      </c>
      <c r="C9791">
        <v>7</v>
      </c>
      <c r="D9791" s="2">
        <v>0.1108</v>
      </c>
      <c r="E9791" s="2">
        <v>8.6E-3</v>
      </c>
      <c r="F9791" s="2">
        <v>4.5100000000000001E-2</v>
      </c>
      <c r="G9791" s="2">
        <v>1.4999999999999999E-2</v>
      </c>
      <c r="H9791" s="2">
        <v>4.4600000000000001E-2</v>
      </c>
      <c r="I9791">
        <v>2813</v>
      </c>
    </row>
    <row r="9793" spans="1:9" x14ac:dyDescent="0.35">
      <c r="A9793" s="1" t="s">
        <v>2273</v>
      </c>
    </row>
    <row r="9794" spans="1:9" x14ac:dyDescent="0.35">
      <c r="A9794" t="s">
        <v>219</v>
      </c>
      <c r="B9794" t="s">
        <v>301</v>
      </c>
      <c r="C9794" t="s">
        <v>1264</v>
      </c>
      <c r="D9794" t="s">
        <v>2259</v>
      </c>
      <c r="E9794" t="s">
        <v>2260</v>
      </c>
      <c r="F9794" t="s">
        <v>2261</v>
      </c>
      <c r="G9794" t="s">
        <v>2262</v>
      </c>
      <c r="H9794" t="s">
        <v>2263</v>
      </c>
      <c r="I9794" t="s">
        <v>957</v>
      </c>
    </row>
    <row r="9795" spans="1:9" x14ac:dyDescent="0.35">
      <c r="A9795" t="s">
        <v>227</v>
      </c>
      <c r="B9795" t="s">
        <v>346</v>
      </c>
      <c r="C9795">
        <v>0</v>
      </c>
      <c r="D9795" s="2">
        <v>0.66900000000000004</v>
      </c>
      <c r="E9795" s="2">
        <v>0.89949999999999997</v>
      </c>
      <c r="F9795" s="2">
        <v>0.85329999999999995</v>
      </c>
      <c r="G9795" s="2">
        <v>0.94389999999999996</v>
      </c>
      <c r="H9795" s="2">
        <v>0.86780000000000002</v>
      </c>
      <c r="I9795">
        <v>1463</v>
      </c>
    </row>
    <row r="9796" spans="1:9" x14ac:dyDescent="0.35">
      <c r="A9796" t="s">
        <v>227</v>
      </c>
      <c r="B9796" t="s">
        <v>348</v>
      </c>
      <c r="C9796">
        <v>7</v>
      </c>
      <c r="D9796" s="2">
        <v>0.14219999999999999</v>
      </c>
      <c r="E9796" s="2">
        <v>1.41E-2</v>
      </c>
      <c r="F9796" s="2">
        <v>4.3799999999999999E-2</v>
      </c>
      <c r="G9796" s="2">
        <v>1.43E-2</v>
      </c>
      <c r="H9796" s="2">
        <v>3.2500000000000001E-2</v>
      </c>
      <c r="I9796">
        <v>765</v>
      </c>
    </row>
    <row r="9797" spans="1:9" x14ac:dyDescent="0.35">
      <c r="A9797" t="s">
        <v>227</v>
      </c>
      <c r="B9797" t="s">
        <v>348</v>
      </c>
      <c r="C9797">
        <v>6</v>
      </c>
      <c r="D9797" s="2">
        <v>2.2000000000000001E-3</v>
      </c>
      <c r="F9797" s="2">
        <v>3.2000000000000002E-3</v>
      </c>
      <c r="I9797">
        <v>765</v>
      </c>
    </row>
    <row r="9798" spans="1:9" x14ac:dyDescent="0.35">
      <c r="A9798" t="s">
        <v>227</v>
      </c>
      <c r="B9798" t="s">
        <v>348</v>
      </c>
      <c r="C9798">
        <v>5</v>
      </c>
      <c r="D9798" s="2">
        <v>1.9300000000000001E-2</v>
      </c>
      <c r="E9798" s="2">
        <v>3.0999999999999999E-3</v>
      </c>
      <c r="F9798" s="2">
        <v>2.8999999999999998E-3</v>
      </c>
      <c r="G9798" s="2">
        <v>6.6E-3</v>
      </c>
      <c r="H9798" s="2">
        <v>8.2000000000000007E-3</v>
      </c>
      <c r="I9798">
        <v>765</v>
      </c>
    </row>
    <row r="9799" spans="1:9" x14ac:dyDescent="0.35">
      <c r="A9799" t="s">
        <v>227</v>
      </c>
      <c r="B9799" t="s">
        <v>348</v>
      </c>
      <c r="C9799">
        <v>4</v>
      </c>
      <c r="D9799" s="2">
        <v>2.1499999999999998E-2</v>
      </c>
      <c r="E9799" s="2">
        <v>1.6999999999999999E-3</v>
      </c>
      <c r="F9799" s="2">
        <v>1.2E-2</v>
      </c>
      <c r="G9799" s="2">
        <v>5.0000000000000001E-4</v>
      </c>
      <c r="H9799" s="2">
        <v>1.5599999999999999E-2</v>
      </c>
      <c r="I9799">
        <v>765</v>
      </c>
    </row>
    <row r="9800" spans="1:9" x14ac:dyDescent="0.35">
      <c r="A9800" t="s">
        <v>227</v>
      </c>
      <c r="B9800" t="s">
        <v>348</v>
      </c>
      <c r="C9800">
        <v>3</v>
      </c>
      <c r="D9800" s="2">
        <v>6.6400000000000001E-2</v>
      </c>
      <c r="E9800" s="2">
        <v>1.54E-2</v>
      </c>
      <c r="F9800" s="2">
        <v>2.1299999999999999E-2</v>
      </c>
      <c r="G9800" s="2">
        <v>1.29E-2</v>
      </c>
      <c r="H9800" s="2">
        <v>1.8700000000000001E-2</v>
      </c>
      <c r="I9800">
        <v>765</v>
      </c>
    </row>
    <row r="9801" spans="1:9" x14ac:dyDescent="0.35">
      <c r="A9801" t="s">
        <v>227</v>
      </c>
      <c r="B9801" t="s">
        <v>348</v>
      </c>
      <c r="C9801">
        <v>2</v>
      </c>
      <c r="D9801" s="2">
        <v>8.4000000000000005E-2</v>
      </c>
      <c r="E9801" s="2">
        <v>3.0800000000000001E-2</v>
      </c>
      <c r="F9801" s="2">
        <v>3.73E-2</v>
      </c>
      <c r="G9801" s="2">
        <v>1.29E-2</v>
      </c>
      <c r="H9801" s="2">
        <v>2.6800000000000001E-2</v>
      </c>
      <c r="I9801">
        <v>765</v>
      </c>
    </row>
    <row r="9802" spans="1:9" x14ac:dyDescent="0.35">
      <c r="A9802" t="s">
        <v>227</v>
      </c>
      <c r="B9802" t="s">
        <v>348</v>
      </c>
      <c r="C9802">
        <v>1</v>
      </c>
      <c r="D9802" s="2">
        <v>2.2800000000000001E-2</v>
      </c>
      <c r="E9802" s="2">
        <v>3.4099999999999998E-2</v>
      </c>
      <c r="F9802" s="2">
        <v>1.17E-2</v>
      </c>
      <c r="G9802" s="2">
        <v>6.1999999999999998E-3</v>
      </c>
      <c r="H9802" s="2">
        <v>1.3100000000000001E-2</v>
      </c>
      <c r="I9802">
        <v>765</v>
      </c>
    </row>
    <row r="9803" spans="1:9" x14ac:dyDescent="0.35">
      <c r="A9803" t="s">
        <v>227</v>
      </c>
      <c r="B9803" t="s">
        <v>348</v>
      </c>
      <c r="C9803">
        <v>0</v>
      </c>
      <c r="D9803" s="2">
        <v>0.64180000000000004</v>
      </c>
      <c r="E9803" s="2">
        <v>0.90069999999999995</v>
      </c>
      <c r="F9803" s="2">
        <v>0.86780000000000002</v>
      </c>
      <c r="G9803" s="2">
        <v>0.94650000000000001</v>
      </c>
      <c r="H9803" s="2">
        <v>0.88519999999999999</v>
      </c>
      <c r="I9803">
        <v>765</v>
      </c>
    </row>
    <row r="9804" spans="1:9" x14ac:dyDescent="0.35">
      <c r="A9804" t="s">
        <v>227</v>
      </c>
      <c r="B9804" t="s">
        <v>347</v>
      </c>
      <c r="C9804">
        <v>6</v>
      </c>
      <c r="D9804" s="2">
        <v>5.7000000000000002E-3</v>
      </c>
      <c r="I9804">
        <v>585</v>
      </c>
    </row>
    <row r="9805" spans="1:9" x14ac:dyDescent="0.35">
      <c r="A9805" t="s">
        <v>227</v>
      </c>
      <c r="B9805" t="s">
        <v>347</v>
      </c>
      <c r="C9805">
        <v>5</v>
      </c>
      <c r="D9805" s="2">
        <v>6.6E-3</v>
      </c>
      <c r="E9805" s="2">
        <v>2.2000000000000001E-3</v>
      </c>
      <c r="F9805" s="2">
        <v>6.1000000000000004E-3</v>
      </c>
      <c r="G9805" s="2">
        <v>6.4999999999999997E-3</v>
      </c>
      <c r="H9805" s="2">
        <v>2.5999999999999999E-3</v>
      </c>
      <c r="I9805">
        <v>585</v>
      </c>
    </row>
    <row r="9806" spans="1:9" x14ac:dyDescent="0.35">
      <c r="A9806" t="s">
        <v>227</v>
      </c>
      <c r="B9806" t="s">
        <v>347</v>
      </c>
      <c r="C9806">
        <v>4</v>
      </c>
      <c r="D9806" s="2">
        <v>1.8700000000000001E-2</v>
      </c>
      <c r="E9806" s="2">
        <v>1.43E-2</v>
      </c>
      <c r="F9806" s="2">
        <v>1.8499999999999999E-2</v>
      </c>
      <c r="G9806" s="2">
        <v>9.7000000000000003E-3</v>
      </c>
      <c r="H9806" s="2">
        <v>1.1900000000000001E-2</v>
      </c>
      <c r="I9806">
        <v>585</v>
      </c>
    </row>
    <row r="9807" spans="1:9" x14ac:dyDescent="0.35">
      <c r="A9807" t="s">
        <v>227</v>
      </c>
      <c r="B9807" t="s">
        <v>347</v>
      </c>
      <c r="C9807">
        <v>7</v>
      </c>
      <c r="D9807" s="2">
        <v>0.18870000000000001</v>
      </c>
      <c r="E9807" s="2">
        <v>1.84E-2</v>
      </c>
      <c r="F9807" s="2">
        <v>5.8200000000000002E-2</v>
      </c>
      <c r="G9807" s="2">
        <v>1.66E-2</v>
      </c>
      <c r="H9807" s="2">
        <v>5.5100000000000003E-2</v>
      </c>
      <c r="I9807">
        <v>585</v>
      </c>
    </row>
    <row r="9808" spans="1:9" x14ac:dyDescent="0.35">
      <c r="A9808" t="s">
        <v>227</v>
      </c>
      <c r="B9808" t="s">
        <v>347</v>
      </c>
      <c r="C9808">
        <v>2</v>
      </c>
      <c r="D9808" s="2">
        <v>7.0699999999999999E-2</v>
      </c>
      <c r="E9808" s="2">
        <v>2.35E-2</v>
      </c>
      <c r="F9808" s="2">
        <v>3.6799999999999999E-2</v>
      </c>
      <c r="G9808" s="2">
        <v>5.8999999999999999E-3</v>
      </c>
      <c r="H9808" s="2">
        <v>2.7099999999999999E-2</v>
      </c>
      <c r="I9808">
        <v>585</v>
      </c>
    </row>
    <row r="9809" spans="1:9" x14ac:dyDescent="0.35">
      <c r="A9809" t="s">
        <v>227</v>
      </c>
      <c r="B9809" t="s">
        <v>346</v>
      </c>
      <c r="C9809">
        <v>1</v>
      </c>
      <c r="D9809" s="2">
        <v>3.0499999999999999E-2</v>
      </c>
      <c r="E9809" s="2">
        <v>4.3499999999999997E-2</v>
      </c>
      <c r="F9809" s="2">
        <v>1.72E-2</v>
      </c>
      <c r="G9809" s="2">
        <v>4.7999999999999996E-3</v>
      </c>
      <c r="H9809" s="2">
        <v>1.8700000000000001E-2</v>
      </c>
      <c r="I9809">
        <v>1463</v>
      </c>
    </row>
    <row r="9810" spans="1:9" x14ac:dyDescent="0.35">
      <c r="A9810" t="s">
        <v>227</v>
      </c>
      <c r="B9810" t="s">
        <v>347</v>
      </c>
      <c r="C9810">
        <v>3</v>
      </c>
      <c r="D9810" s="2">
        <v>3.2099999999999997E-2</v>
      </c>
      <c r="E9810" s="2">
        <v>2.6599999999999999E-2</v>
      </c>
      <c r="F9810" s="2">
        <v>3.2099999999999997E-2</v>
      </c>
      <c r="G9810" s="2">
        <v>2.7000000000000001E-3</v>
      </c>
      <c r="H9810" s="2">
        <v>1.8800000000000001E-2</v>
      </c>
      <c r="I9810">
        <v>585</v>
      </c>
    </row>
    <row r="9811" spans="1:9" x14ac:dyDescent="0.35">
      <c r="A9811" t="s">
        <v>227</v>
      </c>
      <c r="B9811" t="s">
        <v>346</v>
      </c>
      <c r="C9811">
        <v>3</v>
      </c>
      <c r="D9811" s="2">
        <v>5.8999999999999997E-2</v>
      </c>
      <c r="E9811" s="2">
        <v>1.9400000000000001E-2</v>
      </c>
      <c r="F9811" s="2">
        <v>2.6200000000000001E-2</v>
      </c>
      <c r="G9811" s="2">
        <v>1.0200000000000001E-2</v>
      </c>
      <c r="H9811" s="2">
        <v>2.1700000000000001E-2</v>
      </c>
      <c r="I9811">
        <v>1463</v>
      </c>
    </row>
    <row r="9812" spans="1:9" x14ac:dyDescent="0.35">
      <c r="A9812" t="s">
        <v>227</v>
      </c>
      <c r="B9812" t="s">
        <v>346</v>
      </c>
      <c r="C9812">
        <v>4</v>
      </c>
      <c r="D9812" s="2">
        <v>2.4500000000000001E-2</v>
      </c>
      <c r="E9812" s="2">
        <v>1E-3</v>
      </c>
      <c r="F9812" s="2">
        <v>1.38E-2</v>
      </c>
      <c r="G9812" s="2">
        <v>1.12E-2</v>
      </c>
      <c r="H9812" s="2">
        <v>9.4999999999999998E-3</v>
      </c>
      <c r="I9812">
        <v>1463</v>
      </c>
    </row>
    <row r="9813" spans="1:9" x14ac:dyDescent="0.35">
      <c r="A9813" t="s">
        <v>227</v>
      </c>
      <c r="B9813" t="s">
        <v>346</v>
      </c>
      <c r="C9813">
        <v>5</v>
      </c>
      <c r="D9813" s="2">
        <v>2.2599999999999999E-2</v>
      </c>
      <c r="E9813" s="2">
        <v>2.8E-3</v>
      </c>
      <c r="F9813" s="2">
        <v>9.5999999999999992E-3</v>
      </c>
      <c r="G9813" s="2">
        <v>1E-4</v>
      </c>
      <c r="H9813" s="2">
        <v>8.0999999999999996E-3</v>
      </c>
      <c r="I9813">
        <v>1463</v>
      </c>
    </row>
    <row r="9814" spans="1:9" x14ac:dyDescent="0.35">
      <c r="A9814" t="s">
        <v>227</v>
      </c>
      <c r="B9814" t="s">
        <v>346</v>
      </c>
      <c r="C9814">
        <v>2</v>
      </c>
      <c r="D9814" s="2">
        <v>8.77E-2</v>
      </c>
      <c r="E9814" s="2">
        <v>2.4199999999999999E-2</v>
      </c>
      <c r="F9814" s="2">
        <v>3.5099999999999999E-2</v>
      </c>
      <c r="G9814" s="2">
        <v>1.21E-2</v>
      </c>
      <c r="H9814" s="2">
        <v>2.6700000000000002E-2</v>
      </c>
      <c r="I9814">
        <v>1463</v>
      </c>
    </row>
    <row r="9815" spans="1:9" x14ac:dyDescent="0.35">
      <c r="A9815" t="s">
        <v>227</v>
      </c>
      <c r="B9815" t="s">
        <v>346</v>
      </c>
      <c r="C9815">
        <v>7</v>
      </c>
      <c r="D9815" s="2">
        <v>0.104</v>
      </c>
      <c r="E9815" s="2">
        <v>7.6E-3</v>
      </c>
      <c r="F9815" s="2">
        <v>4.4699999999999997E-2</v>
      </c>
      <c r="G9815" s="2">
        <v>1.4999999999999999E-2</v>
      </c>
      <c r="H9815" s="2">
        <v>4.5499999999999999E-2</v>
      </c>
      <c r="I9815">
        <v>1463</v>
      </c>
    </row>
    <row r="9816" spans="1:9" x14ac:dyDescent="0.35">
      <c r="A9816" t="s">
        <v>227</v>
      </c>
      <c r="B9816" t="s">
        <v>347</v>
      </c>
      <c r="C9816">
        <v>0</v>
      </c>
      <c r="D9816" s="2">
        <v>0.64770000000000005</v>
      </c>
      <c r="E9816" s="2">
        <v>0.8669</v>
      </c>
      <c r="F9816" s="2">
        <v>0.83250000000000002</v>
      </c>
      <c r="G9816" s="2">
        <v>0.95040000000000002</v>
      </c>
      <c r="H9816" s="2">
        <v>0.87050000000000005</v>
      </c>
      <c r="I9816">
        <v>585</v>
      </c>
    </row>
    <row r="9817" spans="1:9" x14ac:dyDescent="0.35">
      <c r="A9817" t="s">
        <v>227</v>
      </c>
      <c r="B9817" t="s">
        <v>347</v>
      </c>
      <c r="C9817">
        <v>1</v>
      </c>
      <c r="D9817" s="2">
        <v>2.98E-2</v>
      </c>
      <c r="E9817" s="2">
        <v>4.8000000000000001E-2</v>
      </c>
      <c r="F9817" s="2">
        <v>1.5800000000000002E-2</v>
      </c>
      <c r="G9817" s="2">
        <v>8.3000000000000001E-3</v>
      </c>
      <c r="H9817" s="2">
        <v>1.41E-2</v>
      </c>
      <c r="I9817">
        <v>585</v>
      </c>
    </row>
    <row r="9818" spans="1:9" x14ac:dyDescent="0.35">
      <c r="A9818" t="s">
        <v>227</v>
      </c>
      <c r="B9818" t="s">
        <v>346</v>
      </c>
      <c r="C9818">
        <v>6</v>
      </c>
      <c r="D9818" s="2">
        <v>2.7000000000000001E-3</v>
      </c>
      <c r="E9818" s="2">
        <v>1.9E-3</v>
      </c>
      <c r="F9818" s="2">
        <v>1E-4</v>
      </c>
      <c r="G9818" s="2">
        <v>2.7000000000000001E-3</v>
      </c>
      <c r="H9818" s="2">
        <v>2E-3</v>
      </c>
      <c r="I9818">
        <v>1463</v>
      </c>
    </row>
    <row r="9819" spans="1:9" x14ac:dyDescent="0.35">
      <c r="A9819" t="s">
        <v>228</v>
      </c>
      <c r="B9819" t="s">
        <v>228</v>
      </c>
      <c r="C9819">
        <v>6</v>
      </c>
      <c r="D9819" s="2">
        <v>2.8E-3</v>
      </c>
      <c r="E9819" s="2">
        <v>1.6999999999999999E-3</v>
      </c>
      <c r="F9819" s="2">
        <v>4.0000000000000002E-4</v>
      </c>
      <c r="G9819" s="2">
        <v>2.3999999999999998E-3</v>
      </c>
      <c r="H9819" s="2">
        <v>1.8E-3</v>
      </c>
      <c r="I9819">
        <v>2813</v>
      </c>
    </row>
    <row r="9820" spans="1:9" x14ac:dyDescent="0.35">
      <c r="A9820" t="s">
        <v>228</v>
      </c>
      <c r="B9820" t="s">
        <v>228</v>
      </c>
      <c r="C9820">
        <v>0</v>
      </c>
      <c r="D9820" s="2">
        <v>0.66559999999999997</v>
      </c>
      <c r="E9820" s="2">
        <v>0.89839999999999998</v>
      </c>
      <c r="F9820" s="2">
        <v>0.85399999999999998</v>
      </c>
      <c r="G9820" s="2">
        <v>0.94440000000000002</v>
      </c>
      <c r="H9820" s="2">
        <v>0.86960000000000004</v>
      </c>
      <c r="I9820">
        <v>2813</v>
      </c>
    </row>
    <row r="9821" spans="1:9" x14ac:dyDescent="0.35">
      <c r="A9821" t="s">
        <v>228</v>
      </c>
      <c r="B9821" t="s">
        <v>228</v>
      </c>
      <c r="C9821">
        <v>1</v>
      </c>
      <c r="D9821" s="2">
        <v>2.9700000000000001E-2</v>
      </c>
      <c r="E9821" s="2">
        <v>4.2799999999999998E-2</v>
      </c>
      <c r="F9821" s="2">
        <v>1.67E-2</v>
      </c>
      <c r="G9821" s="2">
        <v>5.1000000000000004E-3</v>
      </c>
      <c r="H9821" s="2">
        <v>1.7999999999999999E-2</v>
      </c>
      <c r="I9821">
        <v>2813</v>
      </c>
    </row>
    <row r="9822" spans="1:9" x14ac:dyDescent="0.35">
      <c r="A9822" t="s">
        <v>228</v>
      </c>
      <c r="B9822" t="s">
        <v>228</v>
      </c>
      <c r="C9822">
        <v>2</v>
      </c>
      <c r="D9822" s="2">
        <v>8.6699999999999999E-2</v>
      </c>
      <c r="E9822" s="2">
        <v>2.4799999999999999E-2</v>
      </c>
      <c r="F9822" s="2">
        <v>3.5400000000000001E-2</v>
      </c>
      <c r="G9822" s="2">
        <v>1.1900000000000001E-2</v>
      </c>
      <c r="H9822" s="2">
        <v>2.6700000000000002E-2</v>
      </c>
      <c r="I9822">
        <v>2813</v>
      </c>
    </row>
    <row r="9823" spans="1:9" x14ac:dyDescent="0.35">
      <c r="A9823" t="s">
        <v>228</v>
      </c>
      <c r="B9823" t="s">
        <v>228</v>
      </c>
      <c r="C9823">
        <v>3</v>
      </c>
      <c r="D9823" s="2">
        <v>5.8700000000000002E-2</v>
      </c>
      <c r="E9823" s="2">
        <v>1.9300000000000001E-2</v>
      </c>
      <c r="F9823" s="2">
        <v>2.5999999999999999E-2</v>
      </c>
      <c r="G9823" s="2">
        <v>1.0200000000000001E-2</v>
      </c>
      <c r="H9823" s="2">
        <v>2.1299999999999999E-2</v>
      </c>
      <c r="I9823">
        <v>2813</v>
      </c>
    </row>
    <row r="9824" spans="1:9" x14ac:dyDescent="0.35">
      <c r="A9824" t="s">
        <v>228</v>
      </c>
      <c r="B9824" t="s">
        <v>228</v>
      </c>
      <c r="C9824">
        <v>4</v>
      </c>
      <c r="D9824" s="2">
        <v>2.4E-2</v>
      </c>
      <c r="E9824" s="2">
        <v>1.6000000000000001E-3</v>
      </c>
      <c r="F9824" s="2">
        <v>1.38E-2</v>
      </c>
      <c r="G9824" s="2">
        <v>1.01E-2</v>
      </c>
      <c r="H9824" s="2">
        <v>1.0200000000000001E-2</v>
      </c>
      <c r="I9824">
        <v>2813</v>
      </c>
    </row>
    <row r="9825" spans="1:9" x14ac:dyDescent="0.35">
      <c r="A9825" t="s">
        <v>228</v>
      </c>
      <c r="B9825" t="s">
        <v>228</v>
      </c>
      <c r="C9825">
        <v>5</v>
      </c>
      <c r="D9825" s="2">
        <v>2.1700000000000001E-2</v>
      </c>
      <c r="E9825" s="2">
        <v>2.8E-3</v>
      </c>
      <c r="F9825" s="2">
        <v>8.8000000000000005E-3</v>
      </c>
      <c r="G9825" s="2">
        <v>8.9999999999999998E-4</v>
      </c>
      <c r="H9825" s="2">
        <v>7.9000000000000008E-3</v>
      </c>
      <c r="I9825">
        <v>2813</v>
      </c>
    </row>
    <row r="9826" spans="1:9" x14ac:dyDescent="0.35">
      <c r="A9826" t="s">
        <v>228</v>
      </c>
      <c r="B9826" t="s">
        <v>228</v>
      </c>
      <c r="C9826">
        <v>7</v>
      </c>
      <c r="D9826" s="2">
        <v>0.1108</v>
      </c>
      <c r="E9826" s="2">
        <v>8.6E-3</v>
      </c>
      <c r="F9826" s="2">
        <v>4.5100000000000001E-2</v>
      </c>
      <c r="G9826" s="2">
        <v>1.4999999999999999E-2</v>
      </c>
      <c r="H9826" s="2">
        <v>4.4600000000000001E-2</v>
      </c>
      <c r="I9826">
        <v>2813</v>
      </c>
    </row>
    <row r="9828" spans="1:9" x14ac:dyDescent="0.35">
      <c r="A9828" s="1" t="s">
        <v>2274</v>
      </c>
    </row>
    <row r="9829" spans="1:9" x14ac:dyDescent="0.35">
      <c r="A9829" t="s">
        <v>219</v>
      </c>
      <c r="B9829" t="s">
        <v>301</v>
      </c>
      <c r="C9829" t="s">
        <v>1264</v>
      </c>
      <c r="D9829" t="s">
        <v>2259</v>
      </c>
      <c r="E9829" t="s">
        <v>2260</v>
      </c>
      <c r="F9829" t="s">
        <v>2261</v>
      </c>
      <c r="G9829" t="s">
        <v>2262</v>
      </c>
      <c r="H9829" t="s">
        <v>2263</v>
      </c>
      <c r="I9829" t="s">
        <v>957</v>
      </c>
    </row>
    <row r="9830" spans="1:9" x14ac:dyDescent="0.35">
      <c r="A9830" t="s">
        <v>227</v>
      </c>
      <c r="B9830" t="s">
        <v>251</v>
      </c>
      <c r="C9830">
        <v>0</v>
      </c>
      <c r="D9830" s="2">
        <v>0.65229999999999999</v>
      </c>
      <c r="E9830" s="2">
        <v>0.91010000000000002</v>
      </c>
      <c r="F9830" s="2">
        <v>0.84819999999999995</v>
      </c>
      <c r="G9830" s="2">
        <v>0.98670000000000002</v>
      </c>
      <c r="H9830" s="2">
        <v>0.86570000000000003</v>
      </c>
      <c r="I9830">
        <v>2030</v>
      </c>
    </row>
    <row r="9831" spans="1:9" x14ac:dyDescent="0.35">
      <c r="A9831" s="3" t="s">
        <v>227</v>
      </c>
      <c r="B9831" s="3" t="s">
        <v>254</v>
      </c>
      <c r="C9831" s="5">
        <v>7</v>
      </c>
      <c r="D9831" s="4">
        <v>5.8000000000000003E-2</v>
      </c>
      <c r="E9831" s="5"/>
      <c r="F9831" s="5"/>
      <c r="G9831" s="5"/>
      <c r="H9831" s="5"/>
      <c r="I9831" s="5">
        <v>9</v>
      </c>
    </row>
    <row r="9832" spans="1:9" x14ac:dyDescent="0.35">
      <c r="A9832" s="3" t="s">
        <v>227</v>
      </c>
      <c r="B9832" s="3" t="s">
        <v>254</v>
      </c>
      <c r="C9832" s="5">
        <v>3</v>
      </c>
      <c r="D9832" s="4">
        <v>4.6399999999999997E-2</v>
      </c>
      <c r="E9832" s="5"/>
      <c r="F9832" s="5"/>
      <c r="G9832" s="5"/>
      <c r="H9832" s="5"/>
      <c r="I9832" s="5">
        <v>9</v>
      </c>
    </row>
    <row r="9833" spans="1:9" x14ac:dyDescent="0.35">
      <c r="A9833" s="3" t="s">
        <v>227</v>
      </c>
      <c r="B9833" s="3" t="s">
        <v>254</v>
      </c>
      <c r="C9833" s="5">
        <v>2</v>
      </c>
      <c r="D9833" s="4">
        <v>5.1200000000000002E-2</v>
      </c>
      <c r="E9833" s="5"/>
      <c r="F9833" s="5"/>
      <c r="G9833" s="5"/>
      <c r="H9833" s="4">
        <v>0.28179999999999999</v>
      </c>
      <c r="I9833" s="5">
        <v>9</v>
      </c>
    </row>
    <row r="9834" spans="1:9" x14ac:dyDescent="0.35">
      <c r="A9834" s="3" t="s">
        <v>227</v>
      </c>
      <c r="B9834" s="3" t="s">
        <v>254</v>
      </c>
      <c r="C9834" s="5">
        <v>0</v>
      </c>
      <c r="D9834" s="4">
        <v>0.84440000000000004</v>
      </c>
      <c r="E9834" s="4">
        <v>0.66700000000000004</v>
      </c>
      <c r="F9834" s="4">
        <v>1</v>
      </c>
      <c r="G9834" s="4">
        <v>0.66700000000000004</v>
      </c>
      <c r="H9834" s="4">
        <v>0.71819999999999995</v>
      </c>
      <c r="I9834" s="5">
        <v>9</v>
      </c>
    </row>
    <row r="9835" spans="1:9" x14ac:dyDescent="0.35">
      <c r="A9835" t="s">
        <v>227</v>
      </c>
      <c r="B9835" t="s">
        <v>253</v>
      </c>
      <c r="C9835">
        <v>7</v>
      </c>
      <c r="D9835" s="2">
        <v>6.1499999999999999E-2</v>
      </c>
      <c r="E9835" s="2">
        <v>8.3999999999999995E-3</v>
      </c>
      <c r="F9835" s="2">
        <v>2.9000000000000001E-2</v>
      </c>
      <c r="G9835" s="2">
        <v>4.9000000000000002E-2</v>
      </c>
      <c r="H9835" s="2">
        <v>2.1299999999999999E-2</v>
      </c>
      <c r="I9835">
        <v>153</v>
      </c>
    </row>
    <row r="9836" spans="1:9" x14ac:dyDescent="0.35">
      <c r="A9836" t="s">
        <v>227</v>
      </c>
      <c r="B9836" t="s">
        <v>253</v>
      </c>
      <c r="C9836">
        <v>5</v>
      </c>
      <c r="D9836" s="2">
        <v>4.8599999999999997E-2</v>
      </c>
      <c r="F9836" s="2">
        <v>1.5E-3</v>
      </c>
      <c r="G9836" s="2">
        <v>1.5E-3</v>
      </c>
      <c r="H9836" s="2">
        <v>4.3E-3</v>
      </c>
      <c r="I9836">
        <v>153</v>
      </c>
    </row>
    <row r="9837" spans="1:9" x14ac:dyDescent="0.35">
      <c r="A9837" t="s">
        <v>227</v>
      </c>
      <c r="B9837" t="s">
        <v>253</v>
      </c>
      <c r="C9837">
        <v>4</v>
      </c>
      <c r="D9837" s="2">
        <v>8.1699999999999995E-2</v>
      </c>
      <c r="E9837" s="2">
        <v>6.1999999999999998E-3</v>
      </c>
      <c r="F9837" s="2">
        <v>1.2999999999999999E-2</v>
      </c>
      <c r="G9837" s="2">
        <v>5.1999999999999998E-3</v>
      </c>
      <c r="H9837" s="2">
        <v>1.2999999999999999E-2</v>
      </c>
      <c r="I9837">
        <v>153</v>
      </c>
    </row>
    <row r="9838" spans="1:9" x14ac:dyDescent="0.35">
      <c r="A9838" t="s">
        <v>227</v>
      </c>
      <c r="B9838" t="s">
        <v>253</v>
      </c>
      <c r="C9838">
        <v>3</v>
      </c>
      <c r="D9838" s="2">
        <v>3.8100000000000002E-2</v>
      </c>
      <c r="E9838" s="2">
        <v>3.39E-2</v>
      </c>
      <c r="F9838" s="2">
        <v>2.01E-2</v>
      </c>
      <c r="G9838" s="2">
        <v>4.0599999999999997E-2</v>
      </c>
      <c r="H9838" s="2">
        <v>2.9600000000000001E-2</v>
      </c>
      <c r="I9838">
        <v>153</v>
      </c>
    </row>
    <row r="9839" spans="1:9" x14ac:dyDescent="0.35">
      <c r="A9839" t="s">
        <v>227</v>
      </c>
      <c r="B9839" t="s">
        <v>253</v>
      </c>
      <c r="C9839">
        <v>2</v>
      </c>
      <c r="D9839" s="2">
        <v>8.8099999999999998E-2</v>
      </c>
      <c r="E9839" s="2">
        <v>9.6699999999999994E-2</v>
      </c>
      <c r="F9839" s="2">
        <v>4.8500000000000001E-2</v>
      </c>
      <c r="G9839" s="2">
        <v>6.7299999999999999E-2</v>
      </c>
      <c r="H9839" s="2">
        <v>7.2999999999999995E-2</v>
      </c>
      <c r="I9839">
        <v>153</v>
      </c>
    </row>
    <row r="9840" spans="1:9" x14ac:dyDescent="0.35">
      <c r="A9840" t="s">
        <v>227</v>
      </c>
      <c r="B9840" t="s">
        <v>253</v>
      </c>
      <c r="C9840">
        <v>0</v>
      </c>
      <c r="D9840" s="2">
        <v>0.60350000000000004</v>
      </c>
      <c r="E9840" s="2">
        <v>0.754</v>
      </c>
      <c r="F9840" s="2">
        <v>0.88649999999999995</v>
      </c>
      <c r="G9840" s="2">
        <v>0.8327</v>
      </c>
      <c r="H9840" s="2">
        <v>0.83840000000000003</v>
      </c>
      <c r="I9840">
        <v>153</v>
      </c>
    </row>
    <row r="9841" spans="1:9" x14ac:dyDescent="0.35">
      <c r="A9841" t="s">
        <v>227</v>
      </c>
      <c r="B9841" t="s">
        <v>252</v>
      </c>
      <c r="C9841">
        <v>7</v>
      </c>
      <c r="D9841" s="2">
        <v>5.96E-2</v>
      </c>
      <c r="E9841" s="2">
        <v>7.1999999999999998E-3</v>
      </c>
      <c r="F9841" s="2">
        <v>3.7400000000000003E-2</v>
      </c>
      <c r="G9841" s="2">
        <v>3.7600000000000001E-2</v>
      </c>
      <c r="H9841" s="2">
        <v>2.7699999999999999E-2</v>
      </c>
      <c r="I9841">
        <v>621</v>
      </c>
    </row>
    <row r="9842" spans="1:9" x14ac:dyDescent="0.35">
      <c r="A9842" t="s">
        <v>227</v>
      </c>
      <c r="B9842" t="s">
        <v>252</v>
      </c>
      <c r="C9842">
        <v>6</v>
      </c>
      <c r="D9842" s="2">
        <v>2.5000000000000001E-3</v>
      </c>
      <c r="G9842" s="2">
        <v>1.04E-2</v>
      </c>
      <c r="H9842" s="2">
        <v>7.3000000000000001E-3</v>
      </c>
      <c r="I9842">
        <v>621</v>
      </c>
    </row>
    <row r="9843" spans="1:9" x14ac:dyDescent="0.35">
      <c r="A9843" t="s">
        <v>227</v>
      </c>
      <c r="B9843" t="s">
        <v>253</v>
      </c>
      <c r="C9843">
        <v>1</v>
      </c>
      <c r="D9843" s="2">
        <v>7.85E-2</v>
      </c>
      <c r="E9843" s="2">
        <v>0.1007</v>
      </c>
      <c r="F9843" s="2">
        <v>1.2999999999999999E-3</v>
      </c>
      <c r="G9843" s="2">
        <v>3.5999999999999999E-3</v>
      </c>
      <c r="H9843" s="2">
        <v>2.0400000000000001E-2</v>
      </c>
      <c r="I9843">
        <v>153</v>
      </c>
    </row>
    <row r="9844" spans="1:9" x14ac:dyDescent="0.35">
      <c r="A9844" t="s">
        <v>227</v>
      </c>
      <c r="B9844" t="s">
        <v>252</v>
      </c>
      <c r="C9844">
        <v>4</v>
      </c>
      <c r="D9844" s="2">
        <v>2.23E-2</v>
      </c>
      <c r="F9844" s="2">
        <v>2.7E-2</v>
      </c>
      <c r="G9844" s="2">
        <v>2.87E-2</v>
      </c>
      <c r="H9844" s="2">
        <v>1.17E-2</v>
      </c>
      <c r="I9844">
        <v>621</v>
      </c>
    </row>
    <row r="9845" spans="1:9" x14ac:dyDescent="0.35">
      <c r="A9845" t="s">
        <v>227</v>
      </c>
      <c r="B9845" t="s">
        <v>251</v>
      </c>
      <c r="C9845">
        <v>1</v>
      </c>
      <c r="D9845" s="2">
        <v>3.1300000000000001E-2</v>
      </c>
      <c r="E9845" s="2">
        <v>3.9800000000000002E-2</v>
      </c>
      <c r="F9845" s="2">
        <v>1.7000000000000001E-2</v>
      </c>
      <c r="G9845" s="2">
        <v>1.1999999999999999E-3</v>
      </c>
      <c r="H9845" s="2">
        <v>2.0799999999999999E-2</v>
      </c>
      <c r="I9845">
        <v>2030</v>
      </c>
    </row>
    <row r="9846" spans="1:9" x14ac:dyDescent="0.35">
      <c r="A9846" t="s">
        <v>227</v>
      </c>
      <c r="B9846" t="s">
        <v>251</v>
      </c>
      <c r="C9846">
        <v>2</v>
      </c>
      <c r="D9846" s="2">
        <v>8.7400000000000005E-2</v>
      </c>
      <c r="E9846" s="2">
        <v>1.66E-2</v>
      </c>
      <c r="F9846" s="2">
        <v>3.3799999999999997E-2</v>
      </c>
      <c r="G9846" s="2">
        <v>4.0000000000000002E-4</v>
      </c>
      <c r="H9846" s="2">
        <v>2.2599999999999999E-2</v>
      </c>
      <c r="I9846">
        <v>2030</v>
      </c>
    </row>
    <row r="9847" spans="1:9" x14ac:dyDescent="0.35">
      <c r="A9847" t="s">
        <v>227</v>
      </c>
      <c r="B9847" t="s">
        <v>252</v>
      </c>
      <c r="C9847">
        <v>5</v>
      </c>
      <c r="D9847" s="2">
        <v>1.47E-2</v>
      </c>
      <c r="E9847" s="2">
        <v>2E-3</v>
      </c>
      <c r="F9847" s="2">
        <v>4.0000000000000002E-4</v>
      </c>
      <c r="G9847" s="2">
        <v>2.7000000000000001E-3</v>
      </c>
      <c r="H9847" s="2">
        <v>1.26E-2</v>
      </c>
      <c r="I9847">
        <v>621</v>
      </c>
    </row>
    <row r="9848" spans="1:9" x14ac:dyDescent="0.35">
      <c r="A9848" t="s">
        <v>227</v>
      </c>
      <c r="B9848" t="s">
        <v>251</v>
      </c>
      <c r="C9848">
        <v>4</v>
      </c>
      <c r="D9848" s="2">
        <v>2.0400000000000001E-2</v>
      </c>
      <c r="E9848" s="2">
        <v>1.6999999999999999E-3</v>
      </c>
      <c r="F9848" s="2">
        <v>9.5999999999999992E-3</v>
      </c>
      <c r="G9848" s="2">
        <v>3.8E-3</v>
      </c>
      <c r="H9848" s="2">
        <v>9.4999999999999998E-3</v>
      </c>
      <c r="I9848">
        <v>2030</v>
      </c>
    </row>
    <row r="9849" spans="1:9" x14ac:dyDescent="0.35">
      <c r="A9849" t="s">
        <v>227</v>
      </c>
      <c r="B9849" t="s">
        <v>251</v>
      </c>
      <c r="C9849">
        <v>5</v>
      </c>
      <c r="D9849" s="2">
        <v>2.2100000000000002E-2</v>
      </c>
      <c r="E9849" s="2">
        <v>3.3E-3</v>
      </c>
      <c r="F9849" s="2">
        <v>1.2E-2</v>
      </c>
      <c r="G9849" s="2">
        <v>2.0000000000000001E-4</v>
      </c>
      <c r="H9849" s="2">
        <v>6.6E-3</v>
      </c>
      <c r="I9849">
        <v>2030</v>
      </c>
    </row>
    <row r="9850" spans="1:9" x14ac:dyDescent="0.35">
      <c r="A9850" t="s">
        <v>227</v>
      </c>
      <c r="B9850" t="s">
        <v>251</v>
      </c>
      <c r="C9850">
        <v>6</v>
      </c>
      <c r="D9850" s="2">
        <v>3.0999999999999999E-3</v>
      </c>
      <c r="E9850" s="2">
        <v>2.3E-3</v>
      </c>
      <c r="F9850" s="2">
        <v>5.9999999999999995E-4</v>
      </c>
      <c r="H9850" s="2">
        <v>1E-4</v>
      </c>
      <c r="I9850">
        <v>2030</v>
      </c>
    </row>
    <row r="9851" spans="1:9" x14ac:dyDescent="0.35">
      <c r="A9851" t="s">
        <v>227</v>
      </c>
      <c r="B9851" t="s">
        <v>251</v>
      </c>
      <c r="C9851">
        <v>3</v>
      </c>
      <c r="D9851" s="2">
        <v>5.2600000000000001E-2</v>
      </c>
      <c r="E9851" s="2">
        <v>1.6899999999999998E-2</v>
      </c>
      <c r="F9851" s="2">
        <v>2.9899999999999999E-2</v>
      </c>
      <c r="G9851" s="2">
        <v>2.5000000000000001E-3</v>
      </c>
      <c r="H9851" s="2">
        <v>2.2800000000000001E-2</v>
      </c>
      <c r="I9851">
        <v>2030</v>
      </c>
    </row>
    <row r="9852" spans="1:9" x14ac:dyDescent="0.35">
      <c r="A9852" t="s">
        <v>227</v>
      </c>
      <c r="B9852" t="s">
        <v>252</v>
      </c>
      <c r="C9852">
        <v>0</v>
      </c>
      <c r="D9852" s="2">
        <v>0.7198</v>
      </c>
      <c r="E9852" s="2">
        <v>0.89690000000000003</v>
      </c>
      <c r="F9852" s="2">
        <v>0.86319999999999997</v>
      </c>
      <c r="G9852" s="2">
        <v>0.84019999999999995</v>
      </c>
      <c r="H9852" s="2">
        <v>0.89019999999999999</v>
      </c>
      <c r="I9852">
        <v>621</v>
      </c>
    </row>
    <row r="9853" spans="1:9" x14ac:dyDescent="0.35">
      <c r="A9853" t="s">
        <v>227</v>
      </c>
      <c r="B9853" t="s">
        <v>252</v>
      </c>
      <c r="C9853">
        <v>1</v>
      </c>
      <c r="D9853" s="2">
        <v>1.41E-2</v>
      </c>
      <c r="E9853" s="2">
        <v>3.6499999999999998E-2</v>
      </c>
      <c r="F9853" s="2">
        <v>1.9400000000000001E-2</v>
      </c>
      <c r="G9853" s="2">
        <v>1.78E-2</v>
      </c>
      <c r="H9853" s="2">
        <v>8.8000000000000005E-3</v>
      </c>
      <c r="I9853">
        <v>621</v>
      </c>
    </row>
    <row r="9854" spans="1:9" x14ac:dyDescent="0.35">
      <c r="A9854" t="s">
        <v>227</v>
      </c>
      <c r="B9854" t="s">
        <v>252</v>
      </c>
      <c r="C9854">
        <v>2</v>
      </c>
      <c r="D9854" s="2">
        <v>8.4500000000000006E-2</v>
      </c>
      <c r="E9854" s="2">
        <v>3.4099999999999998E-2</v>
      </c>
      <c r="F9854" s="2">
        <v>3.7499999999999999E-2</v>
      </c>
      <c r="G9854" s="2">
        <v>3.5299999999999998E-2</v>
      </c>
      <c r="H9854" s="2">
        <v>2.6800000000000001E-2</v>
      </c>
      <c r="I9854">
        <v>621</v>
      </c>
    </row>
    <row r="9855" spans="1:9" x14ac:dyDescent="0.35">
      <c r="A9855" t="s">
        <v>227</v>
      </c>
      <c r="B9855" t="s">
        <v>252</v>
      </c>
      <c r="C9855">
        <v>3</v>
      </c>
      <c r="D9855" s="2">
        <v>8.2500000000000004E-2</v>
      </c>
      <c r="E9855" s="2">
        <v>2.3400000000000001E-2</v>
      </c>
      <c r="F9855" s="2">
        <v>1.5100000000000001E-2</v>
      </c>
      <c r="G9855" s="2">
        <v>2.7300000000000001E-2</v>
      </c>
      <c r="H9855" s="2">
        <v>1.49E-2</v>
      </c>
      <c r="I9855">
        <v>621</v>
      </c>
    </row>
    <row r="9856" spans="1:9" x14ac:dyDescent="0.35">
      <c r="A9856" t="s">
        <v>227</v>
      </c>
      <c r="B9856" t="s">
        <v>251</v>
      </c>
      <c r="C9856">
        <v>7</v>
      </c>
      <c r="D9856" s="2">
        <v>0.13089999999999999</v>
      </c>
      <c r="E9856" s="2">
        <v>9.1000000000000004E-3</v>
      </c>
      <c r="F9856" s="2">
        <v>4.8800000000000003E-2</v>
      </c>
      <c r="G9856" s="2">
        <v>5.3E-3</v>
      </c>
      <c r="H9856" s="2">
        <v>5.1900000000000002E-2</v>
      </c>
      <c r="I9856">
        <v>2030</v>
      </c>
    </row>
    <row r="9857" spans="1:26" x14ac:dyDescent="0.35">
      <c r="A9857" t="s">
        <v>228</v>
      </c>
      <c r="B9857" t="s">
        <v>228</v>
      </c>
      <c r="C9857">
        <v>6</v>
      </c>
      <c r="D9857" s="2">
        <v>2.8E-3</v>
      </c>
      <c r="E9857" s="2">
        <v>1.6999999999999999E-3</v>
      </c>
      <c r="F9857" s="2">
        <v>4.0000000000000002E-4</v>
      </c>
      <c r="G9857" s="2">
        <v>2.3999999999999998E-3</v>
      </c>
      <c r="H9857" s="2">
        <v>1.8E-3</v>
      </c>
      <c r="I9857">
        <v>2813</v>
      </c>
    </row>
    <row r="9858" spans="1:26" x14ac:dyDescent="0.35">
      <c r="A9858" t="s">
        <v>228</v>
      </c>
      <c r="B9858" t="s">
        <v>228</v>
      </c>
      <c r="C9858">
        <v>0</v>
      </c>
      <c r="D9858" s="2">
        <v>0.66559999999999997</v>
      </c>
      <c r="E9858" s="2">
        <v>0.89839999999999998</v>
      </c>
      <c r="F9858" s="2">
        <v>0.85399999999999998</v>
      </c>
      <c r="G9858" s="2">
        <v>0.94440000000000002</v>
      </c>
      <c r="H9858" s="2">
        <v>0.86960000000000004</v>
      </c>
      <c r="I9858">
        <v>2813</v>
      </c>
    </row>
    <row r="9859" spans="1:26" x14ac:dyDescent="0.35">
      <c r="A9859" t="s">
        <v>228</v>
      </c>
      <c r="B9859" t="s">
        <v>228</v>
      </c>
      <c r="C9859">
        <v>1</v>
      </c>
      <c r="D9859" s="2">
        <v>2.9700000000000001E-2</v>
      </c>
      <c r="E9859" s="2">
        <v>4.2799999999999998E-2</v>
      </c>
      <c r="F9859" s="2">
        <v>1.67E-2</v>
      </c>
      <c r="G9859" s="2">
        <v>5.1000000000000004E-3</v>
      </c>
      <c r="H9859" s="2">
        <v>1.7999999999999999E-2</v>
      </c>
      <c r="I9859">
        <v>2813</v>
      </c>
    </row>
    <row r="9860" spans="1:26" x14ac:dyDescent="0.35">
      <c r="A9860" t="s">
        <v>228</v>
      </c>
      <c r="B9860" t="s">
        <v>228</v>
      </c>
      <c r="C9860">
        <v>2</v>
      </c>
      <c r="D9860" s="2">
        <v>8.6699999999999999E-2</v>
      </c>
      <c r="E9860" s="2">
        <v>2.4799999999999999E-2</v>
      </c>
      <c r="F9860" s="2">
        <v>3.5400000000000001E-2</v>
      </c>
      <c r="G9860" s="2">
        <v>1.1900000000000001E-2</v>
      </c>
      <c r="H9860" s="2">
        <v>2.6700000000000002E-2</v>
      </c>
      <c r="I9860">
        <v>2813</v>
      </c>
    </row>
    <row r="9861" spans="1:26" x14ac:dyDescent="0.35">
      <c r="A9861" t="s">
        <v>228</v>
      </c>
      <c r="B9861" t="s">
        <v>228</v>
      </c>
      <c r="C9861">
        <v>3</v>
      </c>
      <c r="D9861" s="2">
        <v>5.8700000000000002E-2</v>
      </c>
      <c r="E9861" s="2">
        <v>1.9300000000000001E-2</v>
      </c>
      <c r="F9861" s="2">
        <v>2.5999999999999999E-2</v>
      </c>
      <c r="G9861" s="2">
        <v>1.0200000000000001E-2</v>
      </c>
      <c r="H9861" s="2">
        <v>2.1299999999999999E-2</v>
      </c>
      <c r="I9861">
        <v>2813</v>
      </c>
    </row>
    <row r="9862" spans="1:26" x14ac:dyDescent="0.35">
      <c r="A9862" t="s">
        <v>228</v>
      </c>
      <c r="B9862" t="s">
        <v>228</v>
      </c>
      <c r="C9862">
        <v>4</v>
      </c>
      <c r="D9862" s="2">
        <v>2.4E-2</v>
      </c>
      <c r="E9862" s="2">
        <v>1.6000000000000001E-3</v>
      </c>
      <c r="F9862" s="2">
        <v>1.38E-2</v>
      </c>
      <c r="G9862" s="2">
        <v>1.01E-2</v>
      </c>
      <c r="H9862" s="2">
        <v>1.0200000000000001E-2</v>
      </c>
      <c r="I9862">
        <v>2813</v>
      </c>
    </row>
    <row r="9863" spans="1:26" x14ac:dyDescent="0.35">
      <c r="A9863" t="s">
        <v>228</v>
      </c>
      <c r="B9863" t="s">
        <v>228</v>
      </c>
      <c r="C9863">
        <v>5</v>
      </c>
      <c r="D9863" s="2">
        <v>2.1700000000000001E-2</v>
      </c>
      <c r="E9863" s="2">
        <v>2.8E-3</v>
      </c>
      <c r="F9863" s="2">
        <v>8.8000000000000005E-3</v>
      </c>
      <c r="G9863" s="2">
        <v>8.9999999999999998E-4</v>
      </c>
      <c r="H9863" s="2">
        <v>7.9000000000000008E-3</v>
      </c>
      <c r="I9863">
        <v>2813</v>
      </c>
    </row>
    <row r="9864" spans="1:26" x14ac:dyDescent="0.35">
      <c r="A9864" t="s">
        <v>228</v>
      </c>
      <c r="B9864" t="s">
        <v>228</v>
      </c>
      <c r="C9864">
        <v>7</v>
      </c>
      <c r="D9864" s="2">
        <v>0.1108</v>
      </c>
      <c r="E9864" s="2">
        <v>8.6E-3</v>
      </c>
      <c r="F9864" s="2">
        <v>4.5100000000000001E-2</v>
      </c>
      <c r="G9864" s="2">
        <v>1.4999999999999999E-2</v>
      </c>
      <c r="H9864" s="2">
        <v>4.4600000000000001E-2</v>
      </c>
      <c r="I9864">
        <v>2813</v>
      </c>
    </row>
    <row r="9866" spans="1:26" x14ac:dyDescent="0.35">
      <c r="A9866" s="1" t="s">
        <v>2275</v>
      </c>
    </row>
    <row r="9867" spans="1:26" x14ac:dyDescent="0.35">
      <c r="A9867" t="s">
        <v>219</v>
      </c>
      <c r="B9867" t="s">
        <v>540</v>
      </c>
      <c r="C9867" t="s">
        <v>2276</v>
      </c>
      <c r="D9867" t="s">
        <v>2277</v>
      </c>
      <c r="E9867" t="s">
        <v>2278</v>
      </c>
      <c r="F9867" t="s">
        <v>2279</v>
      </c>
      <c r="G9867" t="s">
        <v>2280</v>
      </c>
      <c r="H9867" t="s">
        <v>2281</v>
      </c>
      <c r="I9867" t="s">
        <v>2282</v>
      </c>
      <c r="J9867" t="s">
        <v>2283</v>
      </c>
      <c r="K9867" t="s">
        <v>2284</v>
      </c>
      <c r="L9867" t="s">
        <v>2285</v>
      </c>
      <c r="M9867" t="s">
        <v>2286</v>
      </c>
      <c r="N9867" t="s">
        <v>2287</v>
      </c>
      <c r="O9867" t="s">
        <v>2288</v>
      </c>
      <c r="P9867" t="s">
        <v>2289</v>
      </c>
      <c r="Q9867" t="s">
        <v>2290</v>
      </c>
      <c r="R9867" t="s">
        <v>2291</v>
      </c>
      <c r="S9867" t="s">
        <v>2292</v>
      </c>
      <c r="T9867" t="s">
        <v>318</v>
      </c>
      <c r="U9867" t="s">
        <v>2293</v>
      </c>
      <c r="V9867" t="s">
        <v>2294</v>
      </c>
      <c r="W9867" t="s">
        <v>277</v>
      </c>
      <c r="X9867" t="s">
        <v>282</v>
      </c>
      <c r="Y9867" t="s">
        <v>226</v>
      </c>
    </row>
    <row r="9868" spans="1:26" x14ac:dyDescent="0.35">
      <c r="A9868" t="s">
        <v>227</v>
      </c>
      <c r="B9868" s="2">
        <v>0.50360000000000005</v>
      </c>
      <c r="C9868" s="2">
        <v>0.2873</v>
      </c>
      <c r="D9868" s="2">
        <v>7.9000000000000001E-2</v>
      </c>
      <c r="E9868" s="2">
        <v>5.91E-2</v>
      </c>
      <c r="F9868" s="2">
        <v>5.8900000000000001E-2</v>
      </c>
      <c r="G9868" s="2">
        <v>5.3600000000000002E-2</v>
      </c>
      <c r="H9868" s="2">
        <v>4.2000000000000003E-2</v>
      </c>
      <c r="I9868" s="2">
        <v>3.5000000000000003E-2</v>
      </c>
      <c r="J9868" s="2">
        <v>3.1899999999999998E-2</v>
      </c>
      <c r="K9868" s="2">
        <v>2.9499999999999998E-2</v>
      </c>
      <c r="L9868" s="2">
        <v>2.7199999999999998E-2</v>
      </c>
      <c r="M9868" s="2">
        <v>2.2800000000000001E-2</v>
      </c>
      <c r="N9868" s="2">
        <v>2.1100000000000001E-2</v>
      </c>
      <c r="O9868" s="2">
        <v>1.8100000000000002E-2</v>
      </c>
      <c r="P9868" s="2">
        <v>1.0500000000000001E-2</v>
      </c>
      <c r="Q9868" s="2">
        <v>0.01</v>
      </c>
      <c r="R9868" s="2">
        <v>9.4000000000000004E-3</v>
      </c>
      <c r="S9868" s="2">
        <v>9.2999999999999992E-3</v>
      </c>
      <c r="T9868" s="2">
        <v>8.6E-3</v>
      </c>
      <c r="U9868" s="2">
        <v>7.7999999999999996E-3</v>
      </c>
      <c r="V9868" s="2">
        <v>6.0000000000000001E-3</v>
      </c>
      <c r="W9868" s="2">
        <v>5.3E-3</v>
      </c>
      <c r="X9868" s="2">
        <v>2.0999999999999999E-3</v>
      </c>
      <c r="Y9868">
        <v>2792</v>
      </c>
    </row>
    <row r="9869" spans="1:26" x14ac:dyDescent="0.35">
      <c r="A9869" t="s">
        <v>228</v>
      </c>
      <c r="B9869" s="2">
        <v>0.50360000000000005</v>
      </c>
      <c r="C9869" s="2">
        <v>0.2873</v>
      </c>
      <c r="D9869" s="2">
        <v>7.9000000000000001E-2</v>
      </c>
      <c r="E9869" s="2">
        <v>5.91E-2</v>
      </c>
      <c r="F9869" s="2">
        <v>5.8900000000000001E-2</v>
      </c>
      <c r="G9869" s="2">
        <v>5.3600000000000002E-2</v>
      </c>
      <c r="H9869" s="2">
        <v>4.2000000000000003E-2</v>
      </c>
      <c r="I9869" s="2">
        <v>3.5000000000000003E-2</v>
      </c>
      <c r="J9869" s="2">
        <v>3.1899999999999998E-2</v>
      </c>
      <c r="K9869" s="2">
        <v>2.9499999999999998E-2</v>
      </c>
      <c r="L9869" s="2">
        <v>2.7199999999999998E-2</v>
      </c>
      <c r="M9869" s="2">
        <v>2.2800000000000001E-2</v>
      </c>
      <c r="N9869" s="2">
        <v>2.1100000000000001E-2</v>
      </c>
      <c r="O9869" s="2">
        <v>1.8100000000000002E-2</v>
      </c>
      <c r="P9869" s="2">
        <v>1.0500000000000001E-2</v>
      </c>
      <c r="Q9869" s="2">
        <v>0.01</v>
      </c>
      <c r="R9869" s="2">
        <v>9.4000000000000004E-3</v>
      </c>
      <c r="S9869" s="2">
        <v>9.2999999999999992E-3</v>
      </c>
      <c r="T9869" s="2">
        <v>8.6E-3</v>
      </c>
      <c r="U9869" s="2">
        <v>7.7999999999999996E-3</v>
      </c>
      <c r="V9869" s="2">
        <v>6.0000000000000001E-3</v>
      </c>
      <c r="W9869" s="2">
        <v>5.3E-3</v>
      </c>
      <c r="X9869" s="2">
        <v>2.0999999999999999E-3</v>
      </c>
      <c r="Y9869">
        <v>2792</v>
      </c>
    </row>
    <row r="9871" spans="1:26" x14ac:dyDescent="0.35">
      <c r="A9871" s="1" t="s">
        <v>2295</v>
      </c>
    </row>
    <row r="9872" spans="1:26" x14ac:dyDescent="0.35">
      <c r="A9872" t="s">
        <v>219</v>
      </c>
      <c r="B9872" t="s">
        <v>301</v>
      </c>
      <c r="C9872" t="s">
        <v>540</v>
      </c>
      <c r="D9872" t="s">
        <v>2276</v>
      </c>
      <c r="E9872" t="s">
        <v>2277</v>
      </c>
      <c r="F9872" t="s">
        <v>2278</v>
      </c>
      <c r="G9872" t="s">
        <v>2279</v>
      </c>
      <c r="H9872" t="s">
        <v>2280</v>
      </c>
      <c r="I9872" t="s">
        <v>2281</v>
      </c>
      <c r="J9872" t="s">
        <v>2282</v>
      </c>
      <c r="K9872" t="s">
        <v>2283</v>
      </c>
      <c r="L9872" t="s">
        <v>2284</v>
      </c>
      <c r="M9872" t="s">
        <v>2285</v>
      </c>
      <c r="N9872" t="s">
        <v>2286</v>
      </c>
      <c r="O9872" t="s">
        <v>2287</v>
      </c>
      <c r="P9872" t="s">
        <v>2288</v>
      </c>
      <c r="Q9872" t="s">
        <v>2289</v>
      </c>
      <c r="R9872" t="s">
        <v>2290</v>
      </c>
      <c r="S9872" t="s">
        <v>2291</v>
      </c>
      <c r="T9872" t="s">
        <v>2292</v>
      </c>
      <c r="U9872" t="s">
        <v>318</v>
      </c>
      <c r="V9872" t="s">
        <v>2293</v>
      </c>
      <c r="W9872" t="s">
        <v>2294</v>
      </c>
      <c r="X9872" t="s">
        <v>277</v>
      </c>
      <c r="Y9872" t="s">
        <v>282</v>
      </c>
      <c r="Z9872" t="s">
        <v>226</v>
      </c>
    </row>
    <row r="9873" spans="1:26" x14ac:dyDescent="0.35">
      <c r="A9873" t="s">
        <v>227</v>
      </c>
      <c r="B9873" t="s">
        <v>238</v>
      </c>
      <c r="C9873" s="2">
        <v>0.37719999999999998</v>
      </c>
      <c r="D9873" s="2">
        <v>0.37069999999999997</v>
      </c>
      <c r="E9873" s="2">
        <v>0.13439999999999999</v>
      </c>
      <c r="F9873" s="2">
        <v>8.9499999999999996E-2</v>
      </c>
      <c r="G9873" s="2">
        <v>6.88E-2</v>
      </c>
      <c r="H9873" s="2">
        <v>4.0800000000000003E-2</v>
      </c>
      <c r="I9873" s="2">
        <v>6.5500000000000003E-2</v>
      </c>
      <c r="J9873" s="2">
        <v>3.6200000000000003E-2</v>
      </c>
      <c r="K9873" s="2">
        <v>5.28E-2</v>
      </c>
      <c r="L9873" s="2">
        <v>4.2999999999999997E-2</v>
      </c>
      <c r="M9873" s="2">
        <v>3.6400000000000002E-2</v>
      </c>
      <c r="N9873" s="2">
        <v>3.7199999999999997E-2</v>
      </c>
      <c r="O9873" s="2">
        <v>2.4299999999999999E-2</v>
      </c>
      <c r="P9873" s="2">
        <v>2.3800000000000002E-2</v>
      </c>
      <c r="Q9873" s="2">
        <v>1.38E-2</v>
      </c>
      <c r="R9873" s="2">
        <v>1.0999999999999999E-2</v>
      </c>
      <c r="S9873" s="2">
        <v>6.4999999999999997E-3</v>
      </c>
      <c r="T9873" s="2">
        <v>1.2999999999999999E-2</v>
      </c>
      <c r="U9873" s="2">
        <v>1.5800000000000002E-2</v>
      </c>
      <c r="V9873" s="2">
        <v>4.4999999999999997E-3</v>
      </c>
      <c r="W9873" s="2">
        <v>1.1599999999999999E-2</v>
      </c>
      <c r="X9873" s="2">
        <v>4.0000000000000001E-3</v>
      </c>
      <c r="Y9873" s="2">
        <v>4.4000000000000003E-3</v>
      </c>
      <c r="Z9873">
        <v>999</v>
      </c>
    </row>
    <row r="9874" spans="1:26" x14ac:dyDescent="0.35">
      <c r="A9874" t="s">
        <v>227</v>
      </c>
      <c r="B9874" t="s">
        <v>237</v>
      </c>
      <c r="C9874" s="2">
        <v>0.57779999999999998</v>
      </c>
      <c r="D9874" s="2">
        <v>0.2384</v>
      </c>
      <c r="E9874" s="2">
        <v>4.65E-2</v>
      </c>
      <c r="F9874" s="2">
        <v>4.1300000000000003E-2</v>
      </c>
      <c r="G9874" s="2">
        <v>5.3199999999999997E-2</v>
      </c>
      <c r="H9874" s="2">
        <v>6.1100000000000002E-2</v>
      </c>
      <c r="I9874" s="2">
        <v>2.8199999999999999E-2</v>
      </c>
      <c r="J9874" s="2">
        <v>3.4299999999999997E-2</v>
      </c>
      <c r="K9874" s="2">
        <v>1.9699999999999999E-2</v>
      </c>
      <c r="L9874" s="2">
        <v>2.1600000000000001E-2</v>
      </c>
      <c r="M9874" s="2">
        <v>2.18E-2</v>
      </c>
      <c r="N9874" s="2">
        <v>1.43E-2</v>
      </c>
      <c r="O9874" s="2">
        <v>1.9300000000000001E-2</v>
      </c>
      <c r="P9874" s="2">
        <v>1.47E-2</v>
      </c>
      <c r="Q9874" s="2">
        <v>8.5000000000000006E-3</v>
      </c>
      <c r="R9874" s="2">
        <v>9.4000000000000004E-3</v>
      </c>
      <c r="S9874" s="2">
        <v>1.0999999999999999E-2</v>
      </c>
      <c r="T9874" s="2">
        <v>7.1000000000000004E-3</v>
      </c>
      <c r="U9874" s="2">
        <v>4.4000000000000003E-3</v>
      </c>
      <c r="V9874" s="2">
        <v>9.7999999999999997E-3</v>
      </c>
      <c r="W9874" s="2">
        <v>2.7000000000000001E-3</v>
      </c>
      <c r="X9874" s="2">
        <v>6.0000000000000001E-3</v>
      </c>
      <c r="Y9874" s="2">
        <v>8.0000000000000004E-4</v>
      </c>
      <c r="Z9874">
        <v>1793</v>
      </c>
    </row>
    <row r="9875" spans="1:26" x14ac:dyDescent="0.35">
      <c r="A9875" t="s">
        <v>228</v>
      </c>
      <c r="B9875" t="s">
        <v>228</v>
      </c>
      <c r="C9875" s="2">
        <v>0.50360000000000005</v>
      </c>
      <c r="D9875" s="2">
        <v>0.2873</v>
      </c>
      <c r="E9875" s="2">
        <v>7.9000000000000001E-2</v>
      </c>
      <c r="F9875" s="2">
        <v>5.91E-2</v>
      </c>
      <c r="G9875" s="2">
        <v>5.8900000000000001E-2</v>
      </c>
      <c r="H9875" s="2">
        <v>5.3600000000000002E-2</v>
      </c>
      <c r="I9875" s="2">
        <v>4.2000000000000003E-2</v>
      </c>
      <c r="J9875" s="2">
        <v>3.5000000000000003E-2</v>
      </c>
      <c r="K9875" s="2">
        <v>3.1899999999999998E-2</v>
      </c>
      <c r="L9875" s="2">
        <v>2.9499999999999998E-2</v>
      </c>
      <c r="M9875" s="2">
        <v>2.7199999999999998E-2</v>
      </c>
      <c r="N9875" s="2">
        <v>2.2800000000000001E-2</v>
      </c>
      <c r="O9875" s="2">
        <v>2.1100000000000001E-2</v>
      </c>
      <c r="P9875" s="2">
        <v>1.8100000000000002E-2</v>
      </c>
      <c r="Q9875" s="2">
        <v>1.0500000000000001E-2</v>
      </c>
      <c r="R9875" s="2">
        <v>0.01</v>
      </c>
      <c r="S9875" s="2">
        <v>9.4000000000000004E-3</v>
      </c>
      <c r="T9875" s="2">
        <v>9.2999999999999992E-3</v>
      </c>
      <c r="U9875" s="2">
        <v>8.6E-3</v>
      </c>
      <c r="V9875" s="2">
        <v>7.7999999999999996E-3</v>
      </c>
      <c r="W9875" s="2">
        <v>6.0000000000000001E-3</v>
      </c>
      <c r="X9875" s="2">
        <v>5.3E-3</v>
      </c>
      <c r="Y9875" s="2">
        <v>2.0999999999999999E-3</v>
      </c>
      <c r="Z9875">
        <v>2792</v>
      </c>
    </row>
    <row r="9877" spans="1:26" x14ac:dyDescent="0.35">
      <c r="A9877" s="1" t="s">
        <v>2296</v>
      </c>
    </row>
    <row r="9878" spans="1:26" x14ac:dyDescent="0.35">
      <c r="A9878" t="s">
        <v>219</v>
      </c>
      <c r="B9878" t="s">
        <v>301</v>
      </c>
      <c r="C9878" t="s">
        <v>540</v>
      </c>
      <c r="D9878" t="s">
        <v>2276</v>
      </c>
      <c r="E9878" t="s">
        <v>2277</v>
      </c>
      <c r="F9878" t="s">
        <v>2278</v>
      </c>
      <c r="G9878" t="s">
        <v>2279</v>
      </c>
      <c r="H9878" t="s">
        <v>2280</v>
      </c>
      <c r="I9878" t="s">
        <v>2281</v>
      </c>
      <c r="J9878" t="s">
        <v>2282</v>
      </c>
      <c r="K9878" t="s">
        <v>2283</v>
      </c>
      <c r="L9878" t="s">
        <v>2284</v>
      </c>
      <c r="M9878" t="s">
        <v>2285</v>
      </c>
      <c r="N9878" t="s">
        <v>2286</v>
      </c>
      <c r="O9878" t="s">
        <v>2287</v>
      </c>
      <c r="P9878" t="s">
        <v>2288</v>
      </c>
      <c r="Q9878" t="s">
        <v>2289</v>
      </c>
      <c r="R9878" t="s">
        <v>2290</v>
      </c>
      <c r="S9878" t="s">
        <v>2291</v>
      </c>
      <c r="T9878" t="s">
        <v>2292</v>
      </c>
      <c r="U9878" t="s">
        <v>318</v>
      </c>
      <c r="V9878" t="s">
        <v>2293</v>
      </c>
      <c r="W9878" t="s">
        <v>2294</v>
      </c>
      <c r="X9878" t="s">
        <v>277</v>
      </c>
      <c r="Y9878" t="s">
        <v>282</v>
      </c>
      <c r="Z9878" t="s">
        <v>226</v>
      </c>
    </row>
    <row r="9879" spans="1:26" x14ac:dyDescent="0.35">
      <c r="A9879" t="s">
        <v>227</v>
      </c>
      <c r="B9879" t="s">
        <v>235</v>
      </c>
      <c r="C9879" s="2">
        <v>0.46379999999999999</v>
      </c>
      <c r="D9879" s="2">
        <v>0.31590000000000001</v>
      </c>
      <c r="E9879" s="2">
        <v>8.48E-2</v>
      </c>
      <c r="F9879" s="2">
        <v>0.06</v>
      </c>
      <c r="G9879" s="2">
        <v>3.56E-2</v>
      </c>
      <c r="H9879" s="2">
        <v>3.8399999999999997E-2</v>
      </c>
      <c r="I9879" s="2">
        <v>4.7899999999999998E-2</v>
      </c>
      <c r="J9879" s="2">
        <v>3.7499999999999999E-2</v>
      </c>
      <c r="K9879" s="2">
        <v>4.1399999999999999E-2</v>
      </c>
      <c r="L9879" s="2">
        <v>3.6900000000000002E-2</v>
      </c>
      <c r="M9879" s="2">
        <v>4.1200000000000001E-2</v>
      </c>
      <c r="N9879" s="2">
        <v>3.5299999999999998E-2</v>
      </c>
      <c r="O9879" s="2">
        <v>3.85E-2</v>
      </c>
      <c r="P9879" s="2">
        <v>2.29E-2</v>
      </c>
      <c r="Q9879" s="2">
        <v>1.72E-2</v>
      </c>
      <c r="R9879" s="2">
        <v>1.7100000000000001E-2</v>
      </c>
      <c r="S9879" s="2">
        <v>9.7000000000000003E-3</v>
      </c>
      <c r="T9879" s="2">
        <v>5.7999999999999996E-3</v>
      </c>
      <c r="U9879" s="2">
        <v>1.7999999999999999E-2</v>
      </c>
      <c r="V9879" s="2">
        <v>3.5999999999999999E-3</v>
      </c>
      <c r="W9879" s="2">
        <v>5.3E-3</v>
      </c>
      <c r="X9879" s="2">
        <v>4.7999999999999996E-3</v>
      </c>
      <c r="Y9879" s="2">
        <v>1.2999999999999999E-3</v>
      </c>
      <c r="Z9879">
        <v>987</v>
      </c>
    </row>
    <row r="9880" spans="1:26" x14ac:dyDescent="0.35">
      <c r="A9880" t="s">
        <v>227</v>
      </c>
      <c r="B9880" t="s">
        <v>234</v>
      </c>
      <c r="C9880" s="2">
        <v>0.52039999999999997</v>
      </c>
      <c r="D9880" s="2">
        <v>0.27529999999999999</v>
      </c>
      <c r="E9880" s="2">
        <v>7.6600000000000001E-2</v>
      </c>
      <c r="F9880" s="2">
        <v>5.8799999999999998E-2</v>
      </c>
      <c r="G9880" s="2">
        <v>6.88E-2</v>
      </c>
      <c r="H9880" s="2">
        <v>0.06</v>
      </c>
      <c r="I9880" s="2">
        <v>3.95E-2</v>
      </c>
      <c r="J9880" s="2">
        <v>3.4000000000000002E-2</v>
      </c>
      <c r="K9880" s="2">
        <v>2.7900000000000001E-2</v>
      </c>
      <c r="L9880" s="2">
        <v>2.64E-2</v>
      </c>
      <c r="M9880" s="2">
        <v>2.1299999999999999E-2</v>
      </c>
      <c r="N9880" s="2">
        <v>1.7500000000000002E-2</v>
      </c>
      <c r="O9880" s="2">
        <v>1.38E-2</v>
      </c>
      <c r="P9880" s="2">
        <v>1.61E-2</v>
      </c>
      <c r="Q9880" s="2">
        <v>7.6E-3</v>
      </c>
      <c r="R9880" s="2">
        <v>6.8999999999999999E-3</v>
      </c>
      <c r="S9880" s="2">
        <v>9.1999999999999998E-3</v>
      </c>
      <c r="T9880" s="2">
        <v>1.0800000000000001E-2</v>
      </c>
      <c r="U9880" s="2">
        <v>4.7000000000000002E-3</v>
      </c>
      <c r="V9880" s="2">
        <v>9.5999999999999992E-3</v>
      </c>
      <c r="W9880" s="2">
        <v>6.3E-3</v>
      </c>
      <c r="X9880" s="2">
        <v>5.4999999999999997E-3</v>
      </c>
      <c r="Y9880" s="2">
        <v>2.5000000000000001E-3</v>
      </c>
      <c r="Z9880">
        <v>1805</v>
      </c>
    </row>
    <row r="9881" spans="1:26" x14ac:dyDescent="0.35">
      <c r="A9881" t="s">
        <v>228</v>
      </c>
      <c r="B9881" t="s">
        <v>228</v>
      </c>
      <c r="C9881" s="2">
        <v>0.50360000000000005</v>
      </c>
      <c r="D9881" s="2">
        <v>0.2873</v>
      </c>
      <c r="E9881" s="2">
        <v>7.9000000000000001E-2</v>
      </c>
      <c r="F9881" s="2">
        <v>5.91E-2</v>
      </c>
      <c r="G9881" s="2">
        <v>5.8900000000000001E-2</v>
      </c>
      <c r="H9881" s="2">
        <v>5.3600000000000002E-2</v>
      </c>
      <c r="I9881" s="2">
        <v>4.2000000000000003E-2</v>
      </c>
      <c r="J9881" s="2">
        <v>3.5000000000000003E-2</v>
      </c>
      <c r="K9881" s="2">
        <v>3.1899999999999998E-2</v>
      </c>
      <c r="L9881" s="2">
        <v>2.9499999999999998E-2</v>
      </c>
      <c r="M9881" s="2">
        <v>2.7199999999999998E-2</v>
      </c>
      <c r="N9881" s="2">
        <v>2.2800000000000001E-2</v>
      </c>
      <c r="O9881" s="2">
        <v>2.1100000000000001E-2</v>
      </c>
      <c r="P9881" s="2">
        <v>1.8100000000000002E-2</v>
      </c>
      <c r="Q9881" s="2">
        <v>1.0500000000000001E-2</v>
      </c>
      <c r="R9881" s="2">
        <v>0.01</v>
      </c>
      <c r="S9881" s="2">
        <v>9.4000000000000004E-3</v>
      </c>
      <c r="T9881" s="2">
        <v>9.2999999999999992E-3</v>
      </c>
      <c r="U9881" s="2">
        <v>8.6E-3</v>
      </c>
      <c r="V9881" s="2">
        <v>7.7999999999999996E-3</v>
      </c>
      <c r="W9881" s="2">
        <v>6.0000000000000001E-3</v>
      </c>
      <c r="X9881" s="2">
        <v>5.3E-3</v>
      </c>
      <c r="Y9881" s="2">
        <v>2.0999999999999999E-3</v>
      </c>
      <c r="Z9881">
        <v>2792</v>
      </c>
    </row>
    <row r="9883" spans="1:26" x14ac:dyDescent="0.35">
      <c r="A9883" s="1" t="s">
        <v>2297</v>
      </c>
    </row>
    <row r="9884" spans="1:26" x14ac:dyDescent="0.35">
      <c r="A9884" t="s">
        <v>219</v>
      </c>
      <c r="B9884" t="s">
        <v>301</v>
      </c>
      <c r="C9884" t="s">
        <v>540</v>
      </c>
      <c r="D9884" t="s">
        <v>2276</v>
      </c>
      <c r="E9884" t="s">
        <v>2277</v>
      </c>
      <c r="F9884" t="s">
        <v>2278</v>
      </c>
      <c r="G9884" t="s">
        <v>2279</v>
      </c>
      <c r="H9884" t="s">
        <v>2280</v>
      </c>
      <c r="I9884" t="s">
        <v>2281</v>
      </c>
      <c r="J9884" t="s">
        <v>2282</v>
      </c>
      <c r="K9884" t="s">
        <v>2283</v>
      </c>
      <c r="L9884" t="s">
        <v>2284</v>
      </c>
      <c r="M9884" t="s">
        <v>2285</v>
      </c>
      <c r="N9884" t="s">
        <v>2286</v>
      </c>
      <c r="O9884" t="s">
        <v>2287</v>
      </c>
      <c r="P9884" t="s">
        <v>2288</v>
      </c>
      <c r="Q9884" t="s">
        <v>2289</v>
      </c>
      <c r="R9884" t="s">
        <v>2290</v>
      </c>
      <c r="S9884" t="s">
        <v>2291</v>
      </c>
      <c r="T9884" t="s">
        <v>2292</v>
      </c>
      <c r="U9884" t="s">
        <v>318</v>
      </c>
      <c r="V9884" t="s">
        <v>2293</v>
      </c>
      <c r="W9884" t="s">
        <v>2294</v>
      </c>
      <c r="X9884" t="s">
        <v>277</v>
      </c>
      <c r="Y9884" t="s">
        <v>282</v>
      </c>
      <c r="Z9884" t="s">
        <v>226</v>
      </c>
    </row>
    <row r="9885" spans="1:26" x14ac:dyDescent="0.35">
      <c r="A9885" t="s">
        <v>227</v>
      </c>
      <c r="B9885" t="s">
        <v>240</v>
      </c>
      <c r="C9885" s="2">
        <v>0.51500000000000001</v>
      </c>
      <c r="D9885" s="2">
        <v>0.27939999999999998</v>
      </c>
      <c r="E9885" s="2">
        <v>7.5399999999999995E-2</v>
      </c>
      <c r="F9885" s="2">
        <v>5.4399999999999997E-2</v>
      </c>
      <c r="G9885" s="2">
        <v>6.3799999999999996E-2</v>
      </c>
      <c r="H9885" s="2">
        <v>5.4600000000000003E-2</v>
      </c>
      <c r="I9885" s="2">
        <v>4.36E-2</v>
      </c>
      <c r="J9885" s="2">
        <v>3.1199999999999999E-2</v>
      </c>
      <c r="K9885" s="2">
        <v>3.4700000000000002E-2</v>
      </c>
      <c r="L9885" s="2">
        <v>2.1499999999999998E-2</v>
      </c>
      <c r="M9885" s="2">
        <v>2.35E-2</v>
      </c>
      <c r="N9885" s="2">
        <v>2.4E-2</v>
      </c>
      <c r="O9885" s="2">
        <v>2.2599999999999999E-2</v>
      </c>
      <c r="P9885" s="2">
        <v>1.7999999999999999E-2</v>
      </c>
      <c r="Q9885" s="2">
        <v>9.7000000000000003E-3</v>
      </c>
      <c r="R9885" s="2">
        <v>1.1599999999999999E-2</v>
      </c>
      <c r="S9885" s="2">
        <v>1.0500000000000001E-2</v>
      </c>
      <c r="T9885" s="2">
        <v>9.9000000000000008E-3</v>
      </c>
      <c r="U9885" s="2">
        <v>1.24E-2</v>
      </c>
      <c r="V9885" s="2">
        <v>7.6E-3</v>
      </c>
      <c r="W9885" s="2">
        <v>6.1999999999999998E-3</v>
      </c>
      <c r="X9885" s="2">
        <v>6.1000000000000004E-3</v>
      </c>
      <c r="Y9885" s="2">
        <v>3.3E-3</v>
      </c>
      <c r="Z9885">
        <v>1742</v>
      </c>
    </row>
    <row r="9886" spans="1:26" x14ac:dyDescent="0.35">
      <c r="A9886" t="s">
        <v>227</v>
      </c>
      <c r="B9886" t="s">
        <v>241</v>
      </c>
      <c r="C9886" s="2">
        <v>0.49990000000000001</v>
      </c>
      <c r="D9886" s="2">
        <v>0.28589999999999999</v>
      </c>
      <c r="E9886" s="2">
        <v>7.9600000000000004E-2</v>
      </c>
      <c r="F9886" s="2">
        <v>5.4199999999999998E-2</v>
      </c>
      <c r="G9886" s="2">
        <v>4.5999999999999999E-2</v>
      </c>
      <c r="H9886" s="2">
        <v>4.7500000000000001E-2</v>
      </c>
      <c r="I9886" s="2">
        <v>4.3499999999999997E-2</v>
      </c>
      <c r="J9886" s="2">
        <v>4.6399999999999997E-2</v>
      </c>
      <c r="K9886" s="2">
        <v>1.29E-2</v>
      </c>
      <c r="L9886" s="2">
        <v>2.8500000000000001E-2</v>
      </c>
      <c r="M9886" s="2">
        <v>3.9399999999999998E-2</v>
      </c>
      <c r="N9886" s="2">
        <v>2.0299999999999999E-2</v>
      </c>
      <c r="O9886" s="2">
        <v>1.7000000000000001E-2</v>
      </c>
      <c r="P9886" s="2">
        <v>2.0899999999999998E-2</v>
      </c>
      <c r="Q9886" s="2">
        <v>1.1900000000000001E-2</v>
      </c>
      <c r="R9886" s="2">
        <v>8.8000000000000005E-3</v>
      </c>
      <c r="S9886" s="2">
        <v>5.9999999999999995E-4</v>
      </c>
      <c r="T9886" s="2">
        <v>0.01</v>
      </c>
      <c r="U9886" s="2">
        <v>1E-4</v>
      </c>
      <c r="V9886" s="2">
        <v>7.7000000000000002E-3</v>
      </c>
      <c r="W9886" s="2">
        <v>6.8999999999999999E-3</v>
      </c>
      <c r="X9886" s="2">
        <v>4.7000000000000002E-3</v>
      </c>
      <c r="Y9886" s="2">
        <v>2.0000000000000001E-4</v>
      </c>
      <c r="Z9886">
        <v>884</v>
      </c>
    </row>
    <row r="9887" spans="1:26" x14ac:dyDescent="0.35">
      <c r="A9887" t="s">
        <v>227</v>
      </c>
      <c r="B9887" t="s">
        <v>242</v>
      </c>
      <c r="C9887" s="2">
        <v>0.4108</v>
      </c>
      <c r="D9887" s="2">
        <v>0.36930000000000002</v>
      </c>
      <c r="E9887" s="2">
        <v>0.1114</v>
      </c>
      <c r="F9887" s="2">
        <v>0.1258</v>
      </c>
      <c r="G9887" s="2">
        <v>6.9099999999999995E-2</v>
      </c>
      <c r="H9887" s="2">
        <v>7.0900000000000005E-2</v>
      </c>
      <c r="I9887" s="2">
        <v>2.0199999999999999E-2</v>
      </c>
      <c r="J9887" s="2">
        <v>2.1499999999999998E-2</v>
      </c>
      <c r="K9887" s="2">
        <v>8.9200000000000002E-2</v>
      </c>
      <c r="L9887" s="2">
        <v>0.1105</v>
      </c>
      <c r="M9887" s="2">
        <v>9.1000000000000004E-3</v>
      </c>
      <c r="N9887" s="2">
        <v>2.2499999999999999E-2</v>
      </c>
      <c r="O9887" s="2">
        <v>2.5899999999999999E-2</v>
      </c>
      <c r="P9887" s="2">
        <v>6.6E-3</v>
      </c>
      <c r="Q9887" s="2">
        <v>1.18E-2</v>
      </c>
      <c r="S9887" s="2">
        <v>3.6400000000000002E-2</v>
      </c>
      <c r="T9887" s="2">
        <v>6.9999999999999999E-4</v>
      </c>
      <c r="U9887" s="2">
        <v>9.7000000000000003E-3</v>
      </c>
      <c r="V9887" s="2">
        <v>1.0800000000000001E-2</v>
      </c>
      <c r="X9887" s="2">
        <v>4.0000000000000002E-4</v>
      </c>
      <c r="Z9887">
        <v>166</v>
      </c>
    </row>
    <row r="9888" spans="1:26" x14ac:dyDescent="0.35">
      <c r="A9888" t="s">
        <v>228</v>
      </c>
      <c r="B9888" t="s">
        <v>228</v>
      </c>
      <c r="C9888" s="2">
        <v>0.50360000000000005</v>
      </c>
      <c r="D9888" s="2">
        <v>0.2873</v>
      </c>
      <c r="E9888" s="2">
        <v>7.9000000000000001E-2</v>
      </c>
      <c r="F9888" s="2">
        <v>5.91E-2</v>
      </c>
      <c r="G9888" s="2">
        <v>5.8900000000000001E-2</v>
      </c>
      <c r="H9888" s="2">
        <v>5.3600000000000002E-2</v>
      </c>
      <c r="I9888" s="2">
        <v>4.2000000000000003E-2</v>
      </c>
      <c r="J9888" s="2">
        <v>3.5000000000000003E-2</v>
      </c>
      <c r="K9888" s="2">
        <v>3.1899999999999998E-2</v>
      </c>
      <c r="L9888" s="2">
        <v>2.9499999999999998E-2</v>
      </c>
      <c r="M9888" s="2">
        <v>2.7199999999999998E-2</v>
      </c>
      <c r="N9888" s="2">
        <v>2.2800000000000001E-2</v>
      </c>
      <c r="O9888" s="2">
        <v>2.1100000000000001E-2</v>
      </c>
      <c r="P9888" s="2">
        <v>1.8100000000000002E-2</v>
      </c>
      <c r="Q9888" s="2">
        <v>1.0500000000000001E-2</v>
      </c>
      <c r="R9888" s="2">
        <v>0.01</v>
      </c>
      <c r="S9888" s="2">
        <v>9.4000000000000004E-3</v>
      </c>
      <c r="T9888" s="2">
        <v>9.2999999999999992E-3</v>
      </c>
      <c r="U9888" s="2">
        <v>8.6E-3</v>
      </c>
      <c r="V9888" s="2">
        <v>7.7999999999999996E-3</v>
      </c>
      <c r="W9888" s="2">
        <v>6.0000000000000001E-3</v>
      </c>
      <c r="X9888" s="2">
        <v>5.3E-3</v>
      </c>
      <c r="Y9888" s="2">
        <v>2.0999999999999999E-3</v>
      </c>
      <c r="Z9888">
        <v>2792</v>
      </c>
    </row>
    <row r="9890" spans="1:26" x14ac:dyDescent="0.35">
      <c r="A9890" s="1" t="s">
        <v>2298</v>
      </c>
    </row>
    <row r="9891" spans="1:26" x14ac:dyDescent="0.35">
      <c r="A9891" t="s">
        <v>219</v>
      </c>
      <c r="B9891" t="s">
        <v>301</v>
      </c>
      <c r="C9891" t="s">
        <v>540</v>
      </c>
      <c r="D9891" t="s">
        <v>2276</v>
      </c>
      <c r="E9891" t="s">
        <v>2277</v>
      </c>
      <c r="F9891" t="s">
        <v>2278</v>
      </c>
      <c r="G9891" t="s">
        <v>2279</v>
      </c>
      <c r="H9891" t="s">
        <v>2280</v>
      </c>
      <c r="I9891" t="s">
        <v>2281</v>
      </c>
      <c r="J9891" t="s">
        <v>2282</v>
      </c>
      <c r="K9891" t="s">
        <v>2283</v>
      </c>
      <c r="L9891" t="s">
        <v>2284</v>
      </c>
      <c r="M9891" t="s">
        <v>2285</v>
      </c>
      <c r="N9891" t="s">
        <v>2286</v>
      </c>
      <c r="O9891" t="s">
        <v>2287</v>
      </c>
      <c r="P9891" t="s">
        <v>2288</v>
      </c>
      <c r="Q9891" t="s">
        <v>2289</v>
      </c>
      <c r="R9891" t="s">
        <v>2290</v>
      </c>
      <c r="S9891" t="s">
        <v>2291</v>
      </c>
      <c r="T9891" t="s">
        <v>2292</v>
      </c>
      <c r="U9891" t="s">
        <v>318</v>
      </c>
      <c r="V9891" t="s">
        <v>2293</v>
      </c>
      <c r="W9891" t="s">
        <v>2294</v>
      </c>
      <c r="X9891" t="s">
        <v>277</v>
      </c>
      <c r="Y9891" t="s">
        <v>282</v>
      </c>
      <c r="Z9891" t="s">
        <v>226</v>
      </c>
    </row>
    <row r="9892" spans="1:26" x14ac:dyDescent="0.35">
      <c r="A9892" t="s">
        <v>227</v>
      </c>
      <c r="B9892" t="s">
        <v>334</v>
      </c>
      <c r="C9892" s="2">
        <v>0.38719999999999999</v>
      </c>
      <c r="D9892" s="2">
        <v>0.4083</v>
      </c>
      <c r="E9892" s="2">
        <v>8.6699999999999999E-2</v>
      </c>
      <c r="F9892" s="2">
        <v>0.1089</v>
      </c>
      <c r="G9892" s="2">
        <v>3.5799999999999998E-2</v>
      </c>
      <c r="H9892" s="2">
        <v>2.9000000000000001E-2</v>
      </c>
      <c r="I9892" s="2">
        <v>5.5500000000000001E-2</v>
      </c>
      <c r="J9892" s="2">
        <v>4.82E-2</v>
      </c>
      <c r="K9892" s="2">
        <v>6.0999999999999999E-2</v>
      </c>
      <c r="L9892" s="2">
        <v>5.9900000000000002E-2</v>
      </c>
      <c r="M9892" s="2">
        <v>2.46E-2</v>
      </c>
      <c r="N9892" s="2">
        <v>3.2399999999999998E-2</v>
      </c>
      <c r="O9892" s="2">
        <v>4.24E-2</v>
      </c>
      <c r="P9892" s="2">
        <v>1.66E-2</v>
      </c>
      <c r="Q9892" s="2">
        <v>1.7999999999999999E-2</v>
      </c>
      <c r="R9892" s="2">
        <v>2.5499999999999998E-2</v>
      </c>
      <c r="S9892" s="2">
        <v>6.1999999999999998E-3</v>
      </c>
      <c r="T9892" s="2">
        <v>1.4E-2</v>
      </c>
      <c r="U9892" s="2">
        <v>1E-4</v>
      </c>
      <c r="V9892" s="2">
        <v>6.3E-3</v>
      </c>
      <c r="W9892" s="2">
        <v>1.1999999999999999E-3</v>
      </c>
      <c r="X9892" s="2">
        <v>5.1999999999999998E-3</v>
      </c>
      <c r="Y9892" s="2">
        <v>5.0000000000000001E-3</v>
      </c>
      <c r="Z9892">
        <v>621</v>
      </c>
    </row>
    <row r="9893" spans="1:26" x14ac:dyDescent="0.35">
      <c r="A9893" t="s">
        <v>227</v>
      </c>
      <c r="B9893" t="s">
        <v>335</v>
      </c>
      <c r="C9893" s="2">
        <v>0.62580000000000002</v>
      </c>
      <c r="D9893" s="2">
        <v>0.1588</v>
      </c>
      <c r="E9893" s="2">
        <v>7.1900000000000006E-2</v>
      </c>
      <c r="F9893" s="2">
        <v>2.06E-2</v>
      </c>
      <c r="G9893" s="2">
        <v>5.4199999999999998E-2</v>
      </c>
      <c r="H9893" s="2">
        <v>7.9699999999999993E-2</v>
      </c>
      <c r="I9893" s="2">
        <v>1.7500000000000002E-2</v>
      </c>
      <c r="J9893" s="2">
        <v>3.1099999999999999E-2</v>
      </c>
      <c r="K9893" s="2">
        <v>1.2699999999999999E-2</v>
      </c>
      <c r="L9893" s="2">
        <v>6.7000000000000002E-3</v>
      </c>
      <c r="M9893" s="2">
        <v>1.7999999999999999E-2</v>
      </c>
      <c r="N9893" s="2">
        <v>1.2500000000000001E-2</v>
      </c>
      <c r="O9893" s="2">
        <v>2.07E-2</v>
      </c>
      <c r="P9893" s="2">
        <v>1.9800000000000002E-2</v>
      </c>
      <c r="Q9893" s="2">
        <v>6.9999999999999999E-4</v>
      </c>
      <c r="S9893" s="2">
        <v>5.7999999999999996E-3</v>
      </c>
      <c r="T9893" s="2">
        <v>3.0999999999999999E-3</v>
      </c>
      <c r="U9893" s="2">
        <v>1.7399999999999999E-2</v>
      </c>
      <c r="V9893" s="2">
        <v>9.9000000000000008E-3</v>
      </c>
      <c r="W9893" s="2">
        <v>7.3000000000000001E-3</v>
      </c>
      <c r="X9893" s="2">
        <v>4.5999999999999999E-3</v>
      </c>
      <c r="Z9893">
        <v>619</v>
      </c>
    </row>
    <row r="9894" spans="1:26" x14ac:dyDescent="0.35">
      <c r="A9894" t="s">
        <v>227</v>
      </c>
      <c r="B9894" t="s">
        <v>336</v>
      </c>
      <c r="C9894" s="2">
        <v>0.4335</v>
      </c>
      <c r="D9894" s="2">
        <v>0.3639</v>
      </c>
      <c r="E9894" s="2">
        <v>0.1081</v>
      </c>
      <c r="F9894" s="2">
        <v>7.5899999999999995E-2</v>
      </c>
      <c r="G9894" s="2">
        <v>4.2599999999999999E-2</v>
      </c>
      <c r="H9894" s="2">
        <v>4.9799999999999997E-2</v>
      </c>
      <c r="I9894" s="2">
        <v>8.0500000000000002E-2</v>
      </c>
      <c r="J9894" s="2">
        <v>3.8800000000000001E-2</v>
      </c>
      <c r="K9894" s="2">
        <v>3.27E-2</v>
      </c>
      <c r="L9894" s="2">
        <v>3.0200000000000001E-2</v>
      </c>
      <c r="M9894" s="2">
        <v>5.21E-2</v>
      </c>
      <c r="N9894" s="2">
        <v>1.6199999999999999E-2</v>
      </c>
      <c r="O9894" s="2">
        <v>1.12E-2</v>
      </c>
      <c r="P9894" s="2">
        <v>6.7000000000000002E-3</v>
      </c>
      <c r="Q9894" s="2">
        <v>1.03E-2</v>
      </c>
      <c r="R9894" s="2">
        <v>5.1999999999999998E-3</v>
      </c>
      <c r="S9894" s="2">
        <v>6.8999999999999999E-3</v>
      </c>
      <c r="T9894" s="2">
        <v>1.17E-2</v>
      </c>
      <c r="U9894" s="2">
        <v>1.3100000000000001E-2</v>
      </c>
      <c r="V9894" s="2">
        <v>5.5999999999999999E-3</v>
      </c>
      <c r="X9894" s="2">
        <v>1.2999999999999999E-3</v>
      </c>
      <c r="Y9894" s="2">
        <v>5.0000000000000001E-4</v>
      </c>
      <c r="Z9894">
        <v>619</v>
      </c>
    </row>
    <row r="9895" spans="1:26" x14ac:dyDescent="0.35">
      <c r="A9895" t="s">
        <v>227</v>
      </c>
      <c r="B9895" t="s">
        <v>337</v>
      </c>
      <c r="C9895" s="2">
        <v>0.51859999999999995</v>
      </c>
      <c r="D9895" s="2">
        <v>0.28149999999999997</v>
      </c>
      <c r="E9895" s="2">
        <v>7.1599999999999997E-2</v>
      </c>
      <c r="F9895" s="2">
        <v>3.9800000000000002E-2</v>
      </c>
      <c r="G9895" s="2">
        <v>0.09</v>
      </c>
      <c r="H9895" s="2">
        <v>3.85E-2</v>
      </c>
      <c r="I9895" s="2">
        <v>3.0499999999999999E-2</v>
      </c>
      <c r="J9895" s="2">
        <v>2.1299999999999999E-2</v>
      </c>
      <c r="K9895" s="2">
        <v>1.5900000000000001E-2</v>
      </c>
      <c r="L9895" s="2">
        <v>3.2899999999999999E-2</v>
      </c>
      <c r="M9895" s="2">
        <v>1.8200000000000001E-2</v>
      </c>
      <c r="N9895" s="2">
        <v>3.7499999999999999E-2</v>
      </c>
      <c r="O9895" s="2">
        <v>1.41E-2</v>
      </c>
      <c r="P9895" s="2">
        <v>2.47E-2</v>
      </c>
      <c r="Q9895" s="2">
        <v>8.3999999999999995E-3</v>
      </c>
      <c r="R9895" s="2">
        <v>8.3999999999999995E-3</v>
      </c>
      <c r="S9895" s="2">
        <v>1.6799999999999999E-2</v>
      </c>
      <c r="T9895" s="2">
        <v>1.06E-2</v>
      </c>
      <c r="U9895" s="2">
        <v>4.1000000000000003E-3</v>
      </c>
      <c r="V9895" s="2">
        <v>8.3000000000000001E-3</v>
      </c>
      <c r="W9895" s="2">
        <v>1.7399999999999999E-2</v>
      </c>
      <c r="X9895" s="2">
        <v>7.7000000000000002E-3</v>
      </c>
      <c r="Y9895" s="2">
        <v>3.3E-3</v>
      </c>
      <c r="Z9895">
        <v>599</v>
      </c>
    </row>
    <row r="9896" spans="1:26" x14ac:dyDescent="0.35">
      <c r="A9896" t="s">
        <v>228</v>
      </c>
      <c r="B9896" t="s">
        <v>228</v>
      </c>
      <c r="C9896" s="2">
        <v>0.50360000000000005</v>
      </c>
      <c r="D9896" s="2">
        <v>0.2873</v>
      </c>
      <c r="E9896" s="2">
        <v>7.9000000000000001E-2</v>
      </c>
      <c r="F9896" s="2">
        <v>5.91E-2</v>
      </c>
      <c r="G9896" s="2">
        <v>5.8900000000000001E-2</v>
      </c>
      <c r="H9896" s="2">
        <v>5.3600000000000002E-2</v>
      </c>
      <c r="I9896" s="2">
        <v>4.2000000000000003E-2</v>
      </c>
      <c r="J9896" s="2">
        <v>3.5000000000000003E-2</v>
      </c>
      <c r="K9896" s="2">
        <v>3.1899999999999998E-2</v>
      </c>
      <c r="L9896" s="2">
        <v>2.9499999999999998E-2</v>
      </c>
      <c r="M9896" s="2">
        <v>2.7199999999999998E-2</v>
      </c>
      <c r="N9896" s="2">
        <v>2.2800000000000001E-2</v>
      </c>
      <c r="O9896" s="2">
        <v>2.1100000000000001E-2</v>
      </c>
      <c r="P9896" s="2">
        <v>1.8100000000000002E-2</v>
      </c>
      <c r="Q9896" s="2">
        <v>1.0500000000000001E-2</v>
      </c>
      <c r="R9896" s="2">
        <v>0.01</v>
      </c>
      <c r="S9896" s="2">
        <v>9.4000000000000004E-3</v>
      </c>
      <c r="T9896" s="2">
        <v>9.2999999999999992E-3</v>
      </c>
      <c r="U9896" s="2">
        <v>8.6E-3</v>
      </c>
      <c r="V9896" s="2">
        <v>7.7999999999999996E-3</v>
      </c>
      <c r="W9896" s="2">
        <v>6.0000000000000001E-3</v>
      </c>
      <c r="X9896" s="2">
        <v>5.3E-3</v>
      </c>
      <c r="Y9896" s="2">
        <v>2.0999999999999999E-3</v>
      </c>
      <c r="Z9896">
        <v>2458</v>
      </c>
    </row>
    <row r="9898" spans="1:26" x14ac:dyDescent="0.35">
      <c r="A9898" s="1" t="s">
        <v>2299</v>
      </c>
    </row>
    <row r="9899" spans="1:26" x14ac:dyDescent="0.35">
      <c r="A9899" t="s">
        <v>219</v>
      </c>
      <c r="B9899" t="s">
        <v>301</v>
      </c>
      <c r="C9899" t="s">
        <v>540</v>
      </c>
      <c r="D9899" t="s">
        <v>2276</v>
      </c>
      <c r="E9899" t="s">
        <v>2277</v>
      </c>
      <c r="F9899" t="s">
        <v>2278</v>
      </c>
      <c r="G9899" t="s">
        <v>2279</v>
      </c>
      <c r="H9899" t="s">
        <v>2280</v>
      </c>
      <c r="I9899" t="s">
        <v>2281</v>
      </c>
      <c r="J9899" t="s">
        <v>2282</v>
      </c>
      <c r="K9899" t="s">
        <v>2283</v>
      </c>
      <c r="L9899" t="s">
        <v>2284</v>
      </c>
      <c r="M9899" t="s">
        <v>2285</v>
      </c>
      <c r="N9899" t="s">
        <v>2286</v>
      </c>
      <c r="O9899" t="s">
        <v>2287</v>
      </c>
      <c r="P9899" t="s">
        <v>2288</v>
      </c>
      <c r="Q9899" t="s">
        <v>2289</v>
      </c>
      <c r="R9899" t="s">
        <v>2290</v>
      </c>
      <c r="S9899" t="s">
        <v>2291</v>
      </c>
      <c r="T9899" t="s">
        <v>2292</v>
      </c>
      <c r="U9899" t="s">
        <v>318</v>
      </c>
      <c r="V9899" t="s">
        <v>2293</v>
      </c>
      <c r="W9899" t="s">
        <v>2294</v>
      </c>
      <c r="X9899" t="s">
        <v>277</v>
      </c>
      <c r="Y9899" t="s">
        <v>282</v>
      </c>
      <c r="Z9899" t="s">
        <v>226</v>
      </c>
    </row>
    <row r="9900" spans="1:26" x14ac:dyDescent="0.35">
      <c r="A9900" t="s">
        <v>227</v>
      </c>
      <c r="B9900" t="s">
        <v>263</v>
      </c>
      <c r="C9900" s="2">
        <v>0.55930000000000002</v>
      </c>
      <c r="D9900" s="2">
        <v>0.25629999999999997</v>
      </c>
      <c r="E9900" s="2">
        <v>5.7599999999999998E-2</v>
      </c>
      <c r="F9900" s="2">
        <v>2.6499999999999999E-2</v>
      </c>
      <c r="G9900" s="2">
        <v>4.9399999999999999E-2</v>
      </c>
      <c r="H9900" s="2">
        <v>4.8099999999999997E-2</v>
      </c>
      <c r="I9900" s="2">
        <v>2.7400000000000001E-2</v>
      </c>
      <c r="J9900" s="2">
        <v>3.9899999999999998E-2</v>
      </c>
      <c r="K9900" s="2">
        <v>1.9300000000000001E-2</v>
      </c>
      <c r="L9900" s="2">
        <v>1.1599999999999999E-2</v>
      </c>
      <c r="M9900" s="2">
        <v>1.5699999999999999E-2</v>
      </c>
      <c r="N9900" s="2">
        <v>1.3599999999999999E-2</v>
      </c>
      <c r="O9900" s="2">
        <v>1.9599999999999999E-2</v>
      </c>
      <c r="P9900" s="2">
        <v>1.2800000000000001E-2</v>
      </c>
      <c r="Q9900" s="2">
        <v>5.0000000000000001E-3</v>
      </c>
      <c r="R9900" s="2">
        <v>1.6199999999999999E-2</v>
      </c>
      <c r="S9900" s="2">
        <v>5.0000000000000001E-3</v>
      </c>
      <c r="T9900" s="2">
        <v>2.1499999999999998E-2</v>
      </c>
      <c r="U9900" s="2">
        <v>3.0999999999999999E-3</v>
      </c>
      <c r="V9900" s="2">
        <v>8.9999999999999998E-4</v>
      </c>
      <c r="W9900" s="2">
        <v>5.4999999999999997E-3</v>
      </c>
      <c r="X9900" s="2">
        <v>1.5E-3</v>
      </c>
      <c r="Y9900" s="2">
        <v>1.1999999999999999E-3</v>
      </c>
      <c r="Z9900">
        <v>585</v>
      </c>
    </row>
    <row r="9901" spans="1:26" x14ac:dyDescent="0.35">
      <c r="A9901" t="s">
        <v>227</v>
      </c>
      <c r="B9901" t="s">
        <v>262</v>
      </c>
      <c r="C9901" s="2">
        <v>0.4546</v>
      </c>
      <c r="D9901" s="2">
        <v>0.32419999999999999</v>
      </c>
      <c r="E9901" s="2">
        <v>9.3700000000000006E-2</v>
      </c>
      <c r="F9901" s="2">
        <v>6.8400000000000002E-2</v>
      </c>
      <c r="G9901" s="2">
        <v>6.0199999999999997E-2</v>
      </c>
      <c r="H9901" s="2">
        <v>6.3500000000000001E-2</v>
      </c>
      <c r="I9901" s="2">
        <v>5.7099999999999998E-2</v>
      </c>
      <c r="J9901" s="2">
        <v>4.6800000000000001E-2</v>
      </c>
      <c r="K9901" s="2">
        <v>3.15E-2</v>
      </c>
      <c r="L9901" s="2">
        <v>3.3599999999999998E-2</v>
      </c>
      <c r="M9901" s="2">
        <v>3.9800000000000002E-2</v>
      </c>
      <c r="N9901" s="2">
        <v>2.5700000000000001E-2</v>
      </c>
      <c r="O9901" s="2">
        <v>1.4800000000000001E-2</v>
      </c>
      <c r="P9901" s="2">
        <v>2.41E-2</v>
      </c>
      <c r="Q9901" s="2">
        <v>1.9300000000000001E-2</v>
      </c>
      <c r="R9901" s="2">
        <v>1.11E-2</v>
      </c>
      <c r="S9901" s="2">
        <v>7.3000000000000001E-3</v>
      </c>
      <c r="T9901" s="2">
        <v>6.3E-3</v>
      </c>
      <c r="U9901" s="2">
        <v>4.8999999999999998E-3</v>
      </c>
      <c r="V9901" s="2">
        <v>1.54E-2</v>
      </c>
      <c r="W9901" s="2">
        <v>7.3000000000000001E-3</v>
      </c>
      <c r="X9901" s="2">
        <v>4.1000000000000003E-3</v>
      </c>
      <c r="Y9901" s="2">
        <v>2.3E-3</v>
      </c>
      <c r="Z9901">
        <v>1155</v>
      </c>
    </row>
    <row r="9902" spans="1:26" x14ac:dyDescent="0.35">
      <c r="A9902" t="s">
        <v>227</v>
      </c>
      <c r="B9902" t="s">
        <v>261</v>
      </c>
      <c r="C9902" s="2">
        <v>0.51880000000000004</v>
      </c>
      <c r="D9902" s="2">
        <v>0.26989999999999997</v>
      </c>
      <c r="E9902" s="2">
        <v>7.7100000000000002E-2</v>
      </c>
      <c r="F9902" s="2">
        <v>6.7299999999999999E-2</v>
      </c>
      <c r="G9902" s="2">
        <v>6.2700000000000006E-2</v>
      </c>
      <c r="H9902" s="2">
        <v>4.7800000000000002E-2</v>
      </c>
      <c r="I9902" s="2">
        <v>3.4700000000000002E-2</v>
      </c>
      <c r="J9902" s="2">
        <v>2.24E-2</v>
      </c>
      <c r="K9902" s="2">
        <v>3.8600000000000002E-2</v>
      </c>
      <c r="L9902" s="2">
        <v>3.4799999999999998E-2</v>
      </c>
      <c r="M9902" s="2">
        <v>2.0500000000000001E-2</v>
      </c>
      <c r="N9902" s="2">
        <v>2.4799999999999999E-2</v>
      </c>
      <c r="O9902" s="2">
        <v>2.75E-2</v>
      </c>
      <c r="P9902" s="2">
        <v>1.55E-2</v>
      </c>
      <c r="Q9902" s="2">
        <v>5.4999999999999997E-3</v>
      </c>
      <c r="R9902" s="2">
        <v>5.8999999999999999E-3</v>
      </c>
      <c r="S9902" s="2">
        <v>1.3299999999999999E-2</v>
      </c>
      <c r="T9902" s="2">
        <v>5.8999999999999999E-3</v>
      </c>
      <c r="U9902" s="2">
        <v>1.46E-2</v>
      </c>
      <c r="V9902" s="2">
        <v>4.7000000000000002E-3</v>
      </c>
      <c r="W9902" s="2">
        <v>5.1000000000000004E-3</v>
      </c>
      <c r="X9902" s="2">
        <v>8.2000000000000007E-3</v>
      </c>
      <c r="Y9902" s="2">
        <v>2.3999999999999998E-3</v>
      </c>
      <c r="Z9902">
        <v>1050</v>
      </c>
    </row>
    <row r="9903" spans="1:26" x14ac:dyDescent="0.35">
      <c r="A9903" s="3" t="s">
        <v>227</v>
      </c>
      <c r="B9903" s="3" t="s">
        <v>232</v>
      </c>
      <c r="C9903" s="4">
        <v>0.5</v>
      </c>
      <c r="D9903" s="4">
        <v>0.5</v>
      </c>
      <c r="E9903" s="5"/>
      <c r="F9903" s="5"/>
      <c r="G9903" s="5"/>
      <c r="H9903" s="5"/>
      <c r="I9903" s="4">
        <v>0.5</v>
      </c>
      <c r="J9903" s="5"/>
      <c r="K9903" s="5"/>
      <c r="L9903" s="5"/>
      <c r="M9903" s="4">
        <v>0.5</v>
      </c>
      <c r="N9903" s="5"/>
      <c r="O9903" s="5"/>
      <c r="P9903" s="5"/>
      <c r="Q9903" s="5"/>
      <c r="R9903" s="5"/>
      <c r="S9903" s="5"/>
      <c r="T9903" s="5"/>
      <c r="U9903" s="5"/>
      <c r="V9903" s="5"/>
      <c r="W9903" s="5"/>
      <c r="X9903" s="5"/>
      <c r="Y9903" s="5"/>
      <c r="Z9903" s="5" t="s">
        <v>434</v>
      </c>
    </row>
    <row r="9904" spans="1:26" x14ac:dyDescent="0.35">
      <c r="A9904" t="s">
        <v>228</v>
      </c>
      <c r="B9904" t="s">
        <v>228</v>
      </c>
      <c r="C9904" s="2">
        <v>0.50360000000000005</v>
      </c>
      <c r="D9904" s="2">
        <v>0.2873</v>
      </c>
      <c r="E9904" s="2">
        <v>7.9000000000000001E-2</v>
      </c>
      <c r="F9904" s="2">
        <v>5.91E-2</v>
      </c>
      <c r="G9904" s="2">
        <v>5.8900000000000001E-2</v>
      </c>
      <c r="H9904" s="2">
        <v>5.3600000000000002E-2</v>
      </c>
      <c r="I9904" s="2">
        <v>4.2000000000000003E-2</v>
      </c>
      <c r="J9904" s="2">
        <v>3.5000000000000003E-2</v>
      </c>
      <c r="K9904" s="2">
        <v>3.1899999999999998E-2</v>
      </c>
      <c r="L9904" s="2">
        <v>2.9499999999999998E-2</v>
      </c>
      <c r="M9904" s="2">
        <v>2.7199999999999998E-2</v>
      </c>
      <c r="N9904" s="2">
        <v>2.2800000000000001E-2</v>
      </c>
      <c r="O9904" s="2">
        <v>2.1100000000000001E-2</v>
      </c>
      <c r="P9904" s="2">
        <v>1.8100000000000002E-2</v>
      </c>
      <c r="Q9904" s="2">
        <v>1.0500000000000001E-2</v>
      </c>
      <c r="R9904" s="2">
        <v>0.01</v>
      </c>
      <c r="S9904" s="2">
        <v>9.4000000000000004E-3</v>
      </c>
      <c r="T9904" s="2">
        <v>9.2999999999999992E-3</v>
      </c>
      <c r="U9904" s="2">
        <v>8.6E-3</v>
      </c>
      <c r="V9904" s="2">
        <v>7.7999999999999996E-3</v>
      </c>
      <c r="W9904" s="2">
        <v>6.0000000000000001E-3</v>
      </c>
      <c r="X9904" s="2">
        <v>5.3E-3</v>
      </c>
      <c r="Y9904" s="2">
        <v>2.0999999999999999E-3</v>
      </c>
      <c r="Z9904">
        <v>2792</v>
      </c>
    </row>
    <row r="9906" spans="1:26" x14ac:dyDescent="0.35">
      <c r="A9906" s="1" t="s">
        <v>2300</v>
      </c>
    </row>
    <row r="9907" spans="1:26" x14ac:dyDescent="0.35">
      <c r="A9907" t="s">
        <v>219</v>
      </c>
      <c r="B9907" t="s">
        <v>301</v>
      </c>
      <c r="C9907" t="s">
        <v>540</v>
      </c>
      <c r="D9907" t="s">
        <v>2276</v>
      </c>
      <c r="E9907" t="s">
        <v>2277</v>
      </c>
      <c r="F9907" t="s">
        <v>2278</v>
      </c>
      <c r="G9907" t="s">
        <v>2279</v>
      </c>
      <c r="H9907" t="s">
        <v>2280</v>
      </c>
      <c r="I9907" t="s">
        <v>2281</v>
      </c>
      <c r="J9907" t="s">
        <v>2282</v>
      </c>
      <c r="K9907" t="s">
        <v>2283</v>
      </c>
      <c r="L9907" t="s">
        <v>2284</v>
      </c>
      <c r="M9907" t="s">
        <v>2285</v>
      </c>
      <c r="N9907" t="s">
        <v>2286</v>
      </c>
      <c r="O9907" t="s">
        <v>2287</v>
      </c>
      <c r="P9907" t="s">
        <v>2288</v>
      </c>
      <c r="Q9907" t="s">
        <v>2289</v>
      </c>
      <c r="R9907" t="s">
        <v>2290</v>
      </c>
      <c r="S9907" t="s">
        <v>2291</v>
      </c>
      <c r="T9907" t="s">
        <v>2292</v>
      </c>
      <c r="U9907" t="s">
        <v>318</v>
      </c>
      <c r="V9907" t="s">
        <v>2293</v>
      </c>
      <c r="W9907" t="s">
        <v>2294</v>
      </c>
      <c r="X9907" t="s">
        <v>277</v>
      </c>
      <c r="Y9907" t="s">
        <v>282</v>
      </c>
      <c r="Z9907" t="s">
        <v>226</v>
      </c>
    </row>
    <row r="9908" spans="1:26" x14ac:dyDescent="0.35">
      <c r="A9908" t="s">
        <v>227</v>
      </c>
      <c r="B9908" t="s">
        <v>248</v>
      </c>
      <c r="C9908" s="2">
        <v>0.47620000000000001</v>
      </c>
      <c r="D9908" s="2">
        <v>0.32169999999999999</v>
      </c>
      <c r="E9908" s="2">
        <v>8.4900000000000003E-2</v>
      </c>
      <c r="F9908" s="2">
        <v>5.96E-2</v>
      </c>
      <c r="G9908" s="2">
        <v>4.1799999999999997E-2</v>
      </c>
      <c r="H9908" s="2">
        <v>3.0599999999999999E-2</v>
      </c>
      <c r="I9908" s="2">
        <v>5.67E-2</v>
      </c>
      <c r="J9908" s="2">
        <v>3.3300000000000003E-2</v>
      </c>
      <c r="K9908" s="2">
        <v>3.0800000000000001E-2</v>
      </c>
      <c r="L9908" s="2">
        <v>3.2800000000000003E-2</v>
      </c>
      <c r="M9908" s="2">
        <v>3.44E-2</v>
      </c>
      <c r="N9908" s="2">
        <v>1.5599999999999999E-2</v>
      </c>
      <c r="O9908" s="2">
        <v>1.0699999999999999E-2</v>
      </c>
      <c r="P9908" s="2">
        <v>8.6999999999999994E-3</v>
      </c>
      <c r="Q9908" s="2">
        <v>1.04E-2</v>
      </c>
      <c r="R9908" s="2">
        <v>1.2800000000000001E-2</v>
      </c>
      <c r="S9908" s="2">
        <v>5.9999999999999995E-4</v>
      </c>
      <c r="T9908" s="2">
        <v>6.6E-3</v>
      </c>
      <c r="U9908" s="2">
        <v>2.7000000000000001E-3</v>
      </c>
      <c r="V9908" s="2">
        <v>1.4E-3</v>
      </c>
      <c r="W9908" s="2">
        <v>8.9999999999999993E-3</v>
      </c>
      <c r="X9908" s="2">
        <v>4.7000000000000002E-3</v>
      </c>
      <c r="Y9908" s="2">
        <v>2.8999999999999998E-3</v>
      </c>
      <c r="Z9908">
        <v>790</v>
      </c>
    </row>
    <row r="9909" spans="1:26" x14ac:dyDescent="0.35">
      <c r="A9909" t="s">
        <v>227</v>
      </c>
      <c r="B9909" t="s">
        <v>249</v>
      </c>
      <c r="C9909" s="2">
        <v>0.4486</v>
      </c>
      <c r="D9909" s="2">
        <v>0.29530000000000001</v>
      </c>
      <c r="E9909" s="2">
        <v>9.3399999999999997E-2</v>
      </c>
      <c r="F9909" s="2">
        <v>5.3100000000000001E-2</v>
      </c>
      <c r="G9909" s="2">
        <v>7.9299999999999995E-2</v>
      </c>
      <c r="H9909" s="2">
        <v>7.22E-2</v>
      </c>
      <c r="I9909" s="2">
        <v>4.7300000000000002E-2</v>
      </c>
      <c r="J9909" s="2">
        <v>2.3599999999999999E-2</v>
      </c>
      <c r="K9909" s="2">
        <v>4.7600000000000003E-2</v>
      </c>
      <c r="L9909" s="2">
        <v>3.2000000000000001E-2</v>
      </c>
      <c r="M9909" s="2">
        <v>2.4899999999999999E-2</v>
      </c>
      <c r="N9909" s="2">
        <v>3.5799999999999998E-2</v>
      </c>
      <c r="O9909" s="2">
        <v>3.1699999999999999E-2</v>
      </c>
      <c r="P9909" s="2">
        <v>1.7899999999999999E-2</v>
      </c>
      <c r="Q9909" s="2">
        <v>1.2699999999999999E-2</v>
      </c>
      <c r="R9909" s="2">
        <v>5.8999999999999999E-3</v>
      </c>
      <c r="S9909" s="2">
        <v>1.09E-2</v>
      </c>
      <c r="T9909" s="2">
        <v>1.06E-2</v>
      </c>
      <c r="U9909" s="2">
        <v>1.2500000000000001E-2</v>
      </c>
      <c r="V9909" s="2">
        <v>1.7500000000000002E-2</v>
      </c>
      <c r="W9909" s="2">
        <v>8.0000000000000002E-3</v>
      </c>
      <c r="X9909" s="2">
        <v>2.5999999999999999E-3</v>
      </c>
      <c r="Y9909" s="2">
        <v>5.4000000000000003E-3</v>
      </c>
      <c r="Z9909">
        <v>538</v>
      </c>
    </row>
    <row r="9910" spans="1:26" x14ac:dyDescent="0.35">
      <c r="A9910" t="s">
        <v>227</v>
      </c>
      <c r="B9910" t="s">
        <v>247</v>
      </c>
      <c r="C9910" s="2">
        <v>0.53820000000000001</v>
      </c>
      <c r="D9910" s="2">
        <v>0.26650000000000001</v>
      </c>
      <c r="E9910" s="2">
        <v>7.0699999999999999E-2</v>
      </c>
      <c r="F9910" s="2">
        <v>6.1100000000000002E-2</v>
      </c>
      <c r="G9910" s="2">
        <v>6.0400000000000002E-2</v>
      </c>
      <c r="H9910" s="2">
        <v>5.8700000000000002E-2</v>
      </c>
      <c r="I9910" s="2">
        <v>3.2399999999999998E-2</v>
      </c>
      <c r="J9910" s="2">
        <v>4.0099999999999997E-2</v>
      </c>
      <c r="K9910" s="2">
        <v>2.6800000000000001E-2</v>
      </c>
      <c r="L9910" s="2">
        <v>2.69E-2</v>
      </c>
      <c r="M9910" s="2">
        <v>2.4299999999999999E-2</v>
      </c>
      <c r="N9910" s="2">
        <v>2.18E-2</v>
      </c>
      <c r="O9910" s="2">
        <v>2.2700000000000001E-2</v>
      </c>
      <c r="P9910" s="2">
        <v>2.3E-2</v>
      </c>
      <c r="Q9910" s="2">
        <v>9.7000000000000003E-3</v>
      </c>
      <c r="R9910" s="2">
        <v>0.01</v>
      </c>
      <c r="S9910" s="2">
        <v>1.34E-2</v>
      </c>
      <c r="T9910" s="2">
        <v>1.0200000000000001E-2</v>
      </c>
      <c r="U9910" s="2">
        <v>1.03E-2</v>
      </c>
      <c r="V9910" s="2">
        <v>7.7000000000000002E-3</v>
      </c>
      <c r="W9910" s="2">
        <v>3.7000000000000002E-3</v>
      </c>
      <c r="X9910" s="2">
        <v>6.6E-3</v>
      </c>
      <c r="Y9910" s="2">
        <v>5.9999999999999995E-4</v>
      </c>
      <c r="Z9910">
        <v>1464</v>
      </c>
    </row>
    <row r="9911" spans="1:26" x14ac:dyDescent="0.35">
      <c r="A9911" t="s">
        <v>228</v>
      </c>
      <c r="B9911" t="s">
        <v>228</v>
      </c>
      <c r="C9911" s="2">
        <v>0.50360000000000005</v>
      </c>
      <c r="D9911" s="2">
        <v>0.2873</v>
      </c>
      <c r="E9911" s="2">
        <v>7.9000000000000001E-2</v>
      </c>
      <c r="F9911" s="2">
        <v>5.91E-2</v>
      </c>
      <c r="G9911" s="2">
        <v>5.8900000000000001E-2</v>
      </c>
      <c r="H9911" s="2">
        <v>5.3600000000000002E-2</v>
      </c>
      <c r="I9911" s="2">
        <v>4.2000000000000003E-2</v>
      </c>
      <c r="J9911" s="2">
        <v>3.5000000000000003E-2</v>
      </c>
      <c r="K9911" s="2">
        <v>3.1899999999999998E-2</v>
      </c>
      <c r="L9911" s="2">
        <v>2.9499999999999998E-2</v>
      </c>
      <c r="M9911" s="2">
        <v>2.7199999999999998E-2</v>
      </c>
      <c r="N9911" s="2">
        <v>2.2800000000000001E-2</v>
      </c>
      <c r="O9911" s="2">
        <v>2.1100000000000001E-2</v>
      </c>
      <c r="P9911" s="2">
        <v>1.8100000000000002E-2</v>
      </c>
      <c r="Q9911" s="2">
        <v>1.0500000000000001E-2</v>
      </c>
      <c r="R9911" s="2">
        <v>0.01</v>
      </c>
      <c r="S9911" s="2">
        <v>9.4000000000000004E-3</v>
      </c>
      <c r="T9911" s="2">
        <v>9.2999999999999992E-3</v>
      </c>
      <c r="U9911" s="2">
        <v>8.6E-3</v>
      </c>
      <c r="V9911" s="2">
        <v>7.7999999999999996E-3</v>
      </c>
      <c r="W9911" s="2">
        <v>6.0000000000000001E-3</v>
      </c>
      <c r="X9911" s="2">
        <v>5.3E-3</v>
      </c>
      <c r="Y9911" s="2">
        <v>2.0999999999999999E-3</v>
      </c>
      <c r="Z9911">
        <v>2792</v>
      </c>
    </row>
    <row r="9913" spans="1:26" x14ac:dyDescent="0.35">
      <c r="A9913" s="1" t="s">
        <v>2301</v>
      </c>
    </row>
    <row r="9914" spans="1:26" x14ac:dyDescent="0.35">
      <c r="A9914" t="s">
        <v>219</v>
      </c>
      <c r="B9914" t="s">
        <v>301</v>
      </c>
      <c r="C9914" t="s">
        <v>540</v>
      </c>
      <c r="D9914" t="s">
        <v>2276</v>
      </c>
      <c r="E9914" t="s">
        <v>2277</v>
      </c>
      <c r="F9914" t="s">
        <v>2278</v>
      </c>
      <c r="G9914" t="s">
        <v>2279</v>
      </c>
      <c r="H9914" t="s">
        <v>2280</v>
      </c>
      <c r="I9914" t="s">
        <v>2281</v>
      </c>
      <c r="J9914" t="s">
        <v>2282</v>
      </c>
      <c r="K9914" t="s">
        <v>2283</v>
      </c>
      <c r="L9914" t="s">
        <v>2284</v>
      </c>
      <c r="M9914" t="s">
        <v>2285</v>
      </c>
      <c r="N9914" t="s">
        <v>2286</v>
      </c>
      <c r="O9914" t="s">
        <v>2287</v>
      </c>
      <c r="P9914" t="s">
        <v>2288</v>
      </c>
      <c r="Q9914" t="s">
        <v>2289</v>
      </c>
      <c r="R9914" t="s">
        <v>2290</v>
      </c>
      <c r="S9914" t="s">
        <v>2291</v>
      </c>
      <c r="T9914" t="s">
        <v>2292</v>
      </c>
      <c r="U9914" t="s">
        <v>318</v>
      </c>
      <c r="V9914" t="s">
        <v>2293</v>
      </c>
      <c r="W9914" t="s">
        <v>2294</v>
      </c>
      <c r="X9914" t="s">
        <v>277</v>
      </c>
      <c r="Y9914" t="s">
        <v>282</v>
      </c>
      <c r="Z9914" t="s">
        <v>226</v>
      </c>
    </row>
    <row r="9915" spans="1:26" x14ac:dyDescent="0.35">
      <c r="A9915" t="s">
        <v>227</v>
      </c>
      <c r="B9915" t="s">
        <v>245</v>
      </c>
      <c r="C9915" s="2">
        <v>0.49330000000000002</v>
      </c>
      <c r="D9915" s="2">
        <v>0.3342</v>
      </c>
      <c r="E9915" s="2">
        <v>0.1002</v>
      </c>
      <c r="F9915" s="2">
        <v>7.1499999999999994E-2</v>
      </c>
      <c r="G9915" s="2">
        <v>7.5600000000000001E-2</v>
      </c>
      <c r="H9915" s="2">
        <v>5.9200000000000003E-2</v>
      </c>
      <c r="I9915" s="2">
        <v>3.6400000000000002E-2</v>
      </c>
      <c r="J9915" s="2">
        <v>3.95E-2</v>
      </c>
      <c r="K9915" s="2">
        <v>3.9100000000000003E-2</v>
      </c>
      <c r="L9915" s="2">
        <v>4.4299999999999999E-2</v>
      </c>
      <c r="M9915" s="2">
        <v>2.3099999999999999E-2</v>
      </c>
      <c r="N9915" s="2">
        <v>1.9300000000000001E-2</v>
      </c>
      <c r="O9915" s="2">
        <v>1.9900000000000001E-2</v>
      </c>
      <c r="P9915" s="2">
        <v>1.7000000000000001E-2</v>
      </c>
      <c r="Q9915" s="2">
        <v>9.4000000000000004E-3</v>
      </c>
      <c r="R9915" s="2">
        <v>5.8999999999999999E-3</v>
      </c>
      <c r="S9915" s="2">
        <v>2.8799999999999999E-2</v>
      </c>
      <c r="T9915" s="2">
        <v>5.3E-3</v>
      </c>
      <c r="U9915" s="2">
        <v>8.6999999999999994E-3</v>
      </c>
      <c r="V9915" s="2">
        <v>3.2000000000000002E-3</v>
      </c>
      <c r="W9915" s="2">
        <v>6.7999999999999996E-3</v>
      </c>
      <c r="X9915" s="2">
        <v>1.6000000000000001E-3</v>
      </c>
      <c r="Z9915">
        <v>778</v>
      </c>
    </row>
    <row r="9916" spans="1:26" x14ac:dyDescent="0.35">
      <c r="A9916" t="s">
        <v>227</v>
      </c>
      <c r="B9916" t="s">
        <v>244</v>
      </c>
      <c r="C9916" s="2">
        <v>0.50770000000000004</v>
      </c>
      <c r="D9916" s="2">
        <v>0.26879999999999998</v>
      </c>
      <c r="E9916" s="2">
        <v>7.0599999999999996E-2</v>
      </c>
      <c r="F9916" s="2">
        <v>5.4199999999999998E-2</v>
      </c>
      <c r="G9916" s="2">
        <v>5.2400000000000002E-2</v>
      </c>
      <c r="H9916" s="2">
        <v>5.1299999999999998E-2</v>
      </c>
      <c r="I9916" s="2">
        <v>4.4299999999999999E-2</v>
      </c>
      <c r="J9916" s="2">
        <v>3.32E-2</v>
      </c>
      <c r="K9916" s="2">
        <v>2.9100000000000001E-2</v>
      </c>
      <c r="L9916" s="2">
        <v>2.3599999999999999E-2</v>
      </c>
      <c r="M9916" s="2">
        <v>2.8799999999999999E-2</v>
      </c>
      <c r="N9916" s="2">
        <v>2.4199999999999999E-2</v>
      </c>
      <c r="O9916" s="2">
        <v>2.1600000000000001E-2</v>
      </c>
      <c r="P9916" s="2">
        <v>1.8499999999999999E-2</v>
      </c>
      <c r="Q9916" s="2">
        <v>1.09E-2</v>
      </c>
      <c r="R9916" s="2">
        <v>1.1599999999999999E-2</v>
      </c>
      <c r="S9916" s="2">
        <v>1.6000000000000001E-3</v>
      </c>
      <c r="T9916" s="2">
        <v>1.09E-2</v>
      </c>
      <c r="U9916" s="2">
        <v>8.6E-3</v>
      </c>
      <c r="V9916" s="2">
        <v>9.7000000000000003E-3</v>
      </c>
      <c r="W9916" s="2">
        <v>5.7000000000000002E-3</v>
      </c>
      <c r="X9916" s="2">
        <v>6.7999999999999996E-3</v>
      </c>
      <c r="Y9916" s="2">
        <v>3.0000000000000001E-3</v>
      </c>
      <c r="Z9916">
        <v>2014</v>
      </c>
    </row>
    <row r="9917" spans="1:26" x14ac:dyDescent="0.35">
      <c r="A9917" t="s">
        <v>228</v>
      </c>
      <c r="B9917" t="s">
        <v>228</v>
      </c>
      <c r="C9917" s="2">
        <v>0.50360000000000005</v>
      </c>
      <c r="D9917" s="2">
        <v>0.2873</v>
      </c>
      <c r="E9917" s="2">
        <v>7.9000000000000001E-2</v>
      </c>
      <c r="F9917" s="2">
        <v>5.91E-2</v>
      </c>
      <c r="G9917" s="2">
        <v>5.8900000000000001E-2</v>
      </c>
      <c r="H9917" s="2">
        <v>5.3600000000000002E-2</v>
      </c>
      <c r="I9917" s="2">
        <v>4.2000000000000003E-2</v>
      </c>
      <c r="J9917" s="2">
        <v>3.5000000000000003E-2</v>
      </c>
      <c r="K9917" s="2">
        <v>3.1899999999999998E-2</v>
      </c>
      <c r="L9917" s="2">
        <v>2.9499999999999998E-2</v>
      </c>
      <c r="M9917" s="2">
        <v>2.7199999999999998E-2</v>
      </c>
      <c r="N9917" s="2">
        <v>2.2800000000000001E-2</v>
      </c>
      <c r="O9917" s="2">
        <v>2.1100000000000001E-2</v>
      </c>
      <c r="P9917" s="2">
        <v>1.8100000000000002E-2</v>
      </c>
      <c r="Q9917" s="2">
        <v>1.0500000000000001E-2</v>
      </c>
      <c r="R9917" s="2">
        <v>0.01</v>
      </c>
      <c r="S9917" s="2">
        <v>9.4000000000000004E-3</v>
      </c>
      <c r="T9917" s="2">
        <v>9.2999999999999992E-3</v>
      </c>
      <c r="U9917" s="2">
        <v>8.6E-3</v>
      </c>
      <c r="V9917" s="2">
        <v>7.7999999999999996E-3</v>
      </c>
      <c r="W9917" s="2">
        <v>6.0000000000000001E-3</v>
      </c>
      <c r="X9917" s="2">
        <v>5.3E-3</v>
      </c>
      <c r="Y9917" s="2">
        <v>2.0999999999999999E-3</v>
      </c>
      <c r="Z9917">
        <v>2792</v>
      </c>
    </row>
    <row r="9919" spans="1:26" x14ac:dyDescent="0.35">
      <c r="A9919" s="1" t="s">
        <v>2302</v>
      </c>
    </row>
    <row r="9920" spans="1:26" x14ac:dyDescent="0.35">
      <c r="A9920" t="s">
        <v>219</v>
      </c>
      <c r="B9920" t="s">
        <v>301</v>
      </c>
      <c r="C9920" t="s">
        <v>540</v>
      </c>
      <c r="D9920" t="s">
        <v>2276</v>
      </c>
      <c r="E9920" t="s">
        <v>2277</v>
      </c>
      <c r="F9920" t="s">
        <v>2278</v>
      </c>
      <c r="G9920" t="s">
        <v>2279</v>
      </c>
      <c r="H9920" t="s">
        <v>2280</v>
      </c>
      <c r="I9920" t="s">
        <v>2281</v>
      </c>
      <c r="J9920" t="s">
        <v>2282</v>
      </c>
      <c r="K9920" t="s">
        <v>2283</v>
      </c>
      <c r="L9920" t="s">
        <v>2284</v>
      </c>
      <c r="M9920" t="s">
        <v>2285</v>
      </c>
      <c r="N9920" t="s">
        <v>2286</v>
      </c>
      <c r="O9920" t="s">
        <v>2287</v>
      </c>
      <c r="P9920" t="s">
        <v>2288</v>
      </c>
      <c r="Q9920" t="s">
        <v>2289</v>
      </c>
      <c r="R9920" t="s">
        <v>2290</v>
      </c>
      <c r="S9920" t="s">
        <v>2291</v>
      </c>
      <c r="T9920" t="s">
        <v>2292</v>
      </c>
      <c r="U9920" t="s">
        <v>318</v>
      </c>
      <c r="V9920" t="s">
        <v>2293</v>
      </c>
      <c r="W9920" t="s">
        <v>2294</v>
      </c>
      <c r="X9920" t="s">
        <v>277</v>
      </c>
      <c r="Y9920" t="s">
        <v>282</v>
      </c>
      <c r="Z9920" t="s">
        <v>226</v>
      </c>
    </row>
    <row r="9921" spans="1:26" x14ac:dyDescent="0.35">
      <c r="A9921" t="s">
        <v>227</v>
      </c>
      <c r="B9921" t="s">
        <v>259</v>
      </c>
      <c r="C9921" s="2">
        <v>0.43369999999999997</v>
      </c>
      <c r="D9921" s="2">
        <v>0.33179999999999998</v>
      </c>
      <c r="E9921" s="2">
        <v>0.17580000000000001</v>
      </c>
      <c r="F9921" s="2">
        <v>1.0699999999999999E-2</v>
      </c>
      <c r="G9921" s="2">
        <v>0.12570000000000001</v>
      </c>
      <c r="H9921" s="2">
        <v>0.14069999999999999</v>
      </c>
      <c r="I9921" s="2">
        <v>3.0999999999999999E-3</v>
      </c>
      <c r="J9921" s="2">
        <v>7.5399999999999995E-2</v>
      </c>
      <c r="K9921" s="2">
        <v>2.12E-2</v>
      </c>
      <c r="L9921" s="2">
        <v>5.8999999999999999E-3</v>
      </c>
      <c r="M9921" s="2">
        <v>1.0699999999999999E-2</v>
      </c>
      <c r="N9921" s="2">
        <v>1.9400000000000001E-2</v>
      </c>
      <c r="O9921" s="2">
        <v>1.6400000000000001E-2</v>
      </c>
      <c r="P9921" s="2">
        <v>9.9000000000000008E-3</v>
      </c>
      <c r="R9921" s="2">
        <v>2.8E-3</v>
      </c>
      <c r="S9921" s="2">
        <v>9.5999999999999992E-3</v>
      </c>
      <c r="U9921" s="2">
        <v>1.6000000000000001E-3</v>
      </c>
      <c r="V9921" s="2">
        <v>3.0999999999999999E-3</v>
      </c>
      <c r="W9921" s="2">
        <v>1.1299999999999999E-2</v>
      </c>
      <c r="X9921" s="2">
        <v>4.3999999999999997E-2</v>
      </c>
      <c r="Z9921">
        <v>68</v>
      </c>
    </row>
    <row r="9922" spans="1:26" x14ac:dyDescent="0.35">
      <c r="A9922" t="s">
        <v>227</v>
      </c>
      <c r="B9922" t="s">
        <v>257</v>
      </c>
      <c r="C9922" s="2">
        <v>0.40260000000000001</v>
      </c>
      <c r="D9922" s="2">
        <v>0.30859999999999999</v>
      </c>
      <c r="E9922" s="2">
        <v>9.1600000000000001E-2</v>
      </c>
      <c r="F9922" s="2">
        <v>0.1183</v>
      </c>
      <c r="G9922" s="2">
        <v>5.4600000000000003E-2</v>
      </c>
      <c r="H9922" s="2">
        <v>3.2399999999999998E-2</v>
      </c>
      <c r="I9922" s="2">
        <v>8.6099999999999996E-2</v>
      </c>
      <c r="J9922" s="2">
        <v>1.5800000000000002E-2</v>
      </c>
      <c r="K9922" s="2">
        <v>0.1004</v>
      </c>
      <c r="L9922" s="2">
        <v>6.54E-2</v>
      </c>
      <c r="M9922" s="2">
        <v>1.1900000000000001E-2</v>
      </c>
      <c r="N9922" s="2">
        <v>2.41E-2</v>
      </c>
      <c r="O9922" s="2">
        <v>1.32E-2</v>
      </c>
      <c r="P9922" s="2">
        <v>2.2200000000000001E-2</v>
      </c>
      <c r="Q9922" s="2">
        <v>1.4E-2</v>
      </c>
      <c r="R9922" s="2">
        <v>1.84E-2</v>
      </c>
      <c r="S9922" s="2">
        <v>1.8100000000000002E-2</v>
      </c>
      <c r="T9922" s="2">
        <v>1.95E-2</v>
      </c>
      <c r="U9922" s="2">
        <v>1.8499999999999999E-2</v>
      </c>
      <c r="V9922" s="2">
        <v>1.8E-3</v>
      </c>
      <c r="W9922" s="2">
        <v>4.4999999999999997E-3</v>
      </c>
      <c r="X9922" s="2">
        <v>1.2999999999999999E-3</v>
      </c>
      <c r="Y9922" s="2">
        <v>9.7999999999999997E-3</v>
      </c>
      <c r="Z9922">
        <v>401</v>
      </c>
    </row>
    <row r="9923" spans="1:26" x14ac:dyDescent="0.35">
      <c r="A9923" t="s">
        <v>227</v>
      </c>
      <c r="B9923" t="s">
        <v>256</v>
      </c>
      <c r="C9923" s="2">
        <v>0.53339999999999999</v>
      </c>
      <c r="D9923" s="2">
        <v>0.28739999999999999</v>
      </c>
      <c r="E9923" s="2">
        <v>7.4200000000000002E-2</v>
      </c>
      <c r="F9923" s="2">
        <v>5.0099999999999999E-2</v>
      </c>
      <c r="G9923" s="2">
        <v>4.8399999999999999E-2</v>
      </c>
      <c r="H9923" s="2">
        <v>4.3700000000000003E-2</v>
      </c>
      <c r="I9923" s="2">
        <v>2.9600000000000001E-2</v>
      </c>
      <c r="J9923" s="2">
        <v>3.5200000000000002E-2</v>
      </c>
      <c r="K9923" s="2">
        <v>1.7600000000000001E-2</v>
      </c>
      <c r="L9923" s="2">
        <v>2.3800000000000002E-2</v>
      </c>
      <c r="M9923" s="2">
        <v>3.32E-2</v>
      </c>
      <c r="N9923" s="2">
        <v>2.1100000000000001E-2</v>
      </c>
      <c r="O9923" s="2">
        <v>2.5000000000000001E-2</v>
      </c>
      <c r="P9923" s="2">
        <v>1.6299999999999999E-2</v>
      </c>
      <c r="Q9923" s="2">
        <v>9.7999999999999997E-3</v>
      </c>
      <c r="R9923" s="2">
        <v>9.7999999999999997E-3</v>
      </c>
      <c r="S9923" s="2">
        <v>4.4000000000000003E-3</v>
      </c>
      <c r="T9923" s="2">
        <v>6.8999999999999999E-3</v>
      </c>
      <c r="U9923" s="2">
        <v>6.7999999999999996E-3</v>
      </c>
      <c r="V9923" s="2">
        <v>8.0000000000000002E-3</v>
      </c>
      <c r="W9923" s="2">
        <v>6.1999999999999998E-3</v>
      </c>
      <c r="X9923" s="2">
        <v>5.1000000000000004E-3</v>
      </c>
      <c r="Y9923" s="2">
        <v>5.0000000000000001E-4</v>
      </c>
      <c r="Z9923">
        <v>1791</v>
      </c>
    </row>
    <row r="9924" spans="1:26" x14ac:dyDescent="0.35">
      <c r="A9924" s="3" t="s">
        <v>227</v>
      </c>
      <c r="B9924" s="3" t="s">
        <v>232</v>
      </c>
      <c r="C9924" s="4">
        <v>0.4667</v>
      </c>
      <c r="D9924" s="4">
        <v>0.5333</v>
      </c>
      <c r="E9924" s="4">
        <v>8.1900000000000001E-2</v>
      </c>
      <c r="F9924" s="5"/>
      <c r="G9924" s="5"/>
      <c r="H9924" s="5"/>
      <c r="I9924" s="5"/>
      <c r="J9924" s="4">
        <v>0.26219999999999999</v>
      </c>
      <c r="K9924" s="5"/>
      <c r="L9924" s="4">
        <v>0.26219999999999999</v>
      </c>
      <c r="M9924" s="5"/>
      <c r="N9924" s="5"/>
      <c r="O9924" s="5"/>
      <c r="P9924" s="5"/>
      <c r="Q9924" s="5"/>
      <c r="R9924" s="5"/>
      <c r="S9924" s="5"/>
      <c r="T9924" s="4">
        <v>8.1900000000000001E-2</v>
      </c>
      <c r="U9924" s="5"/>
      <c r="V9924" s="5"/>
      <c r="W9924" s="5"/>
      <c r="X9924" s="5"/>
      <c r="Y9924" s="5"/>
      <c r="Z9924" s="5" t="s">
        <v>307</v>
      </c>
    </row>
    <row r="9925" spans="1:26" x14ac:dyDescent="0.35">
      <c r="A9925" t="s">
        <v>227</v>
      </c>
      <c r="B9925" t="s">
        <v>258</v>
      </c>
      <c r="C9925" s="2">
        <v>0.49459999999999998</v>
      </c>
      <c r="D9925" s="2">
        <v>0.2545</v>
      </c>
      <c r="E9925" s="2">
        <v>7.4899999999999994E-2</v>
      </c>
      <c r="F9925" s="2">
        <v>3.8199999999999998E-2</v>
      </c>
      <c r="G9925" s="2">
        <v>0.10440000000000001</v>
      </c>
      <c r="H9925" s="2">
        <v>0.113</v>
      </c>
      <c r="I9925" s="2">
        <v>5.1999999999999998E-2</v>
      </c>
      <c r="J9925" s="2">
        <v>4.8399999999999999E-2</v>
      </c>
      <c r="K9925" s="2">
        <v>1.95E-2</v>
      </c>
      <c r="L9925" s="2">
        <v>1.3599999999999999E-2</v>
      </c>
      <c r="M9925" s="2">
        <v>2.0199999999999999E-2</v>
      </c>
      <c r="N9925" s="2">
        <v>2.98E-2</v>
      </c>
      <c r="O9925" s="2">
        <v>1.4E-2</v>
      </c>
      <c r="P9925" s="2">
        <v>2.2700000000000001E-2</v>
      </c>
      <c r="Q9925" s="2">
        <v>1.0500000000000001E-2</v>
      </c>
      <c r="R9925" s="2">
        <v>2.0999999999999999E-3</v>
      </c>
      <c r="S9925" s="2">
        <v>2.1700000000000001E-2</v>
      </c>
      <c r="T9925" s="2">
        <v>8.3000000000000001E-3</v>
      </c>
      <c r="U9925" s="2">
        <v>6.1999999999999998E-3</v>
      </c>
      <c r="V9925" s="2">
        <v>1.4800000000000001E-2</v>
      </c>
      <c r="W9925" s="2">
        <v>6.1999999999999998E-3</v>
      </c>
      <c r="X9925" s="2">
        <v>6.1000000000000004E-3</v>
      </c>
      <c r="Y9925" s="2">
        <v>1.2999999999999999E-3</v>
      </c>
      <c r="Z9925">
        <v>521</v>
      </c>
    </row>
    <row r="9926" spans="1:26" x14ac:dyDescent="0.35">
      <c r="A9926" t="s">
        <v>228</v>
      </c>
      <c r="B9926" t="s">
        <v>228</v>
      </c>
      <c r="C9926" s="2">
        <v>0.50360000000000005</v>
      </c>
      <c r="D9926" s="2">
        <v>0.2873</v>
      </c>
      <c r="E9926" s="2">
        <v>7.9000000000000001E-2</v>
      </c>
      <c r="F9926" s="2">
        <v>5.91E-2</v>
      </c>
      <c r="G9926" s="2">
        <v>5.8900000000000001E-2</v>
      </c>
      <c r="H9926" s="2">
        <v>5.3600000000000002E-2</v>
      </c>
      <c r="I9926" s="2">
        <v>4.2000000000000003E-2</v>
      </c>
      <c r="J9926" s="2">
        <v>3.5000000000000003E-2</v>
      </c>
      <c r="K9926" s="2">
        <v>3.1899999999999998E-2</v>
      </c>
      <c r="L9926" s="2">
        <v>2.9499999999999998E-2</v>
      </c>
      <c r="M9926" s="2">
        <v>2.7199999999999998E-2</v>
      </c>
      <c r="N9926" s="2">
        <v>2.2800000000000001E-2</v>
      </c>
      <c r="O9926" s="2">
        <v>2.1100000000000001E-2</v>
      </c>
      <c r="P9926" s="2">
        <v>1.8100000000000002E-2</v>
      </c>
      <c r="Q9926" s="2">
        <v>1.0500000000000001E-2</v>
      </c>
      <c r="R9926" s="2">
        <v>0.01</v>
      </c>
      <c r="S9926" s="2">
        <v>9.4000000000000004E-3</v>
      </c>
      <c r="T9926" s="2">
        <v>9.2999999999999992E-3</v>
      </c>
      <c r="U9926" s="2">
        <v>8.6E-3</v>
      </c>
      <c r="V9926" s="2">
        <v>7.7999999999999996E-3</v>
      </c>
      <c r="W9926" s="2">
        <v>6.0000000000000001E-3</v>
      </c>
      <c r="X9926" s="2">
        <v>5.3E-3</v>
      </c>
      <c r="Y9926" s="2">
        <v>2.0999999999999999E-3</v>
      </c>
      <c r="Z9926">
        <v>2792</v>
      </c>
    </row>
    <row r="9928" spans="1:26" x14ac:dyDescent="0.35">
      <c r="A9928" s="1" t="s">
        <v>2303</v>
      </c>
    </row>
    <row r="9929" spans="1:26" x14ac:dyDescent="0.35">
      <c r="A9929" t="s">
        <v>219</v>
      </c>
      <c r="B9929" t="s">
        <v>301</v>
      </c>
      <c r="C9929" t="s">
        <v>540</v>
      </c>
      <c r="D9929" t="s">
        <v>2276</v>
      </c>
      <c r="E9929" t="s">
        <v>2277</v>
      </c>
      <c r="F9929" t="s">
        <v>2278</v>
      </c>
      <c r="G9929" t="s">
        <v>2279</v>
      </c>
      <c r="H9929" t="s">
        <v>2280</v>
      </c>
      <c r="I9929" t="s">
        <v>2281</v>
      </c>
      <c r="J9929" t="s">
        <v>2282</v>
      </c>
      <c r="K9929" t="s">
        <v>2283</v>
      </c>
      <c r="L9929" t="s">
        <v>2284</v>
      </c>
      <c r="M9929" t="s">
        <v>2285</v>
      </c>
      <c r="N9929" t="s">
        <v>2286</v>
      </c>
      <c r="O9929" t="s">
        <v>2287</v>
      </c>
      <c r="P9929" t="s">
        <v>2288</v>
      </c>
      <c r="Q9929" t="s">
        <v>2289</v>
      </c>
      <c r="R9929" t="s">
        <v>2290</v>
      </c>
      <c r="S9929" t="s">
        <v>2291</v>
      </c>
      <c r="T9929" t="s">
        <v>2292</v>
      </c>
      <c r="U9929" t="s">
        <v>318</v>
      </c>
      <c r="V9929" t="s">
        <v>2293</v>
      </c>
      <c r="W9929" t="s">
        <v>2294</v>
      </c>
      <c r="X9929" t="s">
        <v>277</v>
      </c>
      <c r="Y9929" t="s">
        <v>282</v>
      </c>
      <c r="Z9929" t="s">
        <v>226</v>
      </c>
    </row>
    <row r="9930" spans="1:26" x14ac:dyDescent="0.35">
      <c r="A9930" t="s">
        <v>227</v>
      </c>
      <c r="B9930" t="s">
        <v>343</v>
      </c>
      <c r="C9930" s="2">
        <v>0.40260000000000001</v>
      </c>
      <c r="D9930" s="2">
        <v>0.30859999999999999</v>
      </c>
      <c r="E9930" s="2">
        <v>9.1600000000000001E-2</v>
      </c>
      <c r="F9930" s="2">
        <v>0.1183</v>
      </c>
      <c r="G9930" s="2">
        <v>5.4600000000000003E-2</v>
      </c>
      <c r="H9930" s="2">
        <v>3.2399999999999998E-2</v>
      </c>
      <c r="I9930" s="2">
        <v>8.6099999999999996E-2</v>
      </c>
      <c r="J9930" s="2">
        <v>1.5800000000000002E-2</v>
      </c>
      <c r="K9930" s="2">
        <v>0.1004</v>
      </c>
      <c r="L9930" s="2">
        <v>6.54E-2</v>
      </c>
      <c r="M9930" s="2">
        <v>1.1900000000000001E-2</v>
      </c>
      <c r="N9930" s="2">
        <v>2.41E-2</v>
      </c>
      <c r="O9930" s="2">
        <v>1.32E-2</v>
      </c>
      <c r="P9930" s="2">
        <v>2.2200000000000001E-2</v>
      </c>
      <c r="Q9930" s="2">
        <v>1.4E-2</v>
      </c>
      <c r="R9930" s="2">
        <v>1.84E-2</v>
      </c>
      <c r="S9930" s="2">
        <v>1.8100000000000002E-2</v>
      </c>
      <c r="T9930" s="2">
        <v>1.95E-2</v>
      </c>
      <c r="U9930" s="2">
        <v>1.8499999999999999E-2</v>
      </c>
      <c r="V9930" s="2">
        <v>1.8E-3</v>
      </c>
      <c r="W9930" s="2">
        <v>4.4999999999999997E-3</v>
      </c>
      <c r="X9930" s="2">
        <v>1.2999999999999999E-3</v>
      </c>
      <c r="Y9930" s="2">
        <v>9.7999999999999997E-3</v>
      </c>
      <c r="Z9930">
        <v>401</v>
      </c>
    </row>
    <row r="9931" spans="1:26" x14ac:dyDescent="0.35">
      <c r="A9931" t="s">
        <v>227</v>
      </c>
      <c r="B9931" t="s">
        <v>344</v>
      </c>
      <c r="C9931" s="2">
        <v>0.52429999999999999</v>
      </c>
      <c r="D9931" s="2">
        <v>0.28299999999999997</v>
      </c>
      <c r="E9931" s="2">
        <v>7.6499999999999999E-2</v>
      </c>
      <c r="F9931" s="2">
        <v>4.7E-2</v>
      </c>
      <c r="G9931" s="2">
        <v>5.9799999999999999E-2</v>
      </c>
      <c r="H9931" s="2">
        <v>5.79E-2</v>
      </c>
      <c r="I9931" s="2">
        <v>3.3000000000000002E-2</v>
      </c>
      <c r="J9931" s="2">
        <v>3.8899999999999997E-2</v>
      </c>
      <c r="K9931" s="2">
        <v>1.7899999999999999E-2</v>
      </c>
      <c r="L9931" s="2">
        <v>2.2200000000000001E-2</v>
      </c>
      <c r="M9931" s="2">
        <v>3.04E-2</v>
      </c>
      <c r="N9931" s="2">
        <v>2.2499999999999999E-2</v>
      </c>
      <c r="O9931" s="2">
        <v>2.2800000000000001E-2</v>
      </c>
      <c r="P9931" s="2">
        <v>1.72E-2</v>
      </c>
      <c r="Q9931" s="2">
        <v>9.7000000000000003E-3</v>
      </c>
      <c r="R9931" s="2">
        <v>8.2000000000000007E-3</v>
      </c>
      <c r="S9931" s="2">
        <v>7.6E-3</v>
      </c>
      <c r="T9931" s="2">
        <v>7.1999999999999998E-3</v>
      </c>
      <c r="U9931" s="2">
        <v>6.6E-3</v>
      </c>
      <c r="V9931" s="2">
        <v>9.1000000000000004E-3</v>
      </c>
      <c r="W9931" s="2">
        <v>6.3E-3</v>
      </c>
      <c r="X9931" s="2">
        <v>6.1000000000000004E-3</v>
      </c>
      <c r="Y9931" s="2">
        <v>5.9999999999999995E-4</v>
      </c>
      <c r="Z9931">
        <v>2391</v>
      </c>
    </row>
    <row r="9932" spans="1:26" x14ac:dyDescent="0.35">
      <c r="A9932" t="s">
        <v>228</v>
      </c>
      <c r="B9932" t="s">
        <v>228</v>
      </c>
      <c r="C9932" s="2">
        <v>0.50360000000000005</v>
      </c>
      <c r="D9932" s="2">
        <v>0.2873</v>
      </c>
      <c r="E9932" s="2">
        <v>7.9000000000000001E-2</v>
      </c>
      <c r="F9932" s="2">
        <v>5.91E-2</v>
      </c>
      <c r="G9932" s="2">
        <v>5.8900000000000001E-2</v>
      </c>
      <c r="H9932" s="2">
        <v>5.3600000000000002E-2</v>
      </c>
      <c r="I9932" s="2">
        <v>4.2000000000000003E-2</v>
      </c>
      <c r="J9932" s="2">
        <v>3.5000000000000003E-2</v>
      </c>
      <c r="K9932" s="2">
        <v>3.1899999999999998E-2</v>
      </c>
      <c r="L9932" s="2">
        <v>2.9499999999999998E-2</v>
      </c>
      <c r="M9932" s="2">
        <v>2.7199999999999998E-2</v>
      </c>
      <c r="N9932" s="2">
        <v>2.2800000000000001E-2</v>
      </c>
      <c r="O9932" s="2">
        <v>2.1100000000000001E-2</v>
      </c>
      <c r="P9932" s="2">
        <v>1.8100000000000002E-2</v>
      </c>
      <c r="Q9932" s="2">
        <v>1.0500000000000001E-2</v>
      </c>
      <c r="R9932" s="2">
        <v>0.01</v>
      </c>
      <c r="S9932" s="2">
        <v>9.4000000000000004E-3</v>
      </c>
      <c r="T9932" s="2">
        <v>9.2999999999999992E-3</v>
      </c>
      <c r="U9932" s="2">
        <v>8.6E-3</v>
      </c>
      <c r="V9932" s="2">
        <v>7.7999999999999996E-3</v>
      </c>
      <c r="W9932" s="2">
        <v>6.0000000000000001E-3</v>
      </c>
      <c r="X9932" s="2">
        <v>5.3E-3</v>
      </c>
      <c r="Y9932" s="2">
        <v>2.0999999999999999E-3</v>
      </c>
      <c r="Z9932">
        <v>2792</v>
      </c>
    </row>
    <row r="9934" spans="1:26" x14ac:dyDescent="0.35">
      <c r="A9934" s="1" t="s">
        <v>2304</v>
      </c>
    </row>
    <row r="9935" spans="1:26" x14ac:dyDescent="0.35">
      <c r="A9935" t="s">
        <v>219</v>
      </c>
      <c r="B9935" t="s">
        <v>301</v>
      </c>
      <c r="C9935" t="s">
        <v>540</v>
      </c>
      <c r="D9935" t="s">
        <v>2276</v>
      </c>
      <c r="E9935" t="s">
        <v>2277</v>
      </c>
      <c r="F9935" t="s">
        <v>2278</v>
      </c>
      <c r="G9935" t="s">
        <v>2279</v>
      </c>
      <c r="H9935" t="s">
        <v>2280</v>
      </c>
      <c r="I9935" t="s">
        <v>2281</v>
      </c>
      <c r="J9935" t="s">
        <v>2282</v>
      </c>
      <c r="K9935" t="s">
        <v>2283</v>
      </c>
      <c r="L9935" t="s">
        <v>2284</v>
      </c>
      <c r="M9935" t="s">
        <v>2285</v>
      </c>
      <c r="N9935" t="s">
        <v>2286</v>
      </c>
      <c r="O9935" t="s">
        <v>2287</v>
      </c>
      <c r="P9935" t="s">
        <v>2288</v>
      </c>
      <c r="Q9935" t="s">
        <v>2289</v>
      </c>
      <c r="R9935" t="s">
        <v>2290</v>
      </c>
      <c r="S9935" t="s">
        <v>2291</v>
      </c>
      <c r="T9935" t="s">
        <v>2292</v>
      </c>
      <c r="U9935" t="s">
        <v>318</v>
      </c>
      <c r="V9935" t="s">
        <v>2293</v>
      </c>
      <c r="W9935" t="s">
        <v>2294</v>
      </c>
      <c r="X9935" t="s">
        <v>277</v>
      </c>
      <c r="Y9935" t="s">
        <v>282</v>
      </c>
      <c r="Z9935" t="s">
        <v>226</v>
      </c>
    </row>
    <row r="9936" spans="1:26" x14ac:dyDescent="0.35">
      <c r="A9936" t="s">
        <v>227</v>
      </c>
      <c r="B9936" t="s">
        <v>346</v>
      </c>
      <c r="C9936" s="2">
        <v>0.51839999999999997</v>
      </c>
      <c r="D9936" s="2">
        <v>0.28189999999999998</v>
      </c>
      <c r="E9936" s="2">
        <v>7.9799999999999996E-2</v>
      </c>
      <c r="F9936" s="2">
        <v>5.79E-2</v>
      </c>
      <c r="G9936" s="2">
        <v>5.7700000000000001E-2</v>
      </c>
      <c r="H9936" s="2">
        <v>3.8699999999999998E-2</v>
      </c>
      <c r="I9936" s="2">
        <v>3.85E-2</v>
      </c>
      <c r="J9936" s="2">
        <v>3.39E-2</v>
      </c>
      <c r="K9936" s="2">
        <v>3.1800000000000002E-2</v>
      </c>
      <c r="L9936" s="2">
        <v>3.1E-2</v>
      </c>
      <c r="M9936" s="2">
        <v>2.6499999999999999E-2</v>
      </c>
      <c r="N9936" s="2">
        <v>1.9400000000000001E-2</v>
      </c>
      <c r="O9936" s="2">
        <v>1.9300000000000001E-2</v>
      </c>
      <c r="P9936" s="2">
        <v>1.6400000000000001E-2</v>
      </c>
      <c r="Q9936" s="2">
        <v>1.0200000000000001E-2</v>
      </c>
      <c r="R9936" s="2">
        <v>1.04E-2</v>
      </c>
      <c r="S9936" s="2">
        <v>6.0000000000000001E-3</v>
      </c>
      <c r="T9936" s="2">
        <v>9.1999999999999998E-3</v>
      </c>
      <c r="U9936" s="2">
        <v>9.7000000000000003E-3</v>
      </c>
      <c r="V9936" s="2">
        <v>6.8999999999999999E-3</v>
      </c>
      <c r="W9936" s="2">
        <v>6.4000000000000003E-3</v>
      </c>
      <c r="X9936" s="2">
        <v>4.5999999999999999E-3</v>
      </c>
      <c r="Y9936" s="2">
        <v>2E-3</v>
      </c>
      <c r="Z9936">
        <v>1451</v>
      </c>
    </row>
    <row r="9937" spans="1:26" x14ac:dyDescent="0.35">
      <c r="A9937" t="s">
        <v>227</v>
      </c>
      <c r="B9937" t="s">
        <v>347</v>
      </c>
      <c r="C9937" s="2">
        <v>0.31540000000000001</v>
      </c>
      <c r="D9937" s="2">
        <v>0.35089999999999999</v>
      </c>
      <c r="E9937" s="2">
        <v>0.1045</v>
      </c>
      <c r="F9937" s="2">
        <v>7.0900000000000005E-2</v>
      </c>
      <c r="G9937" s="2">
        <v>4.9399999999999999E-2</v>
      </c>
      <c r="H9937" s="2">
        <v>0.16839999999999999</v>
      </c>
      <c r="I9937" s="2">
        <v>4.2099999999999999E-2</v>
      </c>
      <c r="J9937" s="2">
        <v>5.7500000000000002E-2</v>
      </c>
      <c r="K9937" s="2">
        <v>5.2600000000000001E-2</v>
      </c>
      <c r="L9937" s="2">
        <v>2.5899999999999999E-2</v>
      </c>
      <c r="M9937" s="2">
        <v>6.1100000000000002E-2</v>
      </c>
      <c r="N9937" s="2">
        <v>6.7000000000000004E-2</v>
      </c>
      <c r="O9937" s="2">
        <v>4.6300000000000001E-2</v>
      </c>
      <c r="P9937" s="2">
        <v>4.8500000000000001E-2</v>
      </c>
      <c r="Q9937" s="2">
        <v>1.5699999999999999E-2</v>
      </c>
      <c r="R9937" s="2">
        <v>8.2000000000000007E-3</v>
      </c>
      <c r="S9937" s="2">
        <v>2.01E-2</v>
      </c>
      <c r="T9937" s="2">
        <v>1.0200000000000001E-2</v>
      </c>
      <c r="U9937" s="2">
        <v>5.1999999999999998E-3</v>
      </c>
      <c r="V9937" s="2">
        <v>6.6E-3</v>
      </c>
      <c r="W9937" s="2">
        <v>4.1000000000000003E-3</v>
      </c>
      <c r="X9937" s="2">
        <v>1.1599999999999999E-2</v>
      </c>
      <c r="Y9937" s="2">
        <v>5.1999999999999998E-3</v>
      </c>
      <c r="Z9937">
        <v>580</v>
      </c>
    </row>
    <row r="9938" spans="1:26" x14ac:dyDescent="0.35">
      <c r="A9938" t="s">
        <v>227</v>
      </c>
      <c r="B9938" t="s">
        <v>348</v>
      </c>
      <c r="C9938" s="2">
        <v>0.44130000000000003</v>
      </c>
      <c r="D9938" s="2">
        <v>0.31230000000000002</v>
      </c>
      <c r="E9938" s="2">
        <v>6.2300000000000001E-2</v>
      </c>
      <c r="F9938" s="2">
        <v>6.59E-2</v>
      </c>
      <c r="G9938" s="2">
        <v>7.4099999999999999E-2</v>
      </c>
      <c r="H9938" s="2">
        <v>0.1444</v>
      </c>
      <c r="I9938" s="2">
        <v>7.4200000000000002E-2</v>
      </c>
      <c r="J9938" s="2">
        <v>3.6600000000000001E-2</v>
      </c>
      <c r="K9938" s="2">
        <v>2.5399999999999999E-2</v>
      </c>
      <c r="L9938" s="2">
        <v>1.7500000000000002E-2</v>
      </c>
      <c r="M9938" s="2">
        <v>2.0899999999999998E-2</v>
      </c>
      <c r="N9938" s="2">
        <v>3.6499999999999998E-2</v>
      </c>
      <c r="O9938" s="2">
        <v>2.81E-2</v>
      </c>
      <c r="P9938" s="2">
        <v>2.2200000000000001E-2</v>
      </c>
      <c r="Q9938" s="2">
        <v>1.06E-2</v>
      </c>
      <c r="R9938" s="2">
        <v>6.4000000000000003E-3</v>
      </c>
      <c r="S9938" s="2">
        <v>3.5700000000000003E-2</v>
      </c>
      <c r="T9938" s="2">
        <v>9.4999999999999998E-3</v>
      </c>
      <c r="V9938" s="2">
        <v>1.66E-2</v>
      </c>
      <c r="W9938" s="2">
        <v>3.0999999999999999E-3</v>
      </c>
      <c r="X9938" s="2">
        <v>8.8999999999999999E-3</v>
      </c>
      <c r="Y9938" s="2">
        <v>2.5999999999999999E-3</v>
      </c>
      <c r="Z9938">
        <v>761</v>
      </c>
    </row>
    <row r="9939" spans="1:26" x14ac:dyDescent="0.35">
      <c r="A9939" t="s">
        <v>228</v>
      </c>
      <c r="B9939" t="s">
        <v>228</v>
      </c>
      <c r="C9939" s="2">
        <v>0.50360000000000005</v>
      </c>
      <c r="D9939" s="2">
        <v>0.2873</v>
      </c>
      <c r="E9939" s="2">
        <v>7.9000000000000001E-2</v>
      </c>
      <c r="F9939" s="2">
        <v>5.91E-2</v>
      </c>
      <c r="G9939" s="2">
        <v>5.8900000000000001E-2</v>
      </c>
      <c r="H9939" s="2">
        <v>5.3600000000000002E-2</v>
      </c>
      <c r="I9939" s="2">
        <v>4.2000000000000003E-2</v>
      </c>
      <c r="J9939" s="2">
        <v>3.5000000000000003E-2</v>
      </c>
      <c r="K9939" s="2">
        <v>3.1899999999999998E-2</v>
      </c>
      <c r="L9939" s="2">
        <v>2.9499999999999998E-2</v>
      </c>
      <c r="M9939" s="2">
        <v>2.7199999999999998E-2</v>
      </c>
      <c r="N9939" s="2">
        <v>2.2800000000000001E-2</v>
      </c>
      <c r="O9939" s="2">
        <v>2.1100000000000001E-2</v>
      </c>
      <c r="P9939" s="2">
        <v>1.8100000000000002E-2</v>
      </c>
      <c r="Q9939" s="2">
        <v>1.0500000000000001E-2</v>
      </c>
      <c r="R9939" s="2">
        <v>0.01</v>
      </c>
      <c r="S9939" s="2">
        <v>9.4000000000000004E-3</v>
      </c>
      <c r="T9939" s="2">
        <v>9.2999999999999992E-3</v>
      </c>
      <c r="U9939" s="2">
        <v>8.6E-3</v>
      </c>
      <c r="V9939" s="2">
        <v>7.7999999999999996E-3</v>
      </c>
      <c r="W9939" s="2">
        <v>6.0000000000000001E-3</v>
      </c>
      <c r="X9939" s="2">
        <v>5.3E-3</v>
      </c>
      <c r="Y9939" s="2">
        <v>2.0999999999999999E-3</v>
      </c>
      <c r="Z9939">
        <v>2792</v>
      </c>
    </row>
    <row r="9941" spans="1:26" x14ac:dyDescent="0.35">
      <c r="A9941" s="1" t="s">
        <v>2305</v>
      </c>
    </row>
    <row r="9942" spans="1:26" x14ac:dyDescent="0.35">
      <c r="A9942" t="s">
        <v>219</v>
      </c>
      <c r="B9942" t="s">
        <v>301</v>
      </c>
      <c r="C9942" t="s">
        <v>540</v>
      </c>
      <c r="D9942" t="s">
        <v>2276</v>
      </c>
      <c r="E9942" t="s">
        <v>2277</v>
      </c>
      <c r="F9942" t="s">
        <v>2278</v>
      </c>
      <c r="G9942" t="s">
        <v>2279</v>
      </c>
      <c r="H9942" t="s">
        <v>2280</v>
      </c>
      <c r="I9942" t="s">
        <v>2281</v>
      </c>
      <c r="J9942" t="s">
        <v>2282</v>
      </c>
      <c r="K9942" t="s">
        <v>2283</v>
      </c>
      <c r="L9942" t="s">
        <v>2284</v>
      </c>
      <c r="M9942" t="s">
        <v>2285</v>
      </c>
      <c r="N9942" t="s">
        <v>2286</v>
      </c>
      <c r="O9942" t="s">
        <v>2287</v>
      </c>
      <c r="P9942" t="s">
        <v>2288</v>
      </c>
      <c r="Q9942" t="s">
        <v>2289</v>
      </c>
      <c r="R9942" t="s">
        <v>2290</v>
      </c>
      <c r="S9942" t="s">
        <v>2291</v>
      </c>
      <c r="T9942" t="s">
        <v>2292</v>
      </c>
      <c r="U9942" t="s">
        <v>318</v>
      </c>
      <c r="V9942" t="s">
        <v>2293</v>
      </c>
      <c r="W9942" t="s">
        <v>2294</v>
      </c>
      <c r="X9942" t="s">
        <v>277</v>
      </c>
      <c r="Y9942" t="s">
        <v>282</v>
      </c>
      <c r="Z9942" t="s">
        <v>226</v>
      </c>
    </row>
    <row r="9943" spans="1:26" x14ac:dyDescent="0.35">
      <c r="A9943" t="s">
        <v>227</v>
      </c>
      <c r="B9943" t="s">
        <v>251</v>
      </c>
      <c r="C9943" s="2">
        <v>0.50770000000000004</v>
      </c>
      <c r="D9943" s="2">
        <v>0.26879999999999998</v>
      </c>
      <c r="E9943" s="2">
        <v>7.0599999999999996E-2</v>
      </c>
      <c r="F9943" s="2">
        <v>5.4199999999999998E-2</v>
      </c>
      <c r="G9943" s="2">
        <v>5.2400000000000002E-2</v>
      </c>
      <c r="H9943" s="2">
        <v>5.1299999999999998E-2</v>
      </c>
      <c r="I9943" s="2">
        <v>4.4299999999999999E-2</v>
      </c>
      <c r="J9943" s="2">
        <v>3.32E-2</v>
      </c>
      <c r="K9943" s="2">
        <v>2.9100000000000001E-2</v>
      </c>
      <c r="L9943" s="2">
        <v>2.3599999999999999E-2</v>
      </c>
      <c r="M9943" s="2">
        <v>2.8799999999999999E-2</v>
      </c>
      <c r="N9943" s="2">
        <v>2.4199999999999999E-2</v>
      </c>
      <c r="O9943" s="2">
        <v>2.1600000000000001E-2</v>
      </c>
      <c r="P9943" s="2">
        <v>1.8499999999999999E-2</v>
      </c>
      <c r="Q9943" s="2">
        <v>1.09E-2</v>
      </c>
      <c r="R9943" s="2">
        <v>1.1599999999999999E-2</v>
      </c>
      <c r="S9943" s="2">
        <v>1.6000000000000001E-3</v>
      </c>
      <c r="T9943" s="2">
        <v>1.09E-2</v>
      </c>
      <c r="U9943" s="2">
        <v>8.6E-3</v>
      </c>
      <c r="V9943" s="2">
        <v>9.7000000000000003E-3</v>
      </c>
      <c r="W9943" s="2">
        <v>5.7000000000000002E-3</v>
      </c>
      <c r="X9943" s="2">
        <v>6.7999999999999996E-3</v>
      </c>
      <c r="Y9943" s="2">
        <v>3.0000000000000001E-3</v>
      </c>
      <c r="Z9943">
        <v>2014</v>
      </c>
    </row>
    <row r="9944" spans="1:26" x14ac:dyDescent="0.35">
      <c r="A9944" t="s">
        <v>227</v>
      </c>
      <c r="B9944" t="s">
        <v>252</v>
      </c>
      <c r="C9944" s="2">
        <v>0.49519999999999997</v>
      </c>
      <c r="D9944" s="2">
        <v>0.3201</v>
      </c>
      <c r="E9944" s="2">
        <v>9.8500000000000004E-2</v>
      </c>
      <c r="F9944" s="2">
        <v>7.1499999999999994E-2</v>
      </c>
      <c r="G9944" s="2">
        <v>7.9500000000000001E-2</v>
      </c>
      <c r="H9944" s="2">
        <v>6.0199999999999997E-2</v>
      </c>
      <c r="I9944" s="2">
        <v>3.15E-2</v>
      </c>
      <c r="J9944" s="2">
        <v>3.6999999999999998E-2</v>
      </c>
      <c r="K9944" s="2">
        <v>3.3500000000000002E-2</v>
      </c>
      <c r="L9944" s="2">
        <v>4.9000000000000002E-2</v>
      </c>
      <c r="M9944" s="2">
        <v>2.8000000000000001E-2</v>
      </c>
      <c r="N9944" s="2">
        <v>1.7399999999999999E-2</v>
      </c>
      <c r="O9944" s="2">
        <v>2.2800000000000001E-2</v>
      </c>
      <c r="P9944" s="2">
        <v>1.43E-2</v>
      </c>
      <c r="Q9944" s="2">
        <v>6.4999999999999997E-3</v>
      </c>
      <c r="R9944" s="2">
        <v>5.4999999999999997E-3</v>
      </c>
      <c r="S9944" s="2">
        <v>3.0800000000000001E-2</v>
      </c>
      <c r="T9944" s="2">
        <v>1.8E-3</v>
      </c>
      <c r="U9944" s="2">
        <v>6.6E-3</v>
      </c>
      <c r="V9944" s="2">
        <v>1.1000000000000001E-3</v>
      </c>
      <c r="W9944" s="2">
        <v>8.0999999999999996E-3</v>
      </c>
      <c r="X9944" s="2">
        <v>1.9E-3</v>
      </c>
      <c r="Z9944">
        <v>616</v>
      </c>
    </row>
    <row r="9945" spans="1:26" x14ac:dyDescent="0.35">
      <c r="A9945" t="s">
        <v>227</v>
      </c>
      <c r="B9945" t="s">
        <v>253</v>
      </c>
      <c r="C9945" s="2">
        <v>0.47420000000000001</v>
      </c>
      <c r="D9945" s="2">
        <v>0.40050000000000002</v>
      </c>
      <c r="E9945" s="2">
        <v>0.1105</v>
      </c>
      <c r="F9945" s="2">
        <v>7.2099999999999997E-2</v>
      </c>
      <c r="G9945" s="2">
        <v>6.1100000000000002E-2</v>
      </c>
      <c r="H9945" s="2">
        <v>5.5300000000000002E-2</v>
      </c>
      <c r="I9945" s="2">
        <v>5.8599999999999999E-2</v>
      </c>
      <c r="J9945" s="2">
        <v>5.1700000000000003E-2</v>
      </c>
      <c r="K9945" s="2">
        <v>6.5100000000000005E-2</v>
      </c>
      <c r="L9945" s="2">
        <v>2.5700000000000001E-2</v>
      </c>
      <c r="M9945" s="2">
        <v>2.7000000000000001E-3</v>
      </c>
      <c r="N9945" s="2">
        <v>2.8400000000000002E-2</v>
      </c>
      <c r="O9945" s="2">
        <v>8.0999999999999996E-3</v>
      </c>
      <c r="P9945" s="2">
        <v>2.93E-2</v>
      </c>
      <c r="Q9945" s="2">
        <v>2.2499999999999999E-2</v>
      </c>
      <c r="R9945" s="2">
        <v>7.7000000000000002E-3</v>
      </c>
      <c r="S9945" s="2">
        <v>2.0899999999999998E-2</v>
      </c>
      <c r="T9945" s="2">
        <v>2.1000000000000001E-2</v>
      </c>
      <c r="U9945" s="2">
        <v>1.7899999999999999E-2</v>
      </c>
      <c r="V9945" s="2">
        <v>1.23E-2</v>
      </c>
      <c r="W9945" s="2">
        <v>1.5E-3</v>
      </c>
      <c r="Z9945">
        <v>153</v>
      </c>
    </row>
    <row r="9946" spans="1:26" x14ac:dyDescent="0.35">
      <c r="A9946" s="3" t="s">
        <v>227</v>
      </c>
      <c r="B9946" s="3" t="s">
        <v>254</v>
      </c>
      <c r="C9946" s="4">
        <v>0.80379999999999996</v>
      </c>
      <c r="D9946" s="4">
        <v>0.18149999999999999</v>
      </c>
      <c r="E9946" s="4">
        <v>1.4800000000000001E-2</v>
      </c>
      <c r="F9946" s="4">
        <v>5.1200000000000002E-2</v>
      </c>
      <c r="G9946" s="5"/>
      <c r="H9946" s="4">
        <v>5.8000000000000003E-2</v>
      </c>
      <c r="I9946" s="5"/>
      <c r="J9946" s="5"/>
      <c r="K9946" s="5"/>
      <c r="L9946" s="5"/>
      <c r="M9946" s="5"/>
      <c r="N9946" s="5"/>
      <c r="O9946" s="5"/>
      <c r="P9946" s="5"/>
      <c r="Q9946" s="5"/>
      <c r="R9946" s="5"/>
      <c r="S9946" s="5"/>
      <c r="T9946" s="5"/>
      <c r="U9946" s="5"/>
      <c r="V9946" s="5"/>
      <c r="W9946" s="5"/>
      <c r="X9946" s="5"/>
      <c r="Y9946" s="5"/>
      <c r="Z9946" s="5" t="s">
        <v>515</v>
      </c>
    </row>
    <row r="9947" spans="1:26" x14ac:dyDescent="0.35">
      <c r="A9947" t="s">
        <v>228</v>
      </c>
      <c r="B9947" t="s">
        <v>228</v>
      </c>
      <c r="C9947" s="2">
        <v>0.50360000000000005</v>
      </c>
      <c r="D9947" s="2">
        <v>0.2873</v>
      </c>
      <c r="E9947" s="2">
        <v>7.9000000000000001E-2</v>
      </c>
      <c r="F9947" s="2">
        <v>5.91E-2</v>
      </c>
      <c r="G9947" s="2">
        <v>5.8900000000000001E-2</v>
      </c>
      <c r="H9947" s="2">
        <v>5.3600000000000002E-2</v>
      </c>
      <c r="I9947" s="2">
        <v>4.2000000000000003E-2</v>
      </c>
      <c r="J9947" s="2">
        <v>3.5000000000000003E-2</v>
      </c>
      <c r="K9947" s="2">
        <v>3.1899999999999998E-2</v>
      </c>
      <c r="L9947" s="2">
        <v>2.9499999999999998E-2</v>
      </c>
      <c r="M9947" s="2">
        <v>2.7199999999999998E-2</v>
      </c>
      <c r="N9947" s="2">
        <v>2.2800000000000001E-2</v>
      </c>
      <c r="O9947" s="2">
        <v>2.1100000000000001E-2</v>
      </c>
      <c r="P9947" s="2">
        <v>1.8100000000000002E-2</v>
      </c>
      <c r="Q9947" s="2">
        <v>1.0500000000000001E-2</v>
      </c>
      <c r="R9947" s="2">
        <v>0.01</v>
      </c>
      <c r="S9947" s="2">
        <v>9.4000000000000004E-3</v>
      </c>
      <c r="T9947" s="2">
        <v>9.2999999999999992E-3</v>
      </c>
      <c r="U9947" s="2">
        <v>8.6E-3</v>
      </c>
      <c r="V9947" s="2">
        <v>7.7999999999999996E-3</v>
      </c>
      <c r="W9947" s="2">
        <v>6.0000000000000001E-3</v>
      </c>
      <c r="X9947" s="2">
        <v>5.3E-3</v>
      </c>
      <c r="Y9947" s="2">
        <v>2.0999999999999999E-3</v>
      </c>
      <c r="Z9947">
        <v>2792</v>
      </c>
    </row>
    <row r="9949" spans="1:26" x14ac:dyDescent="0.35">
      <c r="A9949" s="1" t="s">
        <v>2306</v>
      </c>
    </row>
    <row r="9950" spans="1:26" x14ac:dyDescent="0.35">
      <c r="A9950" t="s">
        <v>219</v>
      </c>
      <c r="B9950" t="s">
        <v>301</v>
      </c>
      <c r="C9950" t="s">
        <v>540</v>
      </c>
      <c r="D9950" t="s">
        <v>2276</v>
      </c>
      <c r="E9950" t="s">
        <v>2277</v>
      </c>
      <c r="F9950" t="s">
        <v>2278</v>
      </c>
      <c r="G9950" t="s">
        <v>2279</v>
      </c>
      <c r="H9950" t="s">
        <v>2280</v>
      </c>
      <c r="I9950" t="s">
        <v>2281</v>
      </c>
      <c r="J9950" t="s">
        <v>2282</v>
      </c>
      <c r="K9950" t="s">
        <v>2283</v>
      </c>
      <c r="L9950" t="s">
        <v>2284</v>
      </c>
      <c r="M9950" t="s">
        <v>2285</v>
      </c>
      <c r="N9950" t="s">
        <v>2286</v>
      </c>
      <c r="O9950" t="s">
        <v>2287</v>
      </c>
      <c r="P9950" t="s">
        <v>2288</v>
      </c>
      <c r="Q9950" t="s">
        <v>2289</v>
      </c>
      <c r="R9950" t="s">
        <v>2290</v>
      </c>
      <c r="S9950" t="s">
        <v>2291</v>
      </c>
      <c r="T9950" t="s">
        <v>2292</v>
      </c>
      <c r="U9950" t="s">
        <v>318</v>
      </c>
      <c r="V9950" t="s">
        <v>2293</v>
      </c>
      <c r="W9950" t="s">
        <v>2294</v>
      </c>
      <c r="X9950" t="s">
        <v>277</v>
      </c>
      <c r="Y9950" t="s">
        <v>282</v>
      </c>
      <c r="Z9950" t="s">
        <v>226</v>
      </c>
    </row>
    <row r="9951" spans="1:26" x14ac:dyDescent="0.35">
      <c r="A9951" t="s">
        <v>227</v>
      </c>
      <c r="B9951" t="s">
        <v>1335</v>
      </c>
      <c r="C9951" s="2">
        <v>0.5837</v>
      </c>
      <c r="D9951" s="2">
        <v>0.2208</v>
      </c>
      <c r="E9951" s="2">
        <v>6.3200000000000006E-2</v>
      </c>
      <c r="F9951" s="2">
        <v>2.92E-2</v>
      </c>
      <c r="G9951" s="2">
        <v>5.33E-2</v>
      </c>
      <c r="H9951" s="2">
        <v>5.7000000000000002E-2</v>
      </c>
      <c r="I9951" s="2">
        <v>1.6799999999999999E-2</v>
      </c>
      <c r="J9951" s="2">
        <v>2.07E-2</v>
      </c>
      <c r="K9951" s="2">
        <v>1.32E-2</v>
      </c>
      <c r="L9951" s="2">
        <v>1.0699999999999999E-2</v>
      </c>
      <c r="M9951" s="2">
        <v>1.2800000000000001E-2</v>
      </c>
      <c r="N9951" s="2">
        <v>1.8100000000000002E-2</v>
      </c>
      <c r="O9951" s="2">
        <v>3.0300000000000001E-2</v>
      </c>
      <c r="P9951" s="2">
        <v>1.6199999999999999E-2</v>
      </c>
      <c r="Q9951" s="2">
        <v>6.9999999999999999E-4</v>
      </c>
      <c r="R9951" s="2">
        <v>7.4000000000000003E-3</v>
      </c>
      <c r="S9951" s="2">
        <v>5.3E-3</v>
      </c>
      <c r="T9951" s="2">
        <v>1.7600000000000001E-2</v>
      </c>
      <c r="U9951" s="2">
        <v>9.7999999999999997E-3</v>
      </c>
      <c r="V9951" s="2">
        <v>1.4E-3</v>
      </c>
      <c r="W9951" s="2">
        <v>7.7000000000000002E-3</v>
      </c>
      <c r="X9951" s="2">
        <v>6.7000000000000002E-3</v>
      </c>
      <c r="Y9951" s="2">
        <v>2.0999999999999999E-3</v>
      </c>
      <c r="Z9951">
        <v>834</v>
      </c>
    </row>
    <row r="9952" spans="1:26" x14ac:dyDescent="0.35">
      <c r="A9952" s="3" t="s">
        <v>227</v>
      </c>
      <c r="B9952" s="3" t="s">
        <v>1336</v>
      </c>
      <c r="C9952" s="4">
        <v>0.40660000000000002</v>
      </c>
      <c r="D9952" s="4">
        <v>0.59340000000000004</v>
      </c>
      <c r="E9952" s="5"/>
      <c r="F9952" s="4">
        <v>0.59340000000000004</v>
      </c>
      <c r="G9952" s="5"/>
      <c r="H9952" s="5"/>
      <c r="I9952" s="5"/>
      <c r="J9952" s="5"/>
      <c r="K9952" s="5"/>
      <c r="L9952" s="5"/>
      <c r="M9952" s="5"/>
      <c r="N9952" s="5"/>
      <c r="O9952" s="5"/>
      <c r="P9952" s="5"/>
      <c r="Q9952" s="5"/>
      <c r="R9952" s="5"/>
      <c r="S9952" s="5"/>
      <c r="T9952" s="5"/>
      <c r="U9952" s="5"/>
      <c r="V9952" s="5"/>
      <c r="W9952" s="5"/>
      <c r="X9952" s="5"/>
      <c r="Y9952" s="5"/>
      <c r="Z9952" s="5" t="s">
        <v>434</v>
      </c>
    </row>
    <row r="9953" spans="1:27" x14ac:dyDescent="0.35">
      <c r="A9953" t="s">
        <v>227</v>
      </c>
      <c r="B9953" t="s">
        <v>1337</v>
      </c>
      <c r="C9953" s="2">
        <v>0.46429999999999999</v>
      </c>
      <c r="D9953" s="2">
        <v>0.31950000000000001</v>
      </c>
      <c r="E9953" s="2">
        <v>8.6999999999999994E-2</v>
      </c>
      <c r="F9953" s="2">
        <v>7.2599999999999998E-2</v>
      </c>
      <c r="G9953" s="2">
        <v>6.1899999999999997E-2</v>
      </c>
      <c r="H9953" s="2">
        <v>5.1999999999999998E-2</v>
      </c>
      <c r="I9953" s="2">
        <v>5.4600000000000003E-2</v>
      </c>
      <c r="J9953" s="2">
        <v>4.2200000000000001E-2</v>
      </c>
      <c r="K9953" s="2">
        <v>4.1300000000000003E-2</v>
      </c>
      <c r="L9953" s="2">
        <v>3.8800000000000001E-2</v>
      </c>
      <c r="M9953" s="2">
        <v>3.44E-2</v>
      </c>
      <c r="N9953" s="2">
        <v>2.52E-2</v>
      </c>
      <c r="O9953" s="2">
        <v>1.67E-2</v>
      </c>
      <c r="P9953" s="2">
        <v>1.9099999999999999E-2</v>
      </c>
      <c r="Q9953" s="2">
        <v>1.5299999999999999E-2</v>
      </c>
      <c r="R9953" s="2">
        <v>1.1299999999999999E-2</v>
      </c>
      <c r="S9953" s="2">
        <v>1.14E-2</v>
      </c>
      <c r="T9953" s="2">
        <v>5.1999999999999998E-3</v>
      </c>
      <c r="U9953" s="2">
        <v>8.0000000000000002E-3</v>
      </c>
      <c r="V9953" s="2">
        <v>1.0999999999999999E-2</v>
      </c>
      <c r="W9953" s="2">
        <v>5.1999999999999998E-3</v>
      </c>
      <c r="X9953" s="2">
        <v>4.5999999999999999E-3</v>
      </c>
      <c r="Y9953" s="2">
        <v>2.2000000000000001E-3</v>
      </c>
      <c r="Z9953">
        <v>1956</v>
      </c>
    </row>
    <row r="9954" spans="1:27" x14ac:dyDescent="0.35">
      <c r="A9954" t="s">
        <v>228</v>
      </c>
      <c r="B9954" t="s">
        <v>228</v>
      </c>
      <c r="C9954" s="2">
        <v>0.50360000000000005</v>
      </c>
      <c r="D9954" s="2">
        <v>0.2873</v>
      </c>
      <c r="E9954" s="2">
        <v>7.9000000000000001E-2</v>
      </c>
      <c r="F9954" s="2">
        <v>5.91E-2</v>
      </c>
      <c r="G9954" s="2">
        <v>5.8900000000000001E-2</v>
      </c>
      <c r="H9954" s="2">
        <v>5.3600000000000002E-2</v>
      </c>
      <c r="I9954" s="2">
        <v>4.2000000000000003E-2</v>
      </c>
      <c r="J9954" s="2">
        <v>3.5000000000000003E-2</v>
      </c>
      <c r="K9954" s="2">
        <v>3.1899999999999998E-2</v>
      </c>
      <c r="L9954" s="2">
        <v>2.9499999999999998E-2</v>
      </c>
      <c r="M9954" s="2">
        <v>2.7199999999999998E-2</v>
      </c>
      <c r="N9954" s="2">
        <v>2.2800000000000001E-2</v>
      </c>
      <c r="O9954" s="2">
        <v>2.1100000000000001E-2</v>
      </c>
      <c r="P9954" s="2">
        <v>1.8100000000000002E-2</v>
      </c>
      <c r="Q9954" s="2">
        <v>1.0500000000000001E-2</v>
      </c>
      <c r="R9954" s="2">
        <v>0.01</v>
      </c>
      <c r="S9954" s="2">
        <v>9.4000000000000004E-3</v>
      </c>
      <c r="T9954" s="2">
        <v>9.2999999999999992E-3</v>
      </c>
      <c r="U9954" s="2">
        <v>8.6E-3</v>
      </c>
      <c r="V9954" s="2">
        <v>7.7999999999999996E-3</v>
      </c>
      <c r="W9954" s="2">
        <v>6.0000000000000001E-3</v>
      </c>
      <c r="X9954" s="2">
        <v>5.3E-3</v>
      </c>
      <c r="Y9954" s="2">
        <v>2.0999999999999999E-3</v>
      </c>
      <c r="Z9954">
        <v>2792</v>
      </c>
    </row>
    <row r="9956" spans="1:27" x14ac:dyDescent="0.35">
      <c r="A9956" s="1" t="s">
        <v>2307</v>
      </c>
    </row>
    <row r="9957" spans="1:27" x14ac:dyDescent="0.35">
      <c r="A9957" t="s">
        <v>219</v>
      </c>
      <c r="B9957" t="s">
        <v>301</v>
      </c>
      <c r="C9957" t="s">
        <v>540</v>
      </c>
      <c r="D9957" t="s">
        <v>2276</v>
      </c>
      <c r="E9957" t="s">
        <v>2277</v>
      </c>
      <c r="F9957" t="s">
        <v>2278</v>
      </c>
      <c r="G9957" t="s">
        <v>2279</v>
      </c>
      <c r="H9957" t="s">
        <v>2280</v>
      </c>
      <c r="I9957" t="s">
        <v>2281</v>
      </c>
      <c r="J9957" t="s">
        <v>2282</v>
      </c>
      <c r="K9957" t="s">
        <v>2283</v>
      </c>
      <c r="L9957" t="s">
        <v>2284</v>
      </c>
      <c r="M9957" t="s">
        <v>2285</v>
      </c>
      <c r="N9957" t="s">
        <v>2286</v>
      </c>
      <c r="O9957" t="s">
        <v>2287</v>
      </c>
      <c r="P9957" t="s">
        <v>2288</v>
      </c>
      <c r="Q9957" t="s">
        <v>2289</v>
      </c>
      <c r="R9957" t="s">
        <v>2290</v>
      </c>
      <c r="S9957" t="s">
        <v>2291</v>
      </c>
      <c r="T9957" t="s">
        <v>2292</v>
      </c>
      <c r="U9957" t="s">
        <v>318</v>
      </c>
      <c r="V9957" t="s">
        <v>2293</v>
      </c>
      <c r="W9957" t="s">
        <v>2294</v>
      </c>
      <c r="X9957" t="s">
        <v>277</v>
      </c>
      <c r="Y9957" t="s">
        <v>282</v>
      </c>
      <c r="Z9957" t="s">
        <v>226</v>
      </c>
    </row>
    <row r="9958" spans="1:27" x14ac:dyDescent="0.35">
      <c r="A9958" t="s">
        <v>227</v>
      </c>
      <c r="B9958" t="s">
        <v>1339</v>
      </c>
      <c r="C9958" s="2">
        <v>0.55859999999999999</v>
      </c>
      <c r="D9958" s="2">
        <v>0.1789</v>
      </c>
      <c r="E9958" s="2">
        <v>3.1800000000000002E-2</v>
      </c>
      <c r="F9958" s="2">
        <v>2.87E-2</v>
      </c>
      <c r="G9958" s="2">
        <v>9.5500000000000002E-2</v>
      </c>
      <c r="H9958" s="2">
        <v>7.6700000000000004E-2</v>
      </c>
      <c r="I9958" s="2">
        <v>2.87E-2</v>
      </c>
      <c r="J9958" s="2">
        <v>6.1100000000000002E-2</v>
      </c>
      <c r="L9958" s="2">
        <v>2.87E-2</v>
      </c>
      <c r="O9958" s="2">
        <v>2.3E-2</v>
      </c>
      <c r="P9958" s="2">
        <v>3.8100000000000002E-2</v>
      </c>
      <c r="S9958" s="2">
        <v>1.01E-2</v>
      </c>
      <c r="U9958" s="2">
        <v>7.5800000000000006E-2</v>
      </c>
      <c r="V9958" s="2">
        <v>3.5200000000000002E-2</v>
      </c>
      <c r="X9958" s="2">
        <v>1.1999999999999999E-3</v>
      </c>
      <c r="Z9958">
        <v>50</v>
      </c>
    </row>
    <row r="9959" spans="1:27" x14ac:dyDescent="0.35">
      <c r="A9959" t="s">
        <v>227</v>
      </c>
      <c r="B9959" t="s">
        <v>1340</v>
      </c>
      <c r="C9959" s="2">
        <v>0.54620000000000002</v>
      </c>
      <c r="D9959" s="2">
        <v>0.23180000000000001</v>
      </c>
      <c r="E9959" s="2">
        <v>6.4399999999999999E-2</v>
      </c>
      <c r="F9959" s="2">
        <v>4.2299999999999997E-2</v>
      </c>
      <c r="G9959" s="2">
        <v>6.6000000000000003E-2</v>
      </c>
      <c r="H9959" s="2">
        <v>7.7799999999999994E-2</v>
      </c>
      <c r="I9959" s="2">
        <v>0.03</v>
      </c>
      <c r="J9959" s="2">
        <v>4.36E-2</v>
      </c>
      <c r="K9959" s="2">
        <v>4.0500000000000001E-2</v>
      </c>
      <c r="L9959" s="2">
        <v>3.49E-2</v>
      </c>
      <c r="M9959" s="2">
        <v>2.9399999999999999E-2</v>
      </c>
      <c r="N9959" s="2">
        <v>2.63E-2</v>
      </c>
      <c r="O9959" s="2">
        <v>3.8699999999999998E-2</v>
      </c>
      <c r="P9959" s="2">
        <v>9.1999999999999998E-3</v>
      </c>
      <c r="Q9959" s="2">
        <v>8.3999999999999995E-3</v>
      </c>
      <c r="R9959" s="2">
        <v>2.3999999999999998E-3</v>
      </c>
      <c r="S9959" s="2">
        <v>1.29E-2</v>
      </c>
      <c r="T9959" s="2">
        <v>9.5999999999999992E-3</v>
      </c>
      <c r="U9959" s="2">
        <v>1.41E-2</v>
      </c>
      <c r="V9959" s="2">
        <v>1.0500000000000001E-2</v>
      </c>
      <c r="W9959" s="2">
        <v>1.5E-3</v>
      </c>
      <c r="X9959" s="2">
        <v>3.2000000000000002E-3</v>
      </c>
      <c r="Y9959" s="2">
        <v>4.0000000000000002E-4</v>
      </c>
      <c r="Z9959">
        <v>727</v>
      </c>
    </row>
    <row r="9960" spans="1:27" x14ac:dyDescent="0.35">
      <c r="A9960" t="s">
        <v>227</v>
      </c>
      <c r="B9960" t="s">
        <v>1341</v>
      </c>
      <c r="C9960" s="2">
        <v>0.49349999999999999</v>
      </c>
      <c r="D9960" s="2">
        <v>0.29970000000000002</v>
      </c>
      <c r="E9960" s="2">
        <v>9.2600000000000002E-2</v>
      </c>
      <c r="F9960" s="2">
        <v>6.88E-2</v>
      </c>
      <c r="G9960" s="2">
        <v>6.2100000000000002E-2</v>
      </c>
      <c r="H9960" s="2">
        <v>5.1799999999999999E-2</v>
      </c>
      <c r="I9960" s="2">
        <v>4.1099999999999998E-2</v>
      </c>
      <c r="J9960" s="2">
        <v>2.8199999999999999E-2</v>
      </c>
      <c r="K9960" s="2">
        <v>2.76E-2</v>
      </c>
      <c r="L9960" s="2">
        <v>2.2800000000000001E-2</v>
      </c>
      <c r="M9960" s="2">
        <v>2.1399999999999999E-2</v>
      </c>
      <c r="N9960" s="2">
        <v>2.4199999999999999E-2</v>
      </c>
      <c r="O9960" s="2">
        <v>2.1499999999999998E-2</v>
      </c>
      <c r="P9960" s="2">
        <v>2.6599999999999999E-2</v>
      </c>
      <c r="Q9960" s="2">
        <v>1.12E-2</v>
      </c>
      <c r="R9960" s="2">
        <v>1.17E-2</v>
      </c>
      <c r="S9960" s="2">
        <v>1.15E-2</v>
      </c>
      <c r="T9960" s="2">
        <v>1.2200000000000001E-2</v>
      </c>
      <c r="U9960" s="2">
        <v>5.3E-3</v>
      </c>
      <c r="V9960" s="2">
        <v>8.8999999999999999E-3</v>
      </c>
      <c r="W9960" s="2">
        <v>6.4000000000000003E-3</v>
      </c>
      <c r="X9960" s="2">
        <v>6.4999999999999997E-3</v>
      </c>
      <c r="Y9960" s="2">
        <v>1.9E-3</v>
      </c>
      <c r="Z9960">
        <v>1330</v>
      </c>
    </row>
    <row r="9961" spans="1:27" x14ac:dyDescent="0.35">
      <c r="A9961" t="s">
        <v>227</v>
      </c>
      <c r="B9961" t="s">
        <v>1342</v>
      </c>
      <c r="C9961" s="2">
        <v>0.47649999999999998</v>
      </c>
      <c r="D9961" s="2">
        <v>0.32819999999999999</v>
      </c>
      <c r="E9961" s="2">
        <v>6.9599999999999995E-2</v>
      </c>
      <c r="F9961" s="2">
        <v>5.8500000000000003E-2</v>
      </c>
      <c r="G9961" s="2">
        <v>4.1599999999999998E-2</v>
      </c>
      <c r="H9961" s="2">
        <v>3.0300000000000001E-2</v>
      </c>
      <c r="I9961" s="2">
        <v>5.7599999999999998E-2</v>
      </c>
      <c r="J9961" s="2">
        <v>3.8199999999999998E-2</v>
      </c>
      <c r="K9961" s="2">
        <v>3.56E-2</v>
      </c>
      <c r="L9961" s="2">
        <v>3.8300000000000001E-2</v>
      </c>
      <c r="M9961" s="2">
        <v>4.02E-2</v>
      </c>
      <c r="N9961" s="2">
        <v>1.83E-2</v>
      </c>
      <c r="O9961" s="2">
        <v>2.2000000000000001E-3</v>
      </c>
      <c r="P9961" s="2">
        <v>7.1000000000000004E-3</v>
      </c>
      <c r="Q9961" s="2">
        <v>1.1900000000000001E-2</v>
      </c>
      <c r="R9961" s="2">
        <v>1.4999999999999999E-2</v>
      </c>
      <c r="S9961" s="2">
        <v>1E-3</v>
      </c>
      <c r="T9961" s="2">
        <v>3.7000000000000002E-3</v>
      </c>
      <c r="U9961" s="2">
        <v>3.5999999999999999E-3</v>
      </c>
      <c r="V9961" s="2">
        <v>2.0000000000000001E-4</v>
      </c>
      <c r="W9961" s="2">
        <v>1.03E-2</v>
      </c>
      <c r="X9961" s="2">
        <v>5.1999999999999998E-3</v>
      </c>
      <c r="Y9961" s="2">
        <v>4.7000000000000002E-3</v>
      </c>
      <c r="Z9961">
        <v>685</v>
      </c>
    </row>
    <row r="9962" spans="1:27" x14ac:dyDescent="0.35">
      <c r="A9962" t="s">
        <v>228</v>
      </c>
      <c r="B9962" t="s">
        <v>228</v>
      </c>
      <c r="C9962" s="2">
        <v>0.50360000000000005</v>
      </c>
      <c r="D9962" s="2">
        <v>0.2873</v>
      </c>
      <c r="E9962" s="2">
        <v>7.9000000000000001E-2</v>
      </c>
      <c r="F9962" s="2">
        <v>5.91E-2</v>
      </c>
      <c r="G9962" s="2">
        <v>5.8900000000000001E-2</v>
      </c>
      <c r="H9962" s="2">
        <v>5.3600000000000002E-2</v>
      </c>
      <c r="I9962" s="2">
        <v>4.2000000000000003E-2</v>
      </c>
      <c r="J9962" s="2">
        <v>3.5000000000000003E-2</v>
      </c>
      <c r="K9962" s="2">
        <v>3.1899999999999998E-2</v>
      </c>
      <c r="L9962" s="2">
        <v>2.9499999999999998E-2</v>
      </c>
      <c r="M9962" s="2">
        <v>2.7199999999999998E-2</v>
      </c>
      <c r="N9962" s="2">
        <v>2.2800000000000001E-2</v>
      </c>
      <c r="O9962" s="2">
        <v>2.1100000000000001E-2</v>
      </c>
      <c r="P9962" s="2">
        <v>1.8100000000000002E-2</v>
      </c>
      <c r="Q9962" s="2">
        <v>1.0500000000000001E-2</v>
      </c>
      <c r="R9962" s="2">
        <v>0.01</v>
      </c>
      <c r="S9962" s="2">
        <v>9.4000000000000004E-3</v>
      </c>
      <c r="T9962" s="2">
        <v>9.2999999999999992E-3</v>
      </c>
      <c r="U9962" s="2">
        <v>8.6E-3</v>
      </c>
      <c r="V9962" s="2">
        <v>7.7999999999999996E-3</v>
      </c>
      <c r="W9962" s="2">
        <v>6.0000000000000001E-3</v>
      </c>
      <c r="X9962" s="2">
        <v>5.3E-3</v>
      </c>
      <c r="Y9962" s="2">
        <v>2.0999999999999999E-3</v>
      </c>
      <c r="Z9962">
        <v>2792</v>
      </c>
    </row>
    <row r="9964" spans="1:27" x14ac:dyDescent="0.35">
      <c r="A9964" s="1" t="s">
        <v>2308</v>
      </c>
    </row>
    <row r="9965" spans="1:27" x14ac:dyDescent="0.35">
      <c r="A9965" t="s">
        <v>219</v>
      </c>
      <c r="B9965" t="s">
        <v>301</v>
      </c>
      <c r="C9965" t="s">
        <v>325</v>
      </c>
      <c r="D9965" t="s">
        <v>540</v>
      </c>
      <c r="E9965" t="s">
        <v>2276</v>
      </c>
      <c r="F9965" t="s">
        <v>2277</v>
      </c>
      <c r="G9965" t="s">
        <v>2278</v>
      </c>
      <c r="H9965" t="s">
        <v>2279</v>
      </c>
      <c r="I9965" t="s">
        <v>2280</v>
      </c>
      <c r="J9965" t="s">
        <v>2281</v>
      </c>
      <c r="K9965" t="s">
        <v>2282</v>
      </c>
      <c r="L9965" t="s">
        <v>2283</v>
      </c>
      <c r="M9965" t="s">
        <v>2284</v>
      </c>
      <c r="N9965" t="s">
        <v>2285</v>
      </c>
      <c r="O9965" t="s">
        <v>2286</v>
      </c>
      <c r="P9965" t="s">
        <v>2287</v>
      </c>
      <c r="Q9965" t="s">
        <v>2288</v>
      </c>
      <c r="R9965" t="s">
        <v>2289</v>
      </c>
      <c r="S9965" t="s">
        <v>2290</v>
      </c>
      <c r="T9965" t="s">
        <v>2291</v>
      </c>
      <c r="U9965" t="s">
        <v>2292</v>
      </c>
      <c r="V9965" t="s">
        <v>318</v>
      </c>
      <c r="W9965" t="s">
        <v>2293</v>
      </c>
      <c r="X9965" t="s">
        <v>2294</v>
      </c>
      <c r="Y9965" t="s">
        <v>277</v>
      </c>
      <c r="Z9965" t="s">
        <v>282</v>
      </c>
      <c r="AA9965" t="s">
        <v>226</v>
      </c>
    </row>
    <row r="9966" spans="1:27" x14ac:dyDescent="0.35">
      <c r="A9966" s="3" t="s">
        <v>227</v>
      </c>
      <c r="B9966" s="3" t="s">
        <v>1335</v>
      </c>
      <c r="C9966" s="3" t="s">
        <v>1339</v>
      </c>
      <c r="D9966" s="4">
        <v>0.78300000000000003</v>
      </c>
      <c r="E9966" s="4">
        <v>0.1157</v>
      </c>
      <c r="F9966" s="5"/>
      <c r="G9966" s="5"/>
      <c r="H9966" s="4">
        <v>0.10580000000000001</v>
      </c>
      <c r="I9966" s="4">
        <v>6.0000000000000001E-3</v>
      </c>
      <c r="J9966" s="5"/>
      <c r="K9966" s="4">
        <v>6.3899999999999998E-2</v>
      </c>
      <c r="L9966" s="5"/>
      <c r="M9966" s="5"/>
      <c r="N9966" s="5"/>
      <c r="O9966" s="5"/>
      <c r="P9966" s="4">
        <v>6.3899999999999998E-2</v>
      </c>
      <c r="Q9966" s="5"/>
      <c r="R9966" s="5"/>
      <c r="S9966" s="5"/>
      <c r="T9966" s="4">
        <v>2.81E-2</v>
      </c>
      <c r="U9966" s="5"/>
      <c r="V9966" s="4">
        <v>3.3999999999999998E-3</v>
      </c>
      <c r="W9966" s="4">
        <v>2.81E-2</v>
      </c>
      <c r="X9966" s="5"/>
      <c r="Y9966" s="5"/>
      <c r="Z9966" s="5"/>
      <c r="AA9966" s="5" t="s">
        <v>429</v>
      </c>
    </row>
    <row r="9967" spans="1:27" x14ac:dyDescent="0.35">
      <c r="A9967" t="s">
        <v>227</v>
      </c>
      <c r="B9967" t="s">
        <v>1335</v>
      </c>
      <c r="C9967" t="s">
        <v>1340</v>
      </c>
      <c r="D9967" s="2">
        <v>0.61719999999999997</v>
      </c>
      <c r="E9967" s="2">
        <v>0.18079999999999999</v>
      </c>
      <c r="F9967" s="2">
        <v>5.0099999999999999E-2</v>
      </c>
      <c r="G9967" s="2">
        <v>3.2300000000000002E-2</v>
      </c>
      <c r="H9967" s="2">
        <v>5.3800000000000001E-2</v>
      </c>
      <c r="I9967" s="2">
        <v>7.46E-2</v>
      </c>
      <c r="J9967" s="2">
        <v>6.1000000000000004E-3</v>
      </c>
      <c r="K9967" s="2">
        <v>1.04E-2</v>
      </c>
      <c r="L9967" s="2">
        <v>1.5100000000000001E-2</v>
      </c>
      <c r="M9967" s="2">
        <v>1.0999999999999999E-2</v>
      </c>
      <c r="N9967" s="2">
        <v>4.4999999999999997E-3</v>
      </c>
      <c r="O9967" s="2">
        <v>1.4E-2</v>
      </c>
      <c r="P9967" s="2">
        <v>5.4899999999999997E-2</v>
      </c>
      <c r="Q9967" s="2">
        <v>7.9000000000000008E-3</v>
      </c>
      <c r="S9967" s="2">
        <v>1.1999999999999999E-3</v>
      </c>
      <c r="T9967" s="2">
        <v>2.3999999999999998E-3</v>
      </c>
      <c r="U9967" s="2">
        <v>1.32E-2</v>
      </c>
      <c r="V9967" s="2">
        <v>1.9599999999999999E-2</v>
      </c>
      <c r="W9967" s="2">
        <v>1.1000000000000001E-3</v>
      </c>
      <c r="X9967" s="2">
        <v>2.2000000000000001E-3</v>
      </c>
      <c r="Y9967" s="2">
        <v>7.0000000000000001E-3</v>
      </c>
      <c r="AA9967">
        <v>251</v>
      </c>
    </row>
    <row r="9968" spans="1:27" x14ac:dyDescent="0.35">
      <c r="A9968" t="s">
        <v>227</v>
      </c>
      <c r="B9968" t="s">
        <v>1335</v>
      </c>
      <c r="C9968" t="s">
        <v>1341</v>
      </c>
      <c r="D9968" s="2">
        <v>0.55200000000000005</v>
      </c>
      <c r="E9968" s="2">
        <v>0.23860000000000001</v>
      </c>
      <c r="F9968" s="2">
        <v>8.4500000000000006E-2</v>
      </c>
      <c r="G9968" s="2">
        <v>3.5200000000000002E-2</v>
      </c>
      <c r="H9968" s="2">
        <v>5.4600000000000003E-2</v>
      </c>
      <c r="I9968" s="2">
        <v>6.5100000000000005E-2</v>
      </c>
      <c r="J9968" s="2">
        <v>1.7399999999999999E-2</v>
      </c>
      <c r="K9968" s="2">
        <v>6.6E-3</v>
      </c>
      <c r="L9968" s="2">
        <v>7.4999999999999997E-3</v>
      </c>
      <c r="M9968" s="2">
        <v>1.32E-2</v>
      </c>
      <c r="N9968" s="2">
        <v>8.0000000000000002E-3</v>
      </c>
      <c r="O9968" s="2">
        <v>2.64E-2</v>
      </c>
      <c r="P9968" s="2">
        <v>2.7400000000000001E-2</v>
      </c>
      <c r="Q9968" s="2">
        <v>2.69E-2</v>
      </c>
      <c r="S9968" s="2">
        <v>3.8E-3</v>
      </c>
      <c r="T9968" s="2">
        <v>7.7999999999999996E-3</v>
      </c>
      <c r="U9968" s="2">
        <v>2.6700000000000002E-2</v>
      </c>
      <c r="V9968" s="2">
        <v>8.8999999999999999E-3</v>
      </c>
      <c r="W9968" s="2">
        <v>8.9999999999999998E-4</v>
      </c>
      <c r="X9968" s="2">
        <v>1.34E-2</v>
      </c>
      <c r="Y9968" s="2">
        <v>8.9999999999999993E-3</v>
      </c>
      <c r="Z9968" s="2">
        <v>3.8E-3</v>
      </c>
      <c r="AA9968">
        <v>409</v>
      </c>
    </row>
    <row r="9969" spans="1:27" x14ac:dyDescent="0.35">
      <c r="A9969" t="s">
        <v>227</v>
      </c>
      <c r="B9969" t="s">
        <v>1335</v>
      </c>
      <c r="C9969" t="s">
        <v>1342</v>
      </c>
      <c r="D9969" s="2">
        <v>0.59709999999999996</v>
      </c>
      <c r="E9969" s="2">
        <v>0.2404</v>
      </c>
      <c r="F9969" s="2">
        <v>3.2899999999999999E-2</v>
      </c>
      <c r="G9969" s="2">
        <v>1.2800000000000001E-2</v>
      </c>
      <c r="H9969" s="2">
        <v>4.24E-2</v>
      </c>
      <c r="I9969" s="2">
        <v>1.9E-2</v>
      </c>
      <c r="J9969" s="2">
        <v>3.1600000000000003E-2</v>
      </c>
      <c r="K9969" s="2">
        <v>6.5799999999999997E-2</v>
      </c>
      <c r="L9969" s="2">
        <v>2.7E-2</v>
      </c>
      <c r="M9969" s="2">
        <v>5.1999999999999998E-3</v>
      </c>
      <c r="N9969" s="2">
        <v>3.7900000000000003E-2</v>
      </c>
      <c r="O9969" s="2">
        <v>4.0000000000000001E-3</v>
      </c>
      <c r="P9969" s="2">
        <v>6.9999999999999999E-4</v>
      </c>
      <c r="Q9969" s="2">
        <v>1.1999999999999999E-3</v>
      </c>
      <c r="R9969" s="2">
        <v>3.5000000000000001E-3</v>
      </c>
      <c r="S9969" s="2">
        <v>2.5999999999999999E-2</v>
      </c>
      <c r="U9969" s="2">
        <v>1.6999999999999999E-3</v>
      </c>
      <c r="X9969" s="2">
        <v>1.1000000000000001E-3</v>
      </c>
      <c r="Y9969" s="2">
        <v>1.1000000000000001E-3</v>
      </c>
      <c r="Z9969" s="2">
        <v>6.9999999999999999E-4</v>
      </c>
      <c r="AA9969">
        <v>155</v>
      </c>
    </row>
    <row r="9970" spans="1:27" x14ac:dyDescent="0.35">
      <c r="A9970" s="3" t="s">
        <v>227</v>
      </c>
      <c r="B9970" s="3" t="s">
        <v>1336</v>
      </c>
      <c r="C9970" s="3" t="s">
        <v>1341</v>
      </c>
      <c r="D9970" s="4">
        <v>0.40660000000000002</v>
      </c>
      <c r="E9970" s="4">
        <v>0.59340000000000004</v>
      </c>
      <c r="F9970" s="5"/>
      <c r="G9970" s="4">
        <v>0.59340000000000004</v>
      </c>
      <c r="H9970" s="5"/>
      <c r="I9970" s="5"/>
      <c r="J9970" s="5"/>
      <c r="K9970" s="5"/>
      <c r="L9970" s="5"/>
      <c r="M9970" s="5"/>
      <c r="N9970" s="5"/>
      <c r="O9970" s="5"/>
      <c r="P9970" s="5"/>
      <c r="Q9970" s="5"/>
      <c r="R9970" s="5"/>
      <c r="S9970" s="5"/>
      <c r="T9970" s="5"/>
      <c r="U9970" s="5"/>
      <c r="V9970" s="5"/>
      <c r="W9970" s="5"/>
      <c r="X9970" s="5"/>
      <c r="Y9970" s="5"/>
      <c r="Z9970" s="5"/>
      <c r="AA9970" s="5" t="s">
        <v>434</v>
      </c>
    </row>
    <row r="9971" spans="1:27" x14ac:dyDescent="0.35">
      <c r="A9971" t="s">
        <v>227</v>
      </c>
      <c r="B9971" t="s">
        <v>1337</v>
      </c>
      <c r="C9971" t="s">
        <v>1339</v>
      </c>
      <c r="D9971" s="2">
        <v>0.43259999999999998</v>
      </c>
      <c r="E9971" s="2">
        <v>0.21429999999999999</v>
      </c>
      <c r="F9971" s="2">
        <v>4.9700000000000001E-2</v>
      </c>
      <c r="G9971" s="2">
        <v>4.48E-2</v>
      </c>
      <c r="H9971" s="2">
        <v>8.9700000000000002E-2</v>
      </c>
      <c r="I9971" s="2">
        <v>0.11650000000000001</v>
      </c>
      <c r="J9971" s="2">
        <v>4.48E-2</v>
      </c>
      <c r="K9971" s="2">
        <v>5.9400000000000001E-2</v>
      </c>
      <c r="M9971" s="2">
        <v>4.48E-2</v>
      </c>
      <c r="Q9971" s="2">
        <v>5.9400000000000001E-2</v>
      </c>
      <c r="V9971" s="2">
        <v>0.11650000000000001</v>
      </c>
      <c r="W9971" s="2">
        <v>3.9300000000000002E-2</v>
      </c>
      <c r="Y9971" s="2">
        <v>1.9E-3</v>
      </c>
      <c r="AA9971">
        <v>31</v>
      </c>
    </row>
    <row r="9972" spans="1:27" x14ac:dyDescent="0.35">
      <c r="A9972" t="s">
        <v>227</v>
      </c>
      <c r="B9972" t="s">
        <v>1337</v>
      </c>
      <c r="C9972" t="s">
        <v>1340</v>
      </c>
      <c r="D9972" s="2">
        <v>0.50629999999999997</v>
      </c>
      <c r="E9972" s="2">
        <v>0.26050000000000001</v>
      </c>
      <c r="F9972" s="2">
        <v>7.2499999999999995E-2</v>
      </c>
      <c r="G9972" s="2">
        <v>4.8000000000000001E-2</v>
      </c>
      <c r="H9972" s="2">
        <v>7.2900000000000006E-2</v>
      </c>
      <c r="I9972" s="2">
        <v>7.9699999999999993E-2</v>
      </c>
      <c r="J9972" s="2">
        <v>4.3499999999999997E-2</v>
      </c>
      <c r="K9972" s="2">
        <v>6.2300000000000001E-2</v>
      </c>
      <c r="L9972" s="2">
        <v>5.4800000000000001E-2</v>
      </c>
      <c r="M9972" s="2">
        <v>4.8399999999999999E-2</v>
      </c>
      <c r="N9972" s="2">
        <v>4.3299999999999998E-2</v>
      </c>
      <c r="O9972" s="2">
        <v>3.32E-2</v>
      </c>
      <c r="P9972" s="2">
        <v>2.9600000000000001E-2</v>
      </c>
      <c r="Q9972" s="2">
        <v>0.01</v>
      </c>
      <c r="R9972" s="2">
        <v>1.32E-2</v>
      </c>
      <c r="S9972" s="2">
        <v>3.0000000000000001E-3</v>
      </c>
      <c r="T9972" s="2">
        <v>1.8800000000000001E-2</v>
      </c>
      <c r="U9972" s="2">
        <v>7.6E-3</v>
      </c>
      <c r="V9972" s="2">
        <v>1.0999999999999999E-2</v>
      </c>
      <c r="W9972" s="2">
        <v>1.5800000000000002E-2</v>
      </c>
      <c r="X9972" s="2">
        <v>1.1000000000000001E-3</v>
      </c>
      <c r="Y9972" s="2">
        <v>1.1000000000000001E-3</v>
      </c>
      <c r="Z9972" s="2">
        <v>5.9999999999999995E-4</v>
      </c>
      <c r="AA9972">
        <v>476</v>
      </c>
    </row>
    <row r="9973" spans="1:27" x14ac:dyDescent="0.35">
      <c r="A9973" t="s">
        <v>227</v>
      </c>
      <c r="B9973" t="s">
        <v>1337</v>
      </c>
      <c r="C9973" t="s">
        <v>1341</v>
      </c>
      <c r="D9973" s="2">
        <v>0.46360000000000001</v>
      </c>
      <c r="E9973" s="2">
        <v>0.32979999999999998</v>
      </c>
      <c r="F9973" s="2">
        <v>9.7199999999999995E-2</v>
      </c>
      <c r="G9973" s="2">
        <v>8.3699999999999997E-2</v>
      </c>
      <c r="H9973" s="2">
        <v>6.6199999999999995E-2</v>
      </c>
      <c r="I9973" s="2">
        <v>4.53E-2</v>
      </c>
      <c r="J9973" s="2">
        <v>5.3600000000000002E-2</v>
      </c>
      <c r="K9973" s="2">
        <v>3.95E-2</v>
      </c>
      <c r="L9973" s="2">
        <v>3.8100000000000002E-2</v>
      </c>
      <c r="M9973" s="2">
        <v>2.7900000000000001E-2</v>
      </c>
      <c r="N9973" s="2">
        <v>2.8400000000000002E-2</v>
      </c>
      <c r="O9973" s="2">
        <v>2.3199999999999998E-2</v>
      </c>
      <c r="P9973" s="2">
        <v>1.8599999999999998E-2</v>
      </c>
      <c r="Q9973" s="2">
        <v>2.6499999999999999E-2</v>
      </c>
      <c r="R9973" s="2">
        <v>1.7000000000000001E-2</v>
      </c>
      <c r="S9973" s="2">
        <v>1.5800000000000002E-2</v>
      </c>
      <c r="T9973" s="2">
        <v>1.35E-2</v>
      </c>
      <c r="U9973" s="2">
        <v>4.7999999999999996E-3</v>
      </c>
      <c r="V9973" s="2">
        <v>3.5000000000000001E-3</v>
      </c>
      <c r="W9973" s="2">
        <v>1.3100000000000001E-2</v>
      </c>
      <c r="X9973" s="2">
        <v>2.8999999999999998E-3</v>
      </c>
      <c r="Y9973" s="2">
        <v>5.1999999999999998E-3</v>
      </c>
      <c r="Z9973" s="2">
        <v>8.9999999999999998E-4</v>
      </c>
      <c r="AA9973">
        <v>919</v>
      </c>
    </row>
    <row r="9974" spans="1:27" x14ac:dyDescent="0.35">
      <c r="A9974" t="s">
        <v>227</v>
      </c>
      <c r="B9974" t="s">
        <v>1337</v>
      </c>
      <c r="C9974" t="s">
        <v>1342</v>
      </c>
      <c r="D9974" s="2">
        <v>0.4304</v>
      </c>
      <c r="E9974" s="2">
        <v>0.36180000000000001</v>
      </c>
      <c r="F9974" s="2">
        <v>8.3699999999999997E-2</v>
      </c>
      <c r="G9974" s="2">
        <v>7.5899999999999995E-2</v>
      </c>
      <c r="H9974" s="2">
        <v>4.1300000000000003E-2</v>
      </c>
      <c r="I9974" s="2">
        <v>3.4599999999999999E-2</v>
      </c>
      <c r="J9974" s="2">
        <v>6.7500000000000004E-2</v>
      </c>
      <c r="K9974" s="2">
        <v>2.7699999999999999E-2</v>
      </c>
      <c r="L9974" s="2">
        <v>3.8899999999999997E-2</v>
      </c>
      <c r="M9974" s="2">
        <v>5.0999999999999997E-2</v>
      </c>
      <c r="N9974" s="2">
        <v>4.1000000000000002E-2</v>
      </c>
      <c r="O9974" s="2">
        <v>2.3800000000000002E-2</v>
      </c>
      <c r="P9974" s="2">
        <v>2.8E-3</v>
      </c>
      <c r="Q9974" s="2">
        <v>9.2999999999999992E-3</v>
      </c>
      <c r="R9974" s="2">
        <v>1.5100000000000001E-2</v>
      </c>
      <c r="S9974" s="2">
        <v>1.0800000000000001E-2</v>
      </c>
      <c r="T9974" s="2">
        <v>1.4E-3</v>
      </c>
      <c r="U9974" s="2">
        <v>4.4999999999999997E-3</v>
      </c>
      <c r="V9974" s="2">
        <v>4.8999999999999998E-3</v>
      </c>
      <c r="W9974" s="2">
        <v>2.9999999999999997E-4</v>
      </c>
      <c r="X9974" s="2">
        <v>1.38E-2</v>
      </c>
      <c r="Y9974" s="2">
        <v>6.7999999999999996E-3</v>
      </c>
      <c r="Z9974" s="2">
        <v>6.1999999999999998E-3</v>
      </c>
      <c r="AA9974">
        <v>530</v>
      </c>
    </row>
    <row r="9975" spans="1:27" x14ac:dyDescent="0.35">
      <c r="A9975" t="s">
        <v>228</v>
      </c>
      <c r="B9975" t="s">
        <v>228</v>
      </c>
      <c r="C9975" t="s">
        <v>228</v>
      </c>
      <c r="D9975" s="2">
        <v>0.50360000000000005</v>
      </c>
      <c r="E9975" s="2">
        <v>0.2873</v>
      </c>
      <c r="F9975" s="2">
        <v>7.9000000000000001E-2</v>
      </c>
      <c r="G9975" s="2">
        <v>5.91E-2</v>
      </c>
      <c r="H9975" s="2">
        <v>5.8900000000000001E-2</v>
      </c>
      <c r="I9975" s="2">
        <v>5.3600000000000002E-2</v>
      </c>
      <c r="J9975" s="2">
        <v>4.2000000000000003E-2</v>
      </c>
      <c r="K9975" s="2">
        <v>3.5000000000000003E-2</v>
      </c>
      <c r="L9975" s="2">
        <v>3.1899999999999998E-2</v>
      </c>
      <c r="M9975" s="2">
        <v>2.9499999999999998E-2</v>
      </c>
      <c r="N9975" s="2">
        <v>2.7199999999999998E-2</v>
      </c>
      <c r="O9975" s="2">
        <v>2.2800000000000001E-2</v>
      </c>
      <c r="P9975" s="2">
        <v>2.1100000000000001E-2</v>
      </c>
      <c r="Q9975" s="2">
        <v>1.8100000000000002E-2</v>
      </c>
      <c r="R9975" s="2">
        <v>1.0500000000000001E-2</v>
      </c>
      <c r="S9975" s="2">
        <v>0.01</v>
      </c>
      <c r="T9975" s="2">
        <v>9.4000000000000004E-3</v>
      </c>
      <c r="U9975" s="2">
        <v>9.2999999999999992E-3</v>
      </c>
      <c r="V9975" s="2">
        <v>8.6E-3</v>
      </c>
      <c r="W9975" s="2">
        <v>7.7999999999999996E-3</v>
      </c>
      <c r="X9975" s="2">
        <v>6.0000000000000001E-3</v>
      </c>
      <c r="Y9975" s="2">
        <v>5.3E-3</v>
      </c>
      <c r="Z9975" s="2">
        <v>2.0999999999999999E-3</v>
      </c>
      <c r="AA9975">
        <v>2792</v>
      </c>
    </row>
    <row r="9977" spans="1:27" x14ac:dyDescent="0.35">
      <c r="A9977" s="1" t="s">
        <v>2309</v>
      </c>
    </row>
    <row r="9978" spans="1:27" x14ac:dyDescent="0.35">
      <c r="A9978" t="s">
        <v>219</v>
      </c>
      <c r="B9978" t="s">
        <v>2310</v>
      </c>
      <c r="C9978" t="s">
        <v>2311</v>
      </c>
      <c r="D9978" t="s">
        <v>2312</v>
      </c>
      <c r="E9978" t="s">
        <v>2313</v>
      </c>
      <c r="F9978" t="s">
        <v>2314</v>
      </c>
      <c r="G9978" t="s">
        <v>2315</v>
      </c>
      <c r="H9978" t="s">
        <v>2316</v>
      </c>
      <c r="I9978" t="s">
        <v>2317</v>
      </c>
      <c r="J9978" t="s">
        <v>2318</v>
      </c>
      <c r="K9978" t="s">
        <v>2319</v>
      </c>
      <c r="L9978" t="s">
        <v>2320</v>
      </c>
      <c r="M9978" t="s">
        <v>2321</v>
      </c>
      <c r="N9978" t="s">
        <v>2322</v>
      </c>
      <c r="O9978" t="s">
        <v>2323</v>
      </c>
      <c r="P9978" t="s">
        <v>2324</v>
      </c>
      <c r="Q9978" t="s">
        <v>2325</v>
      </c>
      <c r="R9978" t="s">
        <v>2326</v>
      </c>
      <c r="S9978" t="s">
        <v>2327</v>
      </c>
      <c r="T9978" t="s">
        <v>318</v>
      </c>
      <c r="U9978" t="s">
        <v>2328</v>
      </c>
      <c r="V9978" t="s">
        <v>2329</v>
      </c>
      <c r="W9978" t="s">
        <v>2330</v>
      </c>
      <c r="X9978" t="s">
        <v>226</v>
      </c>
    </row>
    <row r="9979" spans="1:27" x14ac:dyDescent="0.35">
      <c r="A9979" t="s">
        <v>227</v>
      </c>
      <c r="B9979" s="2">
        <v>0.56540000000000001</v>
      </c>
      <c r="C9979" s="2">
        <v>0.25569999999999998</v>
      </c>
      <c r="D9979" s="2">
        <v>0.24279999999999999</v>
      </c>
      <c r="E9979" s="2">
        <v>0.16619999999999999</v>
      </c>
      <c r="F9979" s="2">
        <v>7.5700000000000003E-2</v>
      </c>
      <c r="G9979" s="2">
        <v>6.7299999999999999E-2</v>
      </c>
      <c r="H9979" s="2">
        <v>5.8099999999999999E-2</v>
      </c>
      <c r="I9979" s="2">
        <v>5.79E-2</v>
      </c>
      <c r="J9979" s="2">
        <v>4.7600000000000003E-2</v>
      </c>
      <c r="K9979" s="2">
        <v>4.0399999999999998E-2</v>
      </c>
      <c r="L9979" s="2">
        <v>3.73E-2</v>
      </c>
      <c r="M9979" s="2">
        <v>3.3700000000000001E-2</v>
      </c>
      <c r="N9979" s="2">
        <v>2.92E-2</v>
      </c>
      <c r="O9979" s="2">
        <v>2.6599999999999999E-2</v>
      </c>
      <c r="P9979" s="2">
        <v>2.06E-2</v>
      </c>
      <c r="Q9979" s="2">
        <v>1.9199999999999998E-2</v>
      </c>
      <c r="R9979" s="2">
        <v>1.6299999999999999E-2</v>
      </c>
      <c r="S9979" s="2">
        <v>1.47E-2</v>
      </c>
      <c r="T9979" s="2">
        <v>8.0000000000000002E-3</v>
      </c>
      <c r="U9979" s="2">
        <v>7.9000000000000008E-3</v>
      </c>
      <c r="V9979" s="2">
        <v>7.3000000000000001E-3</v>
      </c>
      <c r="W9979" s="2">
        <v>5.4999999999999997E-3</v>
      </c>
      <c r="X9979">
        <v>1537</v>
      </c>
    </row>
    <row r="9980" spans="1:27" x14ac:dyDescent="0.35">
      <c r="A9980" t="s">
        <v>228</v>
      </c>
      <c r="B9980" s="2">
        <v>0.56540000000000001</v>
      </c>
      <c r="C9980" s="2">
        <v>0.25569999999999998</v>
      </c>
      <c r="D9980" s="2">
        <v>0.24279999999999999</v>
      </c>
      <c r="E9980" s="2">
        <v>0.16619999999999999</v>
      </c>
      <c r="F9980" s="2">
        <v>7.5700000000000003E-2</v>
      </c>
      <c r="G9980" s="2">
        <v>6.7299999999999999E-2</v>
      </c>
      <c r="H9980" s="2">
        <v>5.8099999999999999E-2</v>
      </c>
      <c r="I9980" s="2">
        <v>5.79E-2</v>
      </c>
      <c r="J9980" s="2">
        <v>4.7600000000000003E-2</v>
      </c>
      <c r="K9980" s="2">
        <v>4.0399999999999998E-2</v>
      </c>
      <c r="L9980" s="2">
        <v>3.73E-2</v>
      </c>
      <c r="M9980" s="2">
        <v>3.3700000000000001E-2</v>
      </c>
      <c r="N9980" s="2">
        <v>2.92E-2</v>
      </c>
      <c r="O9980" s="2">
        <v>2.6599999999999999E-2</v>
      </c>
      <c r="P9980" s="2">
        <v>2.06E-2</v>
      </c>
      <c r="Q9980" s="2">
        <v>1.9199999999999998E-2</v>
      </c>
      <c r="R9980" s="2">
        <v>1.6299999999999999E-2</v>
      </c>
      <c r="S9980" s="2">
        <v>1.47E-2</v>
      </c>
      <c r="T9980" s="2">
        <v>8.0000000000000002E-3</v>
      </c>
      <c r="U9980" s="2">
        <v>7.9000000000000008E-3</v>
      </c>
      <c r="V9980" s="2">
        <v>7.3000000000000001E-3</v>
      </c>
      <c r="W9980" s="2">
        <v>5.4999999999999997E-3</v>
      </c>
      <c r="X9980">
        <v>1537</v>
      </c>
    </row>
    <row r="9982" spans="1:27" x14ac:dyDescent="0.35">
      <c r="A9982" s="1" t="s">
        <v>2331</v>
      </c>
    </row>
    <row r="9983" spans="1:27" x14ac:dyDescent="0.35">
      <c r="A9983" t="s">
        <v>219</v>
      </c>
      <c r="B9983" t="s">
        <v>301</v>
      </c>
      <c r="C9983" t="s">
        <v>2310</v>
      </c>
      <c r="D9983" t="s">
        <v>2311</v>
      </c>
      <c r="E9983" t="s">
        <v>2312</v>
      </c>
      <c r="F9983" t="s">
        <v>2313</v>
      </c>
      <c r="G9983" t="s">
        <v>2314</v>
      </c>
      <c r="H9983" t="s">
        <v>2315</v>
      </c>
      <c r="I9983" t="s">
        <v>2316</v>
      </c>
      <c r="J9983" t="s">
        <v>2317</v>
      </c>
      <c r="K9983" t="s">
        <v>2318</v>
      </c>
      <c r="L9983" t="s">
        <v>2319</v>
      </c>
      <c r="M9983" t="s">
        <v>2320</v>
      </c>
      <c r="N9983" t="s">
        <v>2321</v>
      </c>
      <c r="O9983" t="s">
        <v>2322</v>
      </c>
      <c r="P9983" t="s">
        <v>2323</v>
      </c>
      <c r="Q9983" t="s">
        <v>2324</v>
      </c>
      <c r="R9983" t="s">
        <v>2325</v>
      </c>
      <c r="S9983" t="s">
        <v>2326</v>
      </c>
      <c r="T9983" t="s">
        <v>2327</v>
      </c>
      <c r="U9983" t="s">
        <v>318</v>
      </c>
      <c r="V9983" t="s">
        <v>2328</v>
      </c>
      <c r="W9983" t="s">
        <v>2329</v>
      </c>
      <c r="X9983" t="s">
        <v>2330</v>
      </c>
      <c r="Y9983" t="s">
        <v>226</v>
      </c>
    </row>
    <row r="9984" spans="1:27" x14ac:dyDescent="0.35">
      <c r="A9984" t="s">
        <v>227</v>
      </c>
      <c r="B9984" t="s">
        <v>238</v>
      </c>
      <c r="C9984" s="2">
        <v>0.6089</v>
      </c>
      <c r="D9984" s="2">
        <v>0.29549999999999998</v>
      </c>
      <c r="E9984" s="2">
        <v>0.33550000000000002</v>
      </c>
      <c r="F9984" s="2">
        <v>0.113</v>
      </c>
      <c r="G9984" s="2">
        <v>8.7400000000000005E-2</v>
      </c>
      <c r="H9984" s="2">
        <v>8.5099999999999995E-2</v>
      </c>
      <c r="I9984" s="2">
        <v>7.1400000000000005E-2</v>
      </c>
      <c r="J9984" s="2">
        <v>7.0499999999999993E-2</v>
      </c>
      <c r="K9984" s="2">
        <v>3.3700000000000001E-2</v>
      </c>
      <c r="L9984" s="2">
        <v>3.7699999999999997E-2</v>
      </c>
      <c r="M9984" s="2">
        <v>3.5999999999999997E-2</v>
      </c>
      <c r="N9984" s="2">
        <v>3.2899999999999999E-2</v>
      </c>
      <c r="O9984" s="2">
        <v>3.5900000000000001E-2</v>
      </c>
      <c r="P9984" s="2">
        <v>1.15E-2</v>
      </c>
      <c r="Q9984" s="2">
        <v>1.3899999999999999E-2</v>
      </c>
      <c r="R9984" s="2">
        <v>2.1700000000000001E-2</v>
      </c>
      <c r="S9984" s="2">
        <v>9.1000000000000004E-3</v>
      </c>
      <c r="T9984" s="2">
        <v>1.2200000000000001E-2</v>
      </c>
      <c r="U9984" s="2">
        <v>1.4200000000000001E-2</v>
      </c>
      <c r="V9984" s="2">
        <v>8.6E-3</v>
      </c>
      <c r="W9984" s="2">
        <v>8.5000000000000006E-3</v>
      </c>
      <c r="X9984" s="2">
        <v>1.2999999999999999E-3</v>
      </c>
      <c r="Y9984">
        <v>687</v>
      </c>
    </row>
    <row r="9985" spans="1:25" x14ac:dyDescent="0.35">
      <c r="A9985" t="s">
        <v>227</v>
      </c>
      <c r="B9985" t="s">
        <v>237</v>
      </c>
      <c r="C9985" s="2">
        <v>0.52849999999999997</v>
      </c>
      <c r="D9985" s="2">
        <v>0.222</v>
      </c>
      <c r="E9985" s="2">
        <v>0.16420000000000001</v>
      </c>
      <c r="F9985" s="2">
        <v>0.21129999999999999</v>
      </c>
      <c r="G9985" s="2">
        <v>6.59E-2</v>
      </c>
      <c r="H9985" s="2">
        <v>5.21E-2</v>
      </c>
      <c r="I9985" s="2">
        <v>4.6800000000000001E-2</v>
      </c>
      <c r="J9985" s="2">
        <v>4.7300000000000002E-2</v>
      </c>
      <c r="K9985" s="2">
        <v>5.9400000000000001E-2</v>
      </c>
      <c r="L9985" s="2">
        <v>4.2599999999999999E-2</v>
      </c>
      <c r="M9985" s="2">
        <v>3.8300000000000001E-2</v>
      </c>
      <c r="N9985" s="2">
        <v>3.4299999999999997E-2</v>
      </c>
      <c r="O9985" s="2">
        <v>2.35E-2</v>
      </c>
      <c r="P9985" s="2">
        <v>3.95E-2</v>
      </c>
      <c r="Q9985" s="2">
        <v>2.64E-2</v>
      </c>
      <c r="R9985" s="2">
        <v>1.7100000000000001E-2</v>
      </c>
      <c r="S9985" s="2">
        <v>2.23E-2</v>
      </c>
      <c r="T9985" s="2">
        <v>1.6799999999999999E-2</v>
      </c>
      <c r="U9985" s="2">
        <v>2.8E-3</v>
      </c>
      <c r="V9985" s="2">
        <v>7.3000000000000001E-3</v>
      </c>
      <c r="W9985" s="2">
        <v>6.3E-3</v>
      </c>
      <c r="X9985" s="2">
        <v>8.9999999999999993E-3</v>
      </c>
      <c r="Y9985">
        <v>850</v>
      </c>
    </row>
    <row r="9986" spans="1:25" x14ac:dyDescent="0.35">
      <c r="A9986" t="s">
        <v>228</v>
      </c>
      <c r="B9986" t="s">
        <v>228</v>
      </c>
      <c r="C9986" s="2">
        <v>0.56540000000000001</v>
      </c>
      <c r="D9986" s="2">
        <v>0.25569999999999998</v>
      </c>
      <c r="E9986" s="2">
        <v>0.24279999999999999</v>
      </c>
      <c r="F9986" s="2">
        <v>0.16619999999999999</v>
      </c>
      <c r="G9986" s="2">
        <v>7.5700000000000003E-2</v>
      </c>
      <c r="H9986" s="2">
        <v>6.7299999999999999E-2</v>
      </c>
      <c r="I9986" s="2">
        <v>5.8099999999999999E-2</v>
      </c>
      <c r="J9986" s="2">
        <v>5.79E-2</v>
      </c>
      <c r="K9986" s="2">
        <v>4.7600000000000003E-2</v>
      </c>
      <c r="L9986" s="2">
        <v>4.0399999999999998E-2</v>
      </c>
      <c r="M9986" s="2">
        <v>3.73E-2</v>
      </c>
      <c r="N9986" s="2">
        <v>3.3700000000000001E-2</v>
      </c>
      <c r="O9986" s="2">
        <v>2.92E-2</v>
      </c>
      <c r="P9986" s="2">
        <v>2.6599999999999999E-2</v>
      </c>
      <c r="Q9986" s="2">
        <v>2.06E-2</v>
      </c>
      <c r="R9986" s="2">
        <v>1.9199999999999998E-2</v>
      </c>
      <c r="S9986" s="2">
        <v>1.6299999999999999E-2</v>
      </c>
      <c r="T9986" s="2">
        <v>1.47E-2</v>
      </c>
      <c r="U9986" s="2">
        <v>8.0000000000000002E-3</v>
      </c>
      <c r="V9986" s="2">
        <v>7.9000000000000008E-3</v>
      </c>
      <c r="W9986" s="2">
        <v>7.3000000000000001E-3</v>
      </c>
      <c r="X9986" s="2">
        <v>5.4999999999999997E-3</v>
      </c>
      <c r="Y9986">
        <v>1537</v>
      </c>
    </row>
    <row r="9988" spans="1:25" x14ac:dyDescent="0.35">
      <c r="A9988" s="1" t="s">
        <v>2332</v>
      </c>
    </row>
    <row r="9989" spans="1:25" x14ac:dyDescent="0.35">
      <c r="A9989" t="s">
        <v>219</v>
      </c>
      <c r="B9989" t="s">
        <v>301</v>
      </c>
      <c r="C9989" t="s">
        <v>2310</v>
      </c>
      <c r="D9989" t="s">
        <v>2311</v>
      </c>
      <c r="E9989" t="s">
        <v>2312</v>
      </c>
      <c r="F9989" t="s">
        <v>2313</v>
      </c>
      <c r="G9989" t="s">
        <v>2314</v>
      </c>
      <c r="H9989" t="s">
        <v>2315</v>
      </c>
      <c r="I9989" t="s">
        <v>2316</v>
      </c>
      <c r="J9989" t="s">
        <v>2317</v>
      </c>
      <c r="K9989" t="s">
        <v>2318</v>
      </c>
      <c r="L9989" t="s">
        <v>2319</v>
      </c>
      <c r="M9989" t="s">
        <v>2320</v>
      </c>
      <c r="N9989" t="s">
        <v>2321</v>
      </c>
      <c r="O9989" t="s">
        <v>2322</v>
      </c>
      <c r="P9989" t="s">
        <v>2323</v>
      </c>
      <c r="Q9989" t="s">
        <v>2324</v>
      </c>
      <c r="R9989" t="s">
        <v>2325</v>
      </c>
      <c r="S9989" t="s">
        <v>2326</v>
      </c>
      <c r="T9989" t="s">
        <v>2327</v>
      </c>
      <c r="U9989" t="s">
        <v>318</v>
      </c>
      <c r="V9989" t="s">
        <v>2328</v>
      </c>
      <c r="W9989" t="s">
        <v>2329</v>
      </c>
      <c r="X9989" t="s">
        <v>2330</v>
      </c>
      <c r="Y9989" t="s">
        <v>226</v>
      </c>
    </row>
    <row r="9990" spans="1:25" x14ac:dyDescent="0.35">
      <c r="A9990" t="s">
        <v>227</v>
      </c>
      <c r="B9990" t="s">
        <v>235</v>
      </c>
      <c r="C9990" s="2">
        <v>0.59350000000000003</v>
      </c>
      <c r="D9990" s="2">
        <v>0.31659999999999999</v>
      </c>
      <c r="E9990" s="2">
        <v>0.26579999999999998</v>
      </c>
      <c r="F9990" s="2">
        <v>9.9199999999999997E-2</v>
      </c>
      <c r="G9990" s="2">
        <v>0.10639999999999999</v>
      </c>
      <c r="H9990" s="2">
        <v>0.14879999999999999</v>
      </c>
      <c r="I9990" s="2">
        <v>6.59E-2</v>
      </c>
      <c r="J9990" s="2">
        <v>5.6800000000000003E-2</v>
      </c>
      <c r="K9990" s="2">
        <v>2.2499999999999999E-2</v>
      </c>
      <c r="L9990" s="2">
        <v>2.8000000000000001E-2</v>
      </c>
      <c r="M9990" s="2">
        <v>2.29E-2</v>
      </c>
      <c r="N9990" s="2">
        <v>2.7199999999999998E-2</v>
      </c>
      <c r="O9990" s="2">
        <v>4.9700000000000001E-2</v>
      </c>
      <c r="P9990" s="2">
        <v>1.37E-2</v>
      </c>
      <c r="Q9990" s="2">
        <v>2.1000000000000001E-2</v>
      </c>
      <c r="R9990" s="2">
        <v>2.4299999999999999E-2</v>
      </c>
      <c r="S9990" s="2">
        <v>5.7000000000000002E-3</v>
      </c>
      <c r="T9990" s="2">
        <v>1.41E-2</v>
      </c>
      <c r="U9990" s="2">
        <v>1.4999999999999999E-2</v>
      </c>
      <c r="V9990" s="2">
        <v>2.0000000000000001E-4</v>
      </c>
      <c r="W9990" s="2">
        <v>1.6000000000000001E-3</v>
      </c>
      <c r="X9990" s="2">
        <v>8.2000000000000007E-3</v>
      </c>
      <c r="Y9990">
        <v>566</v>
      </c>
    </row>
    <row r="9991" spans="1:25" x14ac:dyDescent="0.35">
      <c r="A9991" t="s">
        <v>227</v>
      </c>
      <c r="B9991" t="s">
        <v>234</v>
      </c>
      <c r="C9991" s="2">
        <v>0.55249999999999999</v>
      </c>
      <c r="D9991" s="2">
        <v>0.22789999999999999</v>
      </c>
      <c r="E9991" s="2">
        <v>0.23230000000000001</v>
      </c>
      <c r="F9991" s="2">
        <v>0.1968</v>
      </c>
      <c r="G9991" s="2">
        <v>6.1699999999999998E-2</v>
      </c>
      <c r="H9991" s="2">
        <v>3.0099999999999998E-2</v>
      </c>
      <c r="I9991" s="2">
        <v>5.45E-2</v>
      </c>
      <c r="J9991" s="2">
        <v>5.8400000000000001E-2</v>
      </c>
      <c r="K9991" s="2">
        <v>5.91E-2</v>
      </c>
      <c r="L9991" s="2">
        <v>4.5999999999999999E-2</v>
      </c>
      <c r="M9991" s="2">
        <v>4.3799999999999999E-2</v>
      </c>
      <c r="N9991" s="2">
        <v>3.6600000000000001E-2</v>
      </c>
      <c r="O9991" s="2">
        <v>1.9900000000000001E-2</v>
      </c>
      <c r="P9991" s="2">
        <v>3.2599999999999997E-2</v>
      </c>
      <c r="Q9991" s="2">
        <v>2.0500000000000001E-2</v>
      </c>
      <c r="R9991" s="2">
        <v>1.6899999999999998E-2</v>
      </c>
      <c r="S9991" s="2">
        <v>2.1100000000000001E-2</v>
      </c>
      <c r="T9991" s="2">
        <v>1.49E-2</v>
      </c>
      <c r="U9991" s="2">
        <v>4.8999999999999998E-3</v>
      </c>
      <c r="V9991" s="2">
        <v>1.14E-2</v>
      </c>
      <c r="W9991" s="2">
        <v>0.01</v>
      </c>
      <c r="X9991" s="2">
        <v>4.1999999999999997E-3</v>
      </c>
      <c r="Y9991">
        <v>971</v>
      </c>
    </row>
    <row r="9992" spans="1:25" x14ac:dyDescent="0.35">
      <c r="A9992" t="s">
        <v>228</v>
      </c>
      <c r="B9992" t="s">
        <v>228</v>
      </c>
      <c r="C9992" s="2">
        <v>0.56540000000000001</v>
      </c>
      <c r="D9992" s="2">
        <v>0.25569999999999998</v>
      </c>
      <c r="E9992" s="2">
        <v>0.24279999999999999</v>
      </c>
      <c r="F9992" s="2">
        <v>0.16619999999999999</v>
      </c>
      <c r="G9992" s="2">
        <v>7.5700000000000003E-2</v>
      </c>
      <c r="H9992" s="2">
        <v>6.7299999999999999E-2</v>
      </c>
      <c r="I9992" s="2">
        <v>5.8099999999999999E-2</v>
      </c>
      <c r="J9992" s="2">
        <v>5.79E-2</v>
      </c>
      <c r="K9992" s="2">
        <v>4.7600000000000003E-2</v>
      </c>
      <c r="L9992" s="2">
        <v>4.0399999999999998E-2</v>
      </c>
      <c r="M9992" s="2">
        <v>3.73E-2</v>
      </c>
      <c r="N9992" s="2">
        <v>3.3700000000000001E-2</v>
      </c>
      <c r="O9992" s="2">
        <v>2.92E-2</v>
      </c>
      <c r="P9992" s="2">
        <v>2.6599999999999999E-2</v>
      </c>
      <c r="Q9992" s="2">
        <v>2.06E-2</v>
      </c>
      <c r="R9992" s="2">
        <v>1.9199999999999998E-2</v>
      </c>
      <c r="S9992" s="2">
        <v>1.6299999999999999E-2</v>
      </c>
      <c r="T9992" s="2">
        <v>1.47E-2</v>
      </c>
      <c r="U9992" s="2">
        <v>8.0000000000000002E-3</v>
      </c>
      <c r="V9992" s="2">
        <v>7.9000000000000008E-3</v>
      </c>
      <c r="W9992" s="2">
        <v>7.3000000000000001E-3</v>
      </c>
      <c r="X9992" s="2">
        <v>5.4999999999999997E-3</v>
      </c>
      <c r="Y9992">
        <v>1537</v>
      </c>
    </row>
    <row r="9994" spans="1:25" x14ac:dyDescent="0.35">
      <c r="A9994" s="1" t="s">
        <v>2333</v>
      </c>
    </row>
    <row r="9995" spans="1:25" x14ac:dyDescent="0.35">
      <c r="A9995" t="s">
        <v>219</v>
      </c>
      <c r="B9995" t="s">
        <v>301</v>
      </c>
      <c r="C9995" t="s">
        <v>2310</v>
      </c>
      <c r="D9995" t="s">
        <v>2311</v>
      </c>
      <c r="E9995" t="s">
        <v>2312</v>
      </c>
      <c r="F9995" t="s">
        <v>2313</v>
      </c>
      <c r="G9995" t="s">
        <v>2314</v>
      </c>
      <c r="H9995" t="s">
        <v>2315</v>
      </c>
      <c r="I9995" t="s">
        <v>2316</v>
      </c>
      <c r="J9995" t="s">
        <v>2317</v>
      </c>
      <c r="K9995" t="s">
        <v>2318</v>
      </c>
      <c r="L9995" t="s">
        <v>2319</v>
      </c>
      <c r="M9995" t="s">
        <v>2320</v>
      </c>
      <c r="N9995" t="s">
        <v>2321</v>
      </c>
      <c r="O9995" t="s">
        <v>2322</v>
      </c>
      <c r="P9995" t="s">
        <v>2323</v>
      </c>
      <c r="Q9995" t="s">
        <v>2324</v>
      </c>
      <c r="R9995" t="s">
        <v>2325</v>
      </c>
      <c r="S9995" t="s">
        <v>2326</v>
      </c>
      <c r="T9995" t="s">
        <v>2327</v>
      </c>
      <c r="U9995" t="s">
        <v>318</v>
      </c>
      <c r="V9995" t="s">
        <v>2328</v>
      </c>
      <c r="W9995" t="s">
        <v>2329</v>
      </c>
      <c r="X9995" t="s">
        <v>2330</v>
      </c>
      <c r="Y9995" t="s">
        <v>226</v>
      </c>
    </row>
    <row r="9996" spans="1:25" x14ac:dyDescent="0.35">
      <c r="A9996" t="s">
        <v>227</v>
      </c>
      <c r="B9996" t="s">
        <v>240</v>
      </c>
      <c r="C9996" s="2">
        <v>0.57130000000000003</v>
      </c>
      <c r="D9996" s="2">
        <v>0.2412</v>
      </c>
      <c r="E9996" s="2">
        <v>0.23269999999999999</v>
      </c>
      <c r="F9996" s="2">
        <v>0.1633</v>
      </c>
      <c r="G9996" s="2">
        <v>9.7100000000000006E-2</v>
      </c>
      <c r="H9996" s="2">
        <v>6.7299999999999999E-2</v>
      </c>
      <c r="I9996" s="2">
        <v>4.7199999999999999E-2</v>
      </c>
      <c r="J9996" s="2">
        <v>7.0599999999999996E-2</v>
      </c>
      <c r="K9996" s="2">
        <v>3.7699999999999997E-2</v>
      </c>
      <c r="L9996" s="2">
        <v>5.0500000000000003E-2</v>
      </c>
      <c r="M9996" s="2">
        <v>3.4700000000000002E-2</v>
      </c>
      <c r="N9996" s="2">
        <v>3.4299999999999997E-2</v>
      </c>
      <c r="O9996" s="2">
        <v>3.5900000000000001E-2</v>
      </c>
      <c r="P9996" s="2">
        <v>3.6299999999999999E-2</v>
      </c>
      <c r="Q9996" s="2">
        <v>1.6299999999999999E-2</v>
      </c>
      <c r="R9996" s="2">
        <v>2.2700000000000001E-2</v>
      </c>
      <c r="S9996" s="2">
        <v>2.3199999999999998E-2</v>
      </c>
      <c r="T9996" s="2">
        <v>1.9699999999999999E-2</v>
      </c>
      <c r="U9996" s="2">
        <v>4.3E-3</v>
      </c>
      <c r="V9996" s="2">
        <v>9.1999999999999998E-3</v>
      </c>
      <c r="W9996" s="2">
        <v>1.6000000000000001E-3</v>
      </c>
      <c r="X9996" s="2">
        <v>7.3000000000000001E-3</v>
      </c>
      <c r="Y9996">
        <v>948</v>
      </c>
    </row>
    <row r="9997" spans="1:25" x14ac:dyDescent="0.35">
      <c r="A9997" t="s">
        <v>227</v>
      </c>
      <c r="B9997" t="s">
        <v>241</v>
      </c>
      <c r="C9997" s="2">
        <v>0.56569999999999998</v>
      </c>
      <c r="D9997" s="2">
        <v>0.25430000000000003</v>
      </c>
      <c r="E9997" s="2">
        <v>0.23749999999999999</v>
      </c>
      <c r="F9997" s="2">
        <v>0.17910000000000001</v>
      </c>
      <c r="G9997" s="2">
        <v>2.98E-2</v>
      </c>
      <c r="H9997" s="2">
        <v>7.3700000000000002E-2</v>
      </c>
      <c r="I9997" s="2">
        <v>6.1800000000000001E-2</v>
      </c>
      <c r="J9997" s="2">
        <v>3.2599999999999997E-2</v>
      </c>
      <c r="K9997" s="2">
        <v>6.9599999999999995E-2</v>
      </c>
      <c r="L9997" s="2">
        <v>2.3599999999999999E-2</v>
      </c>
      <c r="M9997" s="2">
        <v>2.69E-2</v>
      </c>
      <c r="N9997" s="2">
        <v>2.1499999999999998E-2</v>
      </c>
      <c r="O9997" s="2">
        <v>1.77E-2</v>
      </c>
      <c r="P9997" s="2">
        <v>8.0000000000000004E-4</v>
      </c>
      <c r="Q9997" s="2">
        <v>3.4099999999999998E-2</v>
      </c>
      <c r="R9997" s="2">
        <v>1.5699999999999999E-2</v>
      </c>
      <c r="S9997" s="2">
        <v>6.4000000000000003E-3</v>
      </c>
      <c r="T9997" s="2">
        <v>6.4000000000000003E-3</v>
      </c>
      <c r="U9997" s="2">
        <v>6.4999999999999997E-3</v>
      </c>
      <c r="V9997" s="2">
        <v>1.4E-3</v>
      </c>
      <c r="W9997" s="2">
        <v>2.0899999999999998E-2</v>
      </c>
      <c r="X9997" s="2">
        <v>3.0999999999999999E-3</v>
      </c>
      <c r="Y9997">
        <v>477</v>
      </c>
    </row>
    <row r="9998" spans="1:25" x14ac:dyDescent="0.35">
      <c r="A9998" t="s">
        <v>227</v>
      </c>
      <c r="B9998" t="s">
        <v>242</v>
      </c>
      <c r="C9998" s="2">
        <v>0.51739999999999997</v>
      </c>
      <c r="D9998" s="2">
        <v>0.37459999999999999</v>
      </c>
      <c r="E9998" s="2">
        <v>0.34110000000000001</v>
      </c>
      <c r="F9998" s="2">
        <v>0.1401</v>
      </c>
      <c r="G9998" s="2">
        <v>8.3099999999999993E-2</v>
      </c>
      <c r="H9998" s="2">
        <v>4.24E-2</v>
      </c>
      <c r="I9998" s="2">
        <v>0.12889999999999999</v>
      </c>
      <c r="J9998" s="2">
        <v>5.4899999999999997E-2</v>
      </c>
      <c r="K9998" s="2">
        <v>4.0800000000000003E-2</v>
      </c>
      <c r="L9998" s="2">
        <v>2.5100000000000001E-2</v>
      </c>
      <c r="M9998" s="2">
        <v>9.69E-2</v>
      </c>
      <c r="N9998" s="2">
        <v>7.4700000000000003E-2</v>
      </c>
      <c r="O9998" s="2">
        <v>2.01E-2</v>
      </c>
      <c r="P9998" s="2">
        <v>4.9599999999999998E-2</v>
      </c>
      <c r="Q9998" s="2">
        <v>3.3999999999999998E-3</v>
      </c>
      <c r="R9998" s="2">
        <v>5.0000000000000001E-3</v>
      </c>
      <c r="T9998" s="2">
        <v>6.4000000000000003E-3</v>
      </c>
      <c r="U9998" s="2">
        <v>4.2500000000000003E-2</v>
      </c>
      <c r="V9998" s="2">
        <v>2.1999999999999999E-2</v>
      </c>
      <c r="Y9998">
        <v>112</v>
      </c>
    </row>
    <row r="9999" spans="1:25" x14ac:dyDescent="0.35">
      <c r="A9999" t="s">
        <v>228</v>
      </c>
      <c r="B9999" t="s">
        <v>228</v>
      </c>
      <c r="C9999" s="2">
        <v>0.56540000000000001</v>
      </c>
      <c r="D9999" s="2">
        <v>0.25569999999999998</v>
      </c>
      <c r="E9999" s="2">
        <v>0.24279999999999999</v>
      </c>
      <c r="F9999" s="2">
        <v>0.16619999999999999</v>
      </c>
      <c r="G9999" s="2">
        <v>7.5700000000000003E-2</v>
      </c>
      <c r="H9999" s="2">
        <v>6.7299999999999999E-2</v>
      </c>
      <c r="I9999" s="2">
        <v>5.8099999999999999E-2</v>
      </c>
      <c r="J9999" s="2">
        <v>5.79E-2</v>
      </c>
      <c r="K9999" s="2">
        <v>4.7600000000000003E-2</v>
      </c>
      <c r="L9999" s="2">
        <v>4.0399999999999998E-2</v>
      </c>
      <c r="M9999" s="2">
        <v>3.73E-2</v>
      </c>
      <c r="N9999" s="2">
        <v>3.3700000000000001E-2</v>
      </c>
      <c r="O9999" s="2">
        <v>2.92E-2</v>
      </c>
      <c r="P9999" s="2">
        <v>2.6599999999999999E-2</v>
      </c>
      <c r="Q9999" s="2">
        <v>2.06E-2</v>
      </c>
      <c r="R9999" s="2">
        <v>1.9199999999999998E-2</v>
      </c>
      <c r="S9999" s="2">
        <v>1.6299999999999999E-2</v>
      </c>
      <c r="T9999" s="2">
        <v>1.47E-2</v>
      </c>
      <c r="U9999" s="2">
        <v>8.0000000000000002E-3</v>
      </c>
      <c r="V9999" s="2">
        <v>7.9000000000000008E-3</v>
      </c>
      <c r="W9999" s="2">
        <v>7.3000000000000001E-3</v>
      </c>
      <c r="X9999" s="2">
        <v>5.4999999999999997E-3</v>
      </c>
      <c r="Y9999">
        <v>1537</v>
      </c>
    </row>
    <row r="10001" spans="1:25" x14ac:dyDescent="0.35">
      <c r="A10001" s="1" t="s">
        <v>2334</v>
      </c>
    </row>
    <row r="10002" spans="1:25" x14ac:dyDescent="0.35">
      <c r="A10002" t="s">
        <v>219</v>
      </c>
      <c r="B10002" t="s">
        <v>301</v>
      </c>
      <c r="C10002" t="s">
        <v>2310</v>
      </c>
      <c r="D10002" t="s">
        <v>2311</v>
      </c>
      <c r="E10002" t="s">
        <v>2312</v>
      </c>
      <c r="F10002" t="s">
        <v>2313</v>
      </c>
      <c r="G10002" t="s">
        <v>2314</v>
      </c>
      <c r="H10002" t="s">
        <v>2315</v>
      </c>
      <c r="I10002" t="s">
        <v>2316</v>
      </c>
      <c r="J10002" t="s">
        <v>2317</v>
      </c>
      <c r="K10002" t="s">
        <v>2318</v>
      </c>
      <c r="L10002" t="s">
        <v>2319</v>
      </c>
      <c r="M10002" t="s">
        <v>2320</v>
      </c>
      <c r="N10002" t="s">
        <v>2321</v>
      </c>
      <c r="O10002" t="s">
        <v>2322</v>
      </c>
      <c r="P10002" t="s">
        <v>2323</v>
      </c>
      <c r="Q10002" t="s">
        <v>2324</v>
      </c>
      <c r="R10002" t="s">
        <v>2325</v>
      </c>
      <c r="S10002" t="s">
        <v>2326</v>
      </c>
      <c r="T10002" t="s">
        <v>2327</v>
      </c>
      <c r="U10002" t="s">
        <v>318</v>
      </c>
      <c r="V10002" t="s">
        <v>2328</v>
      </c>
      <c r="W10002" t="s">
        <v>2329</v>
      </c>
      <c r="X10002" t="s">
        <v>2330</v>
      </c>
      <c r="Y10002" t="s">
        <v>226</v>
      </c>
    </row>
    <row r="10003" spans="1:25" x14ac:dyDescent="0.35">
      <c r="A10003" t="s">
        <v>227</v>
      </c>
      <c r="B10003" t="s">
        <v>334</v>
      </c>
      <c r="C10003" s="2">
        <v>0.72819999999999996</v>
      </c>
      <c r="D10003" s="2">
        <v>0.38190000000000002</v>
      </c>
      <c r="E10003" s="2">
        <v>0.26889999999999997</v>
      </c>
      <c r="F10003" s="2">
        <v>5.3999999999999999E-2</v>
      </c>
      <c r="G10003" s="2">
        <v>9.01E-2</v>
      </c>
      <c r="H10003" s="2">
        <v>5.8999999999999997E-2</v>
      </c>
      <c r="I10003" s="2">
        <v>6.1800000000000001E-2</v>
      </c>
      <c r="J10003" s="2">
        <v>5.8700000000000002E-2</v>
      </c>
      <c r="K10003" s="2">
        <v>5.8400000000000001E-2</v>
      </c>
      <c r="L10003" s="2">
        <v>4.2500000000000003E-2</v>
      </c>
      <c r="M10003" s="2">
        <v>5.33E-2</v>
      </c>
      <c r="N10003" s="2">
        <v>2.58E-2</v>
      </c>
      <c r="O10003" s="2">
        <v>2.47E-2</v>
      </c>
      <c r="P10003" s="2">
        <v>1.7999999999999999E-2</v>
      </c>
      <c r="Q10003" s="2">
        <v>2.0999999999999999E-3</v>
      </c>
      <c r="R10003" s="2">
        <v>1.7999999999999999E-2</v>
      </c>
      <c r="S10003" s="2">
        <v>4.7999999999999996E-3</v>
      </c>
      <c r="T10003" s="2">
        <v>1.2999999999999999E-2</v>
      </c>
      <c r="U10003" s="2">
        <v>1.7100000000000001E-2</v>
      </c>
      <c r="V10003" s="2">
        <v>6.7000000000000002E-3</v>
      </c>
      <c r="W10003" s="2">
        <v>1.32E-2</v>
      </c>
      <c r="X10003" s="2">
        <v>1.6000000000000001E-3</v>
      </c>
      <c r="Y10003">
        <v>430</v>
      </c>
    </row>
    <row r="10004" spans="1:25" x14ac:dyDescent="0.35">
      <c r="A10004" t="s">
        <v>227</v>
      </c>
      <c r="B10004" t="s">
        <v>335</v>
      </c>
      <c r="C10004" s="2">
        <v>0.31979999999999997</v>
      </c>
      <c r="D10004" s="2">
        <v>0.1142</v>
      </c>
      <c r="E10004" s="2">
        <v>0.24740000000000001</v>
      </c>
      <c r="F10004" s="2">
        <v>0.3044</v>
      </c>
      <c r="G10004" s="2">
        <v>6.8099999999999994E-2</v>
      </c>
      <c r="H10004" s="2">
        <v>4.1700000000000001E-2</v>
      </c>
      <c r="I10004" s="2">
        <v>1.46E-2</v>
      </c>
      <c r="J10004" s="2">
        <v>1.4500000000000001E-2</v>
      </c>
      <c r="K10004" s="2">
        <v>5.1999999999999998E-2</v>
      </c>
      <c r="L10004" s="2">
        <v>6.4100000000000004E-2</v>
      </c>
      <c r="M10004" s="2">
        <v>5.4899999999999997E-2</v>
      </c>
      <c r="N10004" s="2">
        <v>5.8999999999999997E-2</v>
      </c>
      <c r="O10004" s="2">
        <v>2.2800000000000001E-2</v>
      </c>
      <c r="P10004" s="2">
        <v>3.0300000000000001E-2</v>
      </c>
      <c r="Q10004" s="2">
        <v>5.1799999999999999E-2</v>
      </c>
      <c r="R10004" s="2">
        <v>2.2499999999999999E-2</v>
      </c>
      <c r="S10004" s="2">
        <v>3.7100000000000001E-2</v>
      </c>
      <c r="T10004" s="2">
        <v>2.07E-2</v>
      </c>
      <c r="V10004" s="2">
        <v>1.0699999999999999E-2</v>
      </c>
      <c r="W10004" s="2">
        <v>1.5E-3</v>
      </c>
      <c r="X10004" s="2">
        <v>4.4000000000000003E-3</v>
      </c>
      <c r="Y10004">
        <v>254</v>
      </c>
    </row>
    <row r="10005" spans="1:25" x14ac:dyDescent="0.35">
      <c r="A10005" t="s">
        <v>227</v>
      </c>
      <c r="B10005" t="s">
        <v>336</v>
      </c>
      <c r="C10005" s="2">
        <v>0.61770000000000003</v>
      </c>
      <c r="D10005" s="2">
        <v>0.35299999999999998</v>
      </c>
      <c r="E10005" s="2">
        <v>0.2349</v>
      </c>
      <c r="F10005" s="2">
        <v>0.1203</v>
      </c>
      <c r="G10005" s="2">
        <v>3.7699999999999997E-2</v>
      </c>
      <c r="H10005" s="2">
        <v>0.12770000000000001</v>
      </c>
      <c r="I10005" s="2">
        <v>7.4700000000000003E-2</v>
      </c>
      <c r="J10005" s="2">
        <v>8.7400000000000005E-2</v>
      </c>
      <c r="K10005" s="2">
        <v>3.6900000000000002E-2</v>
      </c>
      <c r="L10005" s="2">
        <v>1.2500000000000001E-2</v>
      </c>
      <c r="M10005" s="2">
        <v>2.81E-2</v>
      </c>
      <c r="N10005" s="2">
        <v>3.1800000000000002E-2</v>
      </c>
      <c r="O10005" s="2">
        <v>3.6900000000000002E-2</v>
      </c>
      <c r="P10005" s="2">
        <v>1.72E-2</v>
      </c>
      <c r="Q10005" s="2">
        <v>2.5399999999999999E-2</v>
      </c>
      <c r="R10005" s="2">
        <v>1.84E-2</v>
      </c>
      <c r="S10005" s="2">
        <v>1.7600000000000001E-2</v>
      </c>
      <c r="T10005" s="2">
        <v>8.6999999999999994E-3</v>
      </c>
      <c r="U10005" s="2">
        <v>6.0000000000000001E-3</v>
      </c>
      <c r="V10005" s="2">
        <v>1.6500000000000001E-2</v>
      </c>
      <c r="W10005" s="2">
        <v>8.6E-3</v>
      </c>
      <c r="X10005" s="2">
        <v>9.9000000000000008E-3</v>
      </c>
      <c r="Y10005">
        <v>376</v>
      </c>
    </row>
    <row r="10006" spans="1:25" x14ac:dyDescent="0.35">
      <c r="A10006" t="s">
        <v>227</v>
      </c>
      <c r="B10006" t="s">
        <v>337</v>
      </c>
      <c r="C10006" s="2">
        <v>0.62</v>
      </c>
      <c r="D10006" s="2">
        <v>0.15679999999999999</v>
      </c>
      <c r="E10006" s="2">
        <v>0.25929999999999997</v>
      </c>
      <c r="F10006" s="2">
        <v>0.1588</v>
      </c>
      <c r="G10006" s="2">
        <v>0.1258</v>
      </c>
      <c r="H10006" s="2">
        <v>5.7200000000000001E-2</v>
      </c>
      <c r="I10006" s="2">
        <v>5.7000000000000002E-2</v>
      </c>
      <c r="J10006" s="2">
        <v>6.8099999999999994E-2</v>
      </c>
      <c r="K10006" s="2">
        <v>3.1600000000000003E-2</v>
      </c>
      <c r="L10006" s="2">
        <v>3.5200000000000002E-2</v>
      </c>
      <c r="M10006" s="2">
        <v>2.2599999999999999E-2</v>
      </c>
      <c r="N10006" s="2">
        <v>2.8199999999999999E-2</v>
      </c>
      <c r="O10006" s="2">
        <v>1.5900000000000001E-2</v>
      </c>
      <c r="P10006" s="2">
        <v>2.93E-2</v>
      </c>
      <c r="Q10006" s="2">
        <v>3.8E-3</v>
      </c>
      <c r="R10006" s="2">
        <v>2.64E-2</v>
      </c>
      <c r="S10006" s="2">
        <v>1.26E-2</v>
      </c>
      <c r="T10006" s="2">
        <v>1.2E-2</v>
      </c>
      <c r="U10006" s="2">
        <v>1.12E-2</v>
      </c>
      <c r="W10006" s="2">
        <v>7.1999999999999998E-3</v>
      </c>
      <c r="X10006" s="2">
        <v>7.6E-3</v>
      </c>
      <c r="Y10006">
        <v>308</v>
      </c>
    </row>
    <row r="10007" spans="1:25" x14ac:dyDescent="0.35">
      <c r="A10007" t="s">
        <v>228</v>
      </c>
      <c r="B10007" t="s">
        <v>228</v>
      </c>
      <c r="C10007" s="2">
        <v>0.56540000000000001</v>
      </c>
      <c r="D10007" s="2">
        <v>0.25569999999999998</v>
      </c>
      <c r="E10007" s="2">
        <v>0.24279999999999999</v>
      </c>
      <c r="F10007" s="2">
        <v>0.16619999999999999</v>
      </c>
      <c r="G10007" s="2">
        <v>7.5700000000000003E-2</v>
      </c>
      <c r="H10007" s="2">
        <v>6.7299999999999999E-2</v>
      </c>
      <c r="I10007" s="2">
        <v>5.8099999999999999E-2</v>
      </c>
      <c r="J10007" s="2">
        <v>5.79E-2</v>
      </c>
      <c r="K10007" s="2">
        <v>4.7600000000000003E-2</v>
      </c>
      <c r="L10007" s="2">
        <v>4.0399999999999998E-2</v>
      </c>
      <c r="M10007" s="2">
        <v>3.73E-2</v>
      </c>
      <c r="N10007" s="2">
        <v>3.3700000000000001E-2</v>
      </c>
      <c r="O10007" s="2">
        <v>2.92E-2</v>
      </c>
      <c r="P10007" s="2">
        <v>2.6599999999999999E-2</v>
      </c>
      <c r="Q10007" s="2">
        <v>2.06E-2</v>
      </c>
      <c r="R10007" s="2">
        <v>1.9199999999999998E-2</v>
      </c>
      <c r="S10007" s="2">
        <v>1.6299999999999999E-2</v>
      </c>
      <c r="T10007" s="2">
        <v>1.47E-2</v>
      </c>
      <c r="U10007" s="2">
        <v>8.0000000000000002E-3</v>
      </c>
      <c r="V10007" s="2">
        <v>7.9000000000000008E-3</v>
      </c>
      <c r="W10007" s="2">
        <v>7.3000000000000001E-3</v>
      </c>
      <c r="X10007" s="2">
        <v>5.4999999999999997E-3</v>
      </c>
      <c r="Y10007">
        <v>1368</v>
      </c>
    </row>
    <row r="10009" spans="1:25" x14ac:dyDescent="0.35">
      <c r="A10009" s="1" t="s">
        <v>2335</v>
      </c>
    </row>
    <row r="10010" spans="1:25" x14ac:dyDescent="0.35">
      <c r="A10010" t="s">
        <v>219</v>
      </c>
      <c r="B10010" t="s">
        <v>301</v>
      </c>
      <c r="C10010" t="s">
        <v>2310</v>
      </c>
      <c r="D10010" t="s">
        <v>2311</v>
      </c>
      <c r="E10010" t="s">
        <v>2312</v>
      </c>
      <c r="F10010" t="s">
        <v>2313</v>
      </c>
      <c r="G10010" t="s">
        <v>2314</v>
      </c>
      <c r="H10010" t="s">
        <v>2315</v>
      </c>
      <c r="I10010" t="s">
        <v>2316</v>
      </c>
      <c r="J10010" t="s">
        <v>2317</v>
      </c>
      <c r="K10010" t="s">
        <v>2318</v>
      </c>
      <c r="L10010" t="s">
        <v>2319</v>
      </c>
      <c r="M10010" t="s">
        <v>2320</v>
      </c>
      <c r="N10010" t="s">
        <v>2321</v>
      </c>
      <c r="O10010" t="s">
        <v>2322</v>
      </c>
      <c r="P10010" t="s">
        <v>2323</v>
      </c>
      <c r="Q10010" t="s">
        <v>2324</v>
      </c>
      <c r="R10010" t="s">
        <v>2325</v>
      </c>
      <c r="S10010" t="s">
        <v>2326</v>
      </c>
      <c r="T10010" t="s">
        <v>2327</v>
      </c>
      <c r="U10010" t="s">
        <v>318</v>
      </c>
      <c r="V10010" t="s">
        <v>2328</v>
      </c>
      <c r="W10010" t="s">
        <v>2329</v>
      </c>
      <c r="X10010" t="s">
        <v>2330</v>
      </c>
      <c r="Y10010" t="s">
        <v>226</v>
      </c>
    </row>
    <row r="10011" spans="1:25" x14ac:dyDescent="0.35">
      <c r="A10011" t="s">
        <v>227</v>
      </c>
      <c r="B10011" t="s">
        <v>263</v>
      </c>
      <c r="C10011" s="2">
        <v>0.56120000000000003</v>
      </c>
      <c r="D10011" s="2">
        <v>0.27560000000000001</v>
      </c>
      <c r="E10011" s="2">
        <v>0.18179999999999999</v>
      </c>
      <c r="F10011" s="2">
        <v>0.1797</v>
      </c>
      <c r="G10011" s="2">
        <v>9.06E-2</v>
      </c>
      <c r="H10011" s="2">
        <v>6.1600000000000002E-2</v>
      </c>
      <c r="I10011" s="2">
        <v>4.19E-2</v>
      </c>
      <c r="J10011" s="2">
        <v>4.9200000000000001E-2</v>
      </c>
      <c r="K10011" s="2">
        <v>4.6300000000000001E-2</v>
      </c>
      <c r="L10011" s="2">
        <v>4.6699999999999998E-2</v>
      </c>
      <c r="M10011" s="2">
        <v>4.2999999999999997E-2</v>
      </c>
      <c r="N10011" s="2">
        <v>3.7499999999999999E-2</v>
      </c>
      <c r="O10011" s="2">
        <v>5.5599999999999997E-2</v>
      </c>
      <c r="P10011" s="2">
        <v>1.4500000000000001E-2</v>
      </c>
      <c r="Q10011" s="2">
        <v>5.4699999999999999E-2</v>
      </c>
      <c r="R10011" s="2">
        <v>2.1999999999999999E-2</v>
      </c>
      <c r="S10011" s="2">
        <v>1.46E-2</v>
      </c>
      <c r="T10011" s="2">
        <v>1.12E-2</v>
      </c>
      <c r="V10011" s="2">
        <v>2.0799999999999999E-2</v>
      </c>
      <c r="W10011" s="2">
        <v>1.8200000000000001E-2</v>
      </c>
      <c r="X10011" s="2">
        <v>2.5000000000000001E-3</v>
      </c>
      <c r="Y10011">
        <v>288</v>
      </c>
    </row>
    <row r="10012" spans="1:25" x14ac:dyDescent="0.35">
      <c r="A10012" t="s">
        <v>227</v>
      </c>
      <c r="B10012" t="s">
        <v>262</v>
      </c>
      <c r="C10012" s="2">
        <v>0.58120000000000005</v>
      </c>
      <c r="D10012" s="2">
        <v>0.2767</v>
      </c>
      <c r="E10012" s="2">
        <v>0.2767</v>
      </c>
      <c r="F10012" s="2">
        <v>0.1648</v>
      </c>
      <c r="G10012" s="2">
        <v>4.5600000000000002E-2</v>
      </c>
      <c r="H10012" s="2">
        <v>7.6399999999999996E-2</v>
      </c>
      <c r="I10012" s="2">
        <v>6.2100000000000002E-2</v>
      </c>
      <c r="J10012" s="2">
        <v>6.3700000000000007E-2</v>
      </c>
      <c r="K10012" s="2">
        <v>5.1499999999999997E-2</v>
      </c>
      <c r="L10012" s="2">
        <v>5.04E-2</v>
      </c>
      <c r="M10012" s="2">
        <v>2.5600000000000001E-2</v>
      </c>
      <c r="N10012" s="2">
        <v>9.7999999999999997E-3</v>
      </c>
      <c r="O10012" s="2">
        <v>2.0199999999999999E-2</v>
      </c>
      <c r="P10012" s="2">
        <v>2.7199999999999998E-2</v>
      </c>
      <c r="Q10012" s="2">
        <v>1.4999999999999999E-2</v>
      </c>
      <c r="R10012" s="2">
        <v>1.9800000000000002E-2</v>
      </c>
      <c r="S10012" s="2">
        <v>1.6500000000000001E-2</v>
      </c>
      <c r="T10012" s="2">
        <v>9.4999999999999998E-3</v>
      </c>
      <c r="U10012" s="2">
        <v>9.2999999999999992E-3</v>
      </c>
      <c r="V10012" s="2">
        <v>8.0000000000000004E-4</v>
      </c>
      <c r="W10012" s="2">
        <v>8.5000000000000006E-3</v>
      </c>
      <c r="X10012" s="2">
        <v>1.9E-3</v>
      </c>
      <c r="Y10012">
        <v>687</v>
      </c>
    </row>
    <row r="10013" spans="1:25" x14ac:dyDescent="0.35">
      <c r="A10013" t="s">
        <v>227</v>
      </c>
      <c r="B10013" t="s">
        <v>261</v>
      </c>
      <c r="C10013" s="2">
        <v>0.55020000000000002</v>
      </c>
      <c r="D10013" s="2">
        <v>0.22670000000000001</v>
      </c>
      <c r="E10013" s="2">
        <v>0.2349</v>
      </c>
      <c r="F10013" s="2">
        <v>0.16189999999999999</v>
      </c>
      <c r="G10013" s="2">
        <v>9.8799999999999999E-2</v>
      </c>
      <c r="H10013" s="2">
        <v>6.0999999999999999E-2</v>
      </c>
      <c r="I10013" s="2">
        <v>6.1699999999999998E-2</v>
      </c>
      <c r="J10013" s="2">
        <v>5.6500000000000002E-2</v>
      </c>
      <c r="K10013" s="2">
        <v>4.4499999999999998E-2</v>
      </c>
      <c r="L10013" s="2">
        <v>2.7799999999999998E-2</v>
      </c>
      <c r="M10013" s="2">
        <v>4.6300000000000001E-2</v>
      </c>
      <c r="N10013" s="2">
        <v>5.5500000000000001E-2</v>
      </c>
      <c r="O10013" s="2">
        <v>2.5999999999999999E-2</v>
      </c>
      <c r="P10013" s="2">
        <v>3.1800000000000002E-2</v>
      </c>
      <c r="Q10013" s="2">
        <v>1.06E-2</v>
      </c>
      <c r="R10013" s="2">
        <v>1.7299999999999999E-2</v>
      </c>
      <c r="S10013" s="2">
        <v>1.6799999999999999E-2</v>
      </c>
      <c r="T10013" s="2">
        <v>2.1299999999999999E-2</v>
      </c>
      <c r="U10013" s="2">
        <v>7.3000000000000001E-3</v>
      </c>
      <c r="V10013" s="2">
        <v>8.8999999999999999E-3</v>
      </c>
      <c r="W10013" s="2">
        <v>1.1999999999999999E-3</v>
      </c>
      <c r="X10013" s="2">
        <v>1.03E-2</v>
      </c>
      <c r="Y10013">
        <v>561</v>
      </c>
    </row>
    <row r="10014" spans="1:25" x14ac:dyDescent="0.35">
      <c r="A10014" s="3" t="s">
        <v>227</v>
      </c>
      <c r="B10014" s="3" t="s">
        <v>232</v>
      </c>
      <c r="C10014" s="4">
        <v>1</v>
      </c>
      <c r="D10014" s="5"/>
      <c r="E10014" s="4">
        <v>1</v>
      </c>
      <c r="F10014" s="5"/>
      <c r="G10014" s="5"/>
      <c r="H10014" s="5"/>
      <c r="I10014" s="5"/>
      <c r="J10014" s="5"/>
      <c r="K10014" s="5"/>
      <c r="L10014" s="5"/>
      <c r="M10014" s="5"/>
      <c r="N10014" s="5"/>
      <c r="O10014" s="5"/>
      <c r="P10014" s="5"/>
      <c r="Q10014" s="5"/>
      <c r="R10014" s="5"/>
      <c r="S10014" s="5"/>
      <c r="T10014" s="5"/>
      <c r="U10014" s="4">
        <v>1</v>
      </c>
      <c r="V10014" s="5"/>
      <c r="W10014" s="5"/>
      <c r="X10014" s="5"/>
      <c r="Y10014" s="5" t="s">
        <v>323</v>
      </c>
    </row>
    <row r="10015" spans="1:25" x14ac:dyDescent="0.35">
      <c r="A10015" t="s">
        <v>228</v>
      </c>
      <c r="B10015" t="s">
        <v>228</v>
      </c>
      <c r="C10015" s="2">
        <v>0.56540000000000001</v>
      </c>
      <c r="D10015" s="2">
        <v>0.25569999999999998</v>
      </c>
      <c r="E10015" s="2">
        <v>0.24279999999999999</v>
      </c>
      <c r="F10015" s="2">
        <v>0.16619999999999999</v>
      </c>
      <c r="G10015" s="2">
        <v>7.5700000000000003E-2</v>
      </c>
      <c r="H10015" s="2">
        <v>6.7299999999999999E-2</v>
      </c>
      <c r="I10015" s="2">
        <v>5.8099999999999999E-2</v>
      </c>
      <c r="J10015" s="2">
        <v>5.79E-2</v>
      </c>
      <c r="K10015" s="2">
        <v>4.7600000000000003E-2</v>
      </c>
      <c r="L10015" s="2">
        <v>4.0399999999999998E-2</v>
      </c>
      <c r="M10015" s="2">
        <v>3.73E-2</v>
      </c>
      <c r="N10015" s="2">
        <v>3.3700000000000001E-2</v>
      </c>
      <c r="O10015" s="2">
        <v>2.92E-2</v>
      </c>
      <c r="P10015" s="2">
        <v>2.6599999999999999E-2</v>
      </c>
      <c r="Q10015" s="2">
        <v>2.06E-2</v>
      </c>
      <c r="R10015" s="2">
        <v>1.9199999999999998E-2</v>
      </c>
      <c r="S10015" s="2">
        <v>1.6299999999999999E-2</v>
      </c>
      <c r="T10015" s="2">
        <v>1.47E-2</v>
      </c>
      <c r="U10015" s="2">
        <v>8.0000000000000002E-3</v>
      </c>
      <c r="V10015" s="2">
        <v>7.9000000000000008E-3</v>
      </c>
      <c r="W10015" s="2">
        <v>7.3000000000000001E-3</v>
      </c>
      <c r="X10015" s="2">
        <v>5.4999999999999997E-3</v>
      </c>
      <c r="Y10015">
        <v>1537</v>
      </c>
    </row>
    <row r="10017" spans="1:25" x14ac:dyDescent="0.35">
      <c r="A10017" s="1" t="s">
        <v>2336</v>
      </c>
    </row>
    <row r="10018" spans="1:25" x14ac:dyDescent="0.35">
      <c r="A10018" t="s">
        <v>219</v>
      </c>
      <c r="B10018" t="s">
        <v>301</v>
      </c>
      <c r="C10018" t="s">
        <v>2310</v>
      </c>
      <c r="D10018" t="s">
        <v>2311</v>
      </c>
      <c r="E10018" t="s">
        <v>2312</v>
      </c>
      <c r="F10018" t="s">
        <v>2313</v>
      </c>
      <c r="G10018" t="s">
        <v>2314</v>
      </c>
      <c r="H10018" t="s">
        <v>2315</v>
      </c>
      <c r="I10018" t="s">
        <v>2316</v>
      </c>
      <c r="J10018" t="s">
        <v>2317</v>
      </c>
      <c r="K10018" t="s">
        <v>2318</v>
      </c>
      <c r="L10018" t="s">
        <v>2319</v>
      </c>
      <c r="M10018" t="s">
        <v>2320</v>
      </c>
      <c r="N10018" t="s">
        <v>2321</v>
      </c>
      <c r="O10018" t="s">
        <v>2322</v>
      </c>
      <c r="P10018" t="s">
        <v>2323</v>
      </c>
      <c r="Q10018" t="s">
        <v>2324</v>
      </c>
      <c r="R10018" t="s">
        <v>2325</v>
      </c>
      <c r="S10018" t="s">
        <v>2326</v>
      </c>
      <c r="T10018" t="s">
        <v>2327</v>
      </c>
      <c r="U10018" t="s">
        <v>318</v>
      </c>
      <c r="V10018" t="s">
        <v>2328</v>
      </c>
      <c r="W10018" t="s">
        <v>2329</v>
      </c>
      <c r="X10018" t="s">
        <v>2330</v>
      </c>
      <c r="Y10018" t="s">
        <v>226</v>
      </c>
    </row>
    <row r="10019" spans="1:25" x14ac:dyDescent="0.35">
      <c r="A10019" t="s">
        <v>227</v>
      </c>
      <c r="B10019" t="s">
        <v>248</v>
      </c>
      <c r="C10019" s="2">
        <v>0.62290000000000001</v>
      </c>
      <c r="D10019" s="2">
        <v>0.30159999999999998</v>
      </c>
      <c r="E10019" s="2">
        <v>0.27310000000000001</v>
      </c>
      <c r="F10019" s="2">
        <v>0.1216</v>
      </c>
      <c r="G10019" s="2">
        <v>2.4500000000000001E-2</v>
      </c>
      <c r="H10019" s="2">
        <v>6.13E-2</v>
      </c>
      <c r="I10019" s="2">
        <v>7.6300000000000007E-2</v>
      </c>
      <c r="J10019" s="2">
        <v>6.88E-2</v>
      </c>
      <c r="K10019" s="2">
        <v>5.2699999999999997E-2</v>
      </c>
      <c r="L10019" s="2">
        <v>1.6400000000000001E-2</v>
      </c>
      <c r="M10019" s="2">
        <v>5.0000000000000001E-3</v>
      </c>
      <c r="N10019" s="2">
        <v>2.3900000000000001E-2</v>
      </c>
      <c r="O10019" s="2">
        <v>4.9799999999999997E-2</v>
      </c>
      <c r="P10019" s="2">
        <v>5.9999999999999995E-4</v>
      </c>
      <c r="Q10019" s="2">
        <v>2.3E-3</v>
      </c>
      <c r="R10019" s="2">
        <v>2.63E-2</v>
      </c>
      <c r="S10019" s="2">
        <v>1.6999999999999999E-3</v>
      </c>
      <c r="T10019" s="2">
        <v>2.07E-2</v>
      </c>
      <c r="U10019" s="2">
        <v>6.7999999999999996E-3</v>
      </c>
      <c r="W10019" s="2">
        <v>1.6799999999999999E-2</v>
      </c>
      <c r="X10019" s="2">
        <v>7.4999999999999997E-3</v>
      </c>
      <c r="Y10019">
        <v>473</v>
      </c>
    </row>
    <row r="10020" spans="1:25" x14ac:dyDescent="0.35">
      <c r="A10020" t="s">
        <v>227</v>
      </c>
      <c r="B10020" t="s">
        <v>249</v>
      </c>
      <c r="C10020" s="2">
        <v>0.57179999999999997</v>
      </c>
      <c r="D10020" s="2">
        <v>0.19089999999999999</v>
      </c>
      <c r="E10020" s="2">
        <v>0.32240000000000002</v>
      </c>
      <c r="F10020" s="2">
        <v>0.16819999999999999</v>
      </c>
      <c r="G10020" s="2">
        <v>9.8199999999999996E-2</v>
      </c>
      <c r="H10020" s="2">
        <v>7.0499999999999993E-2</v>
      </c>
      <c r="I10020" s="2">
        <v>4.2900000000000001E-2</v>
      </c>
      <c r="J10020" s="2">
        <v>5.8900000000000001E-2</v>
      </c>
      <c r="K10020" s="2">
        <v>4.2599999999999999E-2</v>
      </c>
      <c r="L10020" s="2">
        <v>6.3100000000000003E-2</v>
      </c>
      <c r="M10020" s="2">
        <v>2.7300000000000001E-2</v>
      </c>
      <c r="N10020" s="2">
        <v>4.2999999999999997E-2</v>
      </c>
      <c r="O10020" s="2">
        <v>2.3099999999999999E-2</v>
      </c>
      <c r="P10020" s="2">
        <v>2.1299999999999999E-2</v>
      </c>
      <c r="Q10020" s="2">
        <v>2.8999999999999998E-3</v>
      </c>
      <c r="R10020" s="2">
        <v>6.1999999999999998E-3</v>
      </c>
      <c r="S10020" s="2">
        <v>1.29E-2</v>
      </c>
      <c r="T10020" s="2">
        <v>1.77E-2</v>
      </c>
      <c r="U10020" s="2">
        <v>1.9900000000000001E-2</v>
      </c>
      <c r="V10020" s="2">
        <v>1.7500000000000002E-2</v>
      </c>
      <c r="W10020" s="2">
        <v>3.3E-3</v>
      </c>
      <c r="X10020" s="2">
        <v>1.5E-3</v>
      </c>
      <c r="Y10020">
        <v>334</v>
      </c>
    </row>
    <row r="10021" spans="1:25" x14ac:dyDescent="0.35">
      <c r="A10021" t="s">
        <v>227</v>
      </c>
      <c r="B10021" t="s">
        <v>247</v>
      </c>
      <c r="C10021" s="2">
        <v>0.52949999999999997</v>
      </c>
      <c r="D10021" s="2">
        <v>0.25619999999999998</v>
      </c>
      <c r="E10021" s="2">
        <v>0.19220000000000001</v>
      </c>
      <c r="F10021" s="2">
        <v>0.19109999999999999</v>
      </c>
      <c r="G10021" s="2">
        <v>9.5899999999999999E-2</v>
      </c>
      <c r="H10021" s="2">
        <v>6.93E-2</v>
      </c>
      <c r="I10021" s="2">
        <v>5.3900000000000003E-2</v>
      </c>
      <c r="J10021" s="2">
        <v>5.1200000000000002E-2</v>
      </c>
      <c r="K10021" s="2">
        <v>4.6800000000000001E-2</v>
      </c>
      <c r="L10021" s="2">
        <v>4.4699999999999997E-2</v>
      </c>
      <c r="M10021" s="2">
        <v>0.06</v>
      </c>
      <c r="N10021" s="2">
        <v>3.5400000000000001E-2</v>
      </c>
      <c r="O10021" s="2">
        <v>1.9800000000000002E-2</v>
      </c>
      <c r="P10021" s="2">
        <v>4.3900000000000002E-2</v>
      </c>
      <c r="Q10021" s="2">
        <v>3.8600000000000002E-2</v>
      </c>
      <c r="R10021" s="2">
        <v>2.0500000000000001E-2</v>
      </c>
      <c r="S10021" s="2">
        <v>2.6100000000000002E-2</v>
      </c>
      <c r="T10021" s="2">
        <v>9.9000000000000008E-3</v>
      </c>
      <c r="U10021" s="2">
        <v>3.8E-3</v>
      </c>
      <c r="V10021" s="2">
        <v>8.3999999999999995E-3</v>
      </c>
      <c r="W10021" s="2">
        <v>3.5999999999999999E-3</v>
      </c>
      <c r="X10021" s="2">
        <v>5.8999999999999999E-3</v>
      </c>
      <c r="Y10021">
        <v>730</v>
      </c>
    </row>
    <row r="10022" spans="1:25" x14ac:dyDescent="0.35">
      <c r="A10022" t="s">
        <v>228</v>
      </c>
      <c r="B10022" t="s">
        <v>228</v>
      </c>
      <c r="C10022" s="2">
        <v>0.56540000000000001</v>
      </c>
      <c r="D10022" s="2">
        <v>0.25569999999999998</v>
      </c>
      <c r="E10022" s="2">
        <v>0.24279999999999999</v>
      </c>
      <c r="F10022" s="2">
        <v>0.16619999999999999</v>
      </c>
      <c r="G10022" s="2">
        <v>7.5700000000000003E-2</v>
      </c>
      <c r="H10022" s="2">
        <v>6.7299999999999999E-2</v>
      </c>
      <c r="I10022" s="2">
        <v>5.8099999999999999E-2</v>
      </c>
      <c r="J10022" s="2">
        <v>5.79E-2</v>
      </c>
      <c r="K10022" s="2">
        <v>4.7600000000000003E-2</v>
      </c>
      <c r="L10022" s="2">
        <v>4.0399999999999998E-2</v>
      </c>
      <c r="M10022" s="2">
        <v>3.73E-2</v>
      </c>
      <c r="N10022" s="2">
        <v>3.3700000000000001E-2</v>
      </c>
      <c r="O10022" s="2">
        <v>2.92E-2</v>
      </c>
      <c r="P10022" s="2">
        <v>2.6599999999999999E-2</v>
      </c>
      <c r="Q10022" s="2">
        <v>2.06E-2</v>
      </c>
      <c r="R10022" s="2">
        <v>1.9199999999999998E-2</v>
      </c>
      <c r="S10022" s="2">
        <v>1.6299999999999999E-2</v>
      </c>
      <c r="T10022" s="2">
        <v>1.47E-2</v>
      </c>
      <c r="U10022" s="2">
        <v>8.0000000000000002E-3</v>
      </c>
      <c r="V10022" s="2">
        <v>7.9000000000000008E-3</v>
      </c>
      <c r="W10022" s="2">
        <v>7.3000000000000001E-3</v>
      </c>
      <c r="X10022" s="2">
        <v>5.4999999999999997E-3</v>
      </c>
      <c r="Y10022">
        <v>1537</v>
      </c>
    </row>
    <row r="10024" spans="1:25" x14ac:dyDescent="0.35">
      <c r="A10024" s="1" t="s">
        <v>2337</v>
      </c>
    </row>
    <row r="10025" spans="1:25" x14ac:dyDescent="0.35">
      <c r="A10025" t="s">
        <v>219</v>
      </c>
      <c r="B10025" t="s">
        <v>301</v>
      </c>
      <c r="C10025" t="s">
        <v>2310</v>
      </c>
      <c r="D10025" t="s">
        <v>2311</v>
      </c>
      <c r="E10025" t="s">
        <v>2312</v>
      </c>
      <c r="F10025" t="s">
        <v>2313</v>
      </c>
      <c r="G10025" t="s">
        <v>2314</v>
      </c>
      <c r="H10025" t="s">
        <v>2315</v>
      </c>
      <c r="I10025" t="s">
        <v>2316</v>
      </c>
      <c r="J10025" t="s">
        <v>2317</v>
      </c>
      <c r="K10025" t="s">
        <v>2318</v>
      </c>
      <c r="L10025" t="s">
        <v>2319</v>
      </c>
      <c r="M10025" t="s">
        <v>2320</v>
      </c>
      <c r="N10025" t="s">
        <v>2321</v>
      </c>
      <c r="O10025" t="s">
        <v>2322</v>
      </c>
      <c r="P10025" t="s">
        <v>2323</v>
      </c>
      <c r="Q10025" t="s">
        <v>2324</v>
      </c>
      <c r="R10025" t="s">
        <v>2325</v>
      </c>
      <c r="S10025" t="s">
        <v>2326</v>
      </c>
      <c r="T10025" t="s">
        <v>2327</v>
      </c>
      <c r="U10025" t="s">
        <v>318</v>
      </c>
      <c r="V10025" t="s">
        <v>2328</v>
      </c>
      <c r="W10025" t="s">
        <v>2329</v>
      </c>
      <c r="X10025" t="s">
        <v>2330</v>
      </c>
      <c r="Y10025" t="s">
        <v>226</v>
      </c>
    </row>
    <row r="10026" spans="1:25" x14ac:dyDescent="0.35">
      <c r="A10026" t="s">
        <v>227</v>
      </c>
      <c r="B10026" t="s">
        <v>245</v>
      </c>
      <c r="C10026" s="2">
        <v>0.56040000000000001</v>
      </c>
      <c r="D10026" s="2">
        <v>0.28370000000000001</v>
      </c>
      <c r="E10026" s="2">
        <v>0.24929999999999999</v>
      </c>
      <c r="F10026" s="2">
        <v>0.1368</v>
      </c>
      <c r="G10026" s="2">
        <v>9.0300000000000005E-2</v>
      </c>
      <c r="H10026" s="2">
        <v>5.9400000000000001E-2</v>
      </c>
      <c r="I10026" s="2">
        <v>7.6499999999999999E-2</v>
      </c>
      <c r="J10026" s="2">
        <v>7.3599999999999999E-2</v>
      </c>
      <c r="K10026" s="2">
        <v>2.6800000000000001E-2</v>
      </c>
      <c r="L10026" s="2">
        <v>6.0600000000000001E-2</v>
      </c>
      <c r="M10026" s="2">
        <v>7.4300000000000005E-2</v>
      </c>
      <c r="N10026" s="2">
        <v>3.2800000000000003E-2</v>
      </c>
      <c r="O10026" s="2">
        <v>2.23E-2</v>
      </c>
      <c r="P10026" s="2">
        <v>8.6300000000000002E-2</v>
      </c>
      <c r="Q10026" s="2">
        <v>1.37E-2</v>
      </c>
      <c r="R10026" s="2">
        <v>7.4999999999999997E-3</v>
      </c>
      <c r="S10026" s="2">
        <v>2.64E-2</v>
      </c>
      <c r="T10026" s="2">
        <v>1.01E-2</v>
      </c>
      <c r="U10026" s="2">
        <v>6.4999999999999997E-3</v>
      </c>
      <c r="V10026" s="2">
        <v>7.0000000000000001E-3</v>
      </c>
      <c r="W10026" s="2">
        <v>1.6999999999999999E-3</v>
      </c>
      <c r="X10026" s="2">
        <v>2.2000000000000001E-3</v>
      </c>
      <c r="Y10026">
        <v>436</v>
      </c>
    </row>
    <row r="10027" spans="1:25" x14ac:dyDescent="0.35">
      <c r="A10027" t="s">
        <v>227</v>
      </c>
      <c r="B10027" t="s">
        <v>244</v>
      </c>
      <c r="C10027" s="2">
        <v>0.5675</v>
      </c>
      <c r="D10027" s="2">
        <v>0.24399999999999999</v>
      </c>
      <c r="E10027" s="2">
        <v>0.24</v>
      </c>
      <c r="F10027" s="2">
        <v>0.17849999999999999</v>
      </c>
      <c r="G10027" s="2">
        <v>6.9599999999999995E-2</v>
      </c>
      <c r="H10027" s="2">
        <v>7.0499999999999993E-2</v>
      </c>
      <c r="I10027" s="2">
        <v>5.04E-2</v>
      </c>
      <c r="J10027" s="2">
        <v>5.1400000000000001E-2</v>
      </c>
      <c r="K10027" s="2">
        <v>5.6300000000000003E-2</v>
      </c>
      <c r="L10027" s="2">
        <v>3.1899999999999998E-2</v>
      </c>
      <c r="M10027" s="2">
        <v>2.18E-2</v>
      </c>
      <c r="N10027" s="2">
        <v>3.4000000000000002E-2</v>
      </c>
      <c r="O10027" s="2">
        <v>3.2099999999999997E-2</v>
      </c>
      <c r="P10027" s="2">
        <v>1.6999999999999999E-3</v>
      </c>
      <c r="Q10027" s="2">
        <v>2.3599999999999999E-2</v>
      </c>
      <c r="R10027" s="2">
        <v>2.41E-2</v>
      </c>
      <c r="S10027" s="2">
        <v>1.2E-2</v>
      </c>
      <c r="T10027" s="2">
        <v>1.6500000000000001E-2</v>
      </c>
      <c r="U10027" s="2">
        <v>8.6999999999999994E-3</v>
      </c>
      <c r="V10027" s="2">
        <v>8.2000000000000007E-3</v>
      </c>
      <c r="W10027" s="2">
        <v>9.7000000000000003E-3</v>
      </c>
      <c r="X10027" s="2">
        <v>6.7999999999999996E-3</v>
      </c>
      <c r="Y10027">
        <v>1101</v>
      </c>
    </row>
    <row r="10028" spans="1:25" x14ac:dyDescent="0.35">
      <c r="A10028" t="s">
        <v>228</v>
      </c>
      <c r="B10028" t="s">
        <v>228</v>
      </c>
      <c r="C10028" s="2">
        <v>0.56540000000000001</v>
      </c>
      <c r="D10028" s="2">
        <v>0.25569999999999998</v>
      </c>
      <c r="E10028" s="2">
        <v>0.24279999999999999</v>
      </c>
      <c r="F10028" s="2">
        <v>0.16619999999999999</v>
      </c>
      <c r="G10028" s="2">
        <v>7.5700000000000003E-2</v>
      </c>
      <c r="H10028" s="2">
        <v>6.7299999999999999E-2</v>
      </c>
      <c r="I10028" s="2">
        <v>5.8099999999999999E-2</v>
      </c>
      <c r="J10028" s="2">
        <v>5.79E-2</v>
      </c>
      <c r="K10028" s="2">
        <v>4.7600000000000003E-2</v>
      </c>
      <c r="L10028" s="2">
        <v>4.0399999999999998E-2</v>
      </c>
      <c r="M10028" s="2">
        <v>3.73E-2</v>
      </c>
      <c r="N10028" s="2">
        <v>3.3700000000000001E-2</v>
      </c>
      <c r="O10028" s="2">
        <v>2.92E-2</v>
      </c>
      <c r="P10028" s="2">
        <v>2.6599999999999999E-2</v>
      </c>
      <c r="Q10028" s="2">
        <v>2.06E-2</v>
      </c>
      <c r="R10028" s="2">
        <v>1.9199999999999998E-2</v>
      </c>
      <c r="S10028" s="2">
        <v>1.6299999999999999E-2</v>
      </c>
      <c r="T10028" s="2">
        <v>1.47E-2</v>
      </c>
      <c r="U10028" s="2">
        <v>8.0000000000000002E-3</v>
      </c>
      <c r="V10028" s="2">
        <v>7.9000000000000008E-3</v>
      </c>
      <c r="W10028" s="2">
        <v>7.3000000000000001E-3</v>
      </c>
      <c r="X10028" s="2">
        <v>5.4999999999999997E-3</v>
      </c>
      <c r="Y10028">
        <v>1537</v>
      </c>
    </row>
    <row r="10030" spans="1:25" x14ac:dyDescent="0.35">
      <c r="A10030" s="1" t="s">
        <v>2338</v>
      </c>
    </row>
    <row r="10031" spans="1:25" x14ac:dyDescent="0.35">
      <c r="A10031" t="s">
        <v>219</v>
      </c>
      <c r="B10031" t="s">
        <v>301</v>
      </c>
      <c r="C10031" t="s">
        <v>2310</v>
      </c>
      <c r="D10031" t="s">
        <v>2311</v>
      </c>
      <c r="E10031" t="s">
        <v>2312</v>
      </c>
      <c r="F10031" t="s">
        <v>2313</v>
      </c>
      <c r="G10031" t="s">
        <v>2314</v>
      </c>
      <c r="H10031" t="s">
        <v>2315</v>
      </c>
      <c r="I10031" t="s">
        <v>2316</v>
      </c>
      <c r="J10031" t="s">
        <v>2317</v>
      </c>
      <c r="K10031" t="s">
        <v>2318</v>
      </c>
      <c r="L10031" t="s">
        <v>2319</v>
      </c>
      <c r="M10031" t="s">
        <v>2320</v>
      </c>
      <c r="N10031" t="s">
        <v>2321</v>
      </c>
      <c r="O10031" t="s">
        <v>2322</v>
      </c>
      <c r="P10031" t="s">
        <v>2323</v>
      </c>
      <c r="Q10031" t="s">
        <v>2324</v>
      </c>
      <c r="R10031" t="s">
        <v>2325</v>
      </c>
      <c r="S10031" t="s">
        <v>2326</v>
      </c>
      <c r="T10031" t="s">
        <v>2327</v>
      </c>
      <c r="U10031" t="s">
        <v>318</v>
      </c>
      <c r="V10031" t="s">
        <v>2328</v>
      </c>
      <c r="W10031" t="s">
        <v>2329</v>
      </c>
      <c r="X10031" t="s">
        <v>2330</v>
      </c>
      <c r="Y10031" t="s">
        <v>226</v>
      </c>
    </row>
    <row r="10032" spans="1:25" x14ac:dyDescent="0.35">
      <c r="A10032" t="s">
        <v>227</v>
      </c>
      <c r="B10032" t="s">
        <v>259</v>
      </c>
      <c r="C10032" s="2">
        <v>0.5958</v>
      </c>
      <c r="D10032" s="2">
        <v>0.2167</v>
      </c>
      <c r="E10032" s="2">
        <v>9.69E-2</v>
      </c>
      <c r="F10032" s="2">
        <v>2.92E-2</v>
      </c>
      <c r="G10032" s="2">
        <v>9.7999999999999997E-3</v>
      </c>
      <c r="H10032" s="2">
        <v>5.9700000000000003E-2</v>
      </c>
      <c r="I10032" s="2">
        <v>1.4500000000000001E-2</v>
      </c>
      <c r="J10032" s="2">
        <v>3.0000000000000001E-3</v>
      </c>
      <c r="K10032" s="2">
        <v>0.1173</v>
      </c>
      <c r="L10032" s="2">
        <v>0.2099</v>
      </c>
      <c r="M10032" s="2">
        <v>1.77E-2</v>
      </c>
      <c r="N10032" s="2">
        <v>5.9700000000000003E-2</v>
      </c>
      <c r="O10032" s="2">
        <v>4.1000000000000002E-2</v>
      </c>
      <c r="Q10032" s="2">
        <v>3.0000000000000001E-3</v>
      </c>
      <c r="S10032" s="2">
        <v>0.1208</v>
      </c>
      <c r="T10032" s="2">
        <v>1.8499999999999999E-2</v>
      </c>
      <c r="V10032" s="2">
        <v>1.8700000000000001E-2</v>
      </c>
      <c r="X10032" s="2">
        <v>9.2999999999999992E-3</v>
      </c>
      <c r="Y10032">
        <v>43</v>
      </c>
    </row>
    <row r="10033" spans="1:25" x14ac:dyDescent="0.35">
      <c r="A10033" t="s">
        <v>227</v>
      </c>
      <c r="B10033" t="s">
        <v>257</v>
      </c>
      <c r="C10033" s="2">
        <v>0.69830000000000003</v>
      </c>
      <c r="D10033" s="2">
        <v>0.3327</v>
      </c>
      <c r="E10033" s="2">
        <v>0.20549999999999999</v>
      </c>
      <c r="F10033" s="2">
        <v>6.3899999999999998E-2</v>
      </c>
      <c r="G10033" s="2">
        <v>4.5100000000000001E-2</v>
      </c>
      <c r="H10033" s="2">
        <v>3.9600000000000003E-2</v>
      </c>
      <c r="I10033" s="2">
        <v>0.13270000000000001</v>
      </c>
      <c r="J10033" s="2">
        <v>0.1205</v>
      </c>
      <c r="K10033" s="2">
        <v>0.1603</v>
      </c>
      <c r="L10033" s="2">
        <v>2.5700000000000001E-2</v>
      </c>
      <c r="M10033" s="2">
        <v>2.1999999999999999E-2</v>
      </c>
      <c r="N10033" s="2">
        <v>2.5600000000000001E-2</v>
      </c>
      <c r="O10033" s="2">
        <v>9.0800000000000006E-2</v>
      </c>
      <c r="P10033" s="2">
        <v>2.2599999999999999E-2</v>
      </c>
      <c r="Q10033" s="2">
        <v>2.9000000000000001E-2</v>
      </c>
      <c r="R10033" s="2">
        <v>8.5199999999999998E-2</v>
      </c>
      <c r="S10033" s="2">
        <v>7.3000000000000001E-3</v>
      </c>
      <c r="W10033" s="2">
        <v>2.5000000000000001E-3</v>
      </c>
      <c r="X10033" s="2">
        <v>9.9000000000000008E-3</v>
      </c>
      <c r="Y10033">
        <v>249</v>
      </c>
    </row>
    <row r="10034" spans="1:25" x14ac:dyDescent="0.35">
      <c r="A10034" t="s">
        <v>227</v>
      </c>
      <c r="B10034" t="s">
        <v>256</v>
      </c>
      <c r="C10034" s="2">
        <v>0.53449999999999998</v>
      </c>
      <c r="D10034" s="2">
        <v>0.23860000000000001</v>
      </c>
      <c r="E10034" s="2">
        <v>0.25869999999999999</v>
      </c>
      <c r="F10034" s="2">
        <v>0.19409999999999999</v>
      </c>
      <c r="G10034" s="2">
        <v>7.8399999999999997E-2</v>
      </c>
      <c r="H10034" s="2">
        <v>7.9299999999999995E-2</v>
      </c>
      <c r="I10034" s="2">
        <v>4.1799999999999997E-2</v>
      </c>
      <c r="J10034" s="2">
        <v>4.1099999999999998E-2</v>
      </c>
      <c r="K10034" s="2">
        <v>1.0800000000000001E-2</v>
      </c>
      <c r="L10034" s="2">
        <v>3.4799999999999998E-2</v>
      </c>
      <c r="M10034" s="2">
        <v>4.8000000000000001E-2</v>
      </c>
      <c r="N10034" s="2">
        <v>4.0599999999999997E-2</v>
      </c>
      <c r="O10034" s="2">
        <v>9.4999999999999998E-3</v>
      </c>
      <c r="P10034" s="2">
        <v>2.1399999999999999E-2</v>
      </c>
      <c r="Q10034" s="2">
        <v>2.01E-2</v>
      </c>
      <c r="R10034" s="2">
        <v>1.2999999999999999E-3</v>
      </c>
      <c r="S10034" s="2">
        <v>8.9999999999999993E-3</v>
      </c>
      <c r="T10034" s="2">
        <v>1.7100000000000001E-2</v>
      </c>
      <c r="U10034" s="2">
        <v>1.1900000000000001E-2</v>
      </c>
      <c r="V10034" s="2">
        <v>1.15E-2</v>
      </c>
      <c r="W10034" s="2">
        <v>1.0800000000000001E-2</v>
      </c>
      <c r="X10034" s="2">
        <v>5.0000000000000001E-3</v>
      </c>
      <c r="Y10034">
        <v>918</v>
      </c>
    </row>
    <row r="10035" spans="1:25" x14ac:dyDescent="0.35">
      <c r="A10035" s="3" t="s">
        <v>227</v>
      </c>
      <c r="B10035" s="3" t="s">
        <v>232</v>
      </c>
      <c r="C10035" s="4">
        <v>0.84740000000000004</v>
      </c>
      <c r="D10035" s="4">
        <v>0.1593</v>
      </c>
      <c r="E10035" s="4">
        <v>0.2747</v>
      </c>
      <c r="F10035" s="4">
        <v>2.4899999999999999E-2</v>
      </c>
      <c r="G10035" s="4">
        <v>0.15359999999999999</v>
      </c>
      <c r="H10035" s="4">
        <v>0.53639999999999999</v>
      </c>
      <c r="I10035" s="4">
        <v>0.49159999999999998</v>
      </c>
      <c r="J10035" s="5"/>
      <c r="K10035" s="5"/>
      <c r="L10035" s="5"/>
      <c r="M10035" s="5"/>
      <c r="N10035" s="5"/>
      <c r="O10035" s="5"/>
      <c r="P10035" s="5"/>
      <c r="Q10035" s="5"/>
      <c r="R10035" s="5"/>
      <c r="S10035" s="5"/>
      <c r="T10035" s="5"/>
      <c r="U10035" s="5"/>
      <c r="V10035" s="5"/>
      <c r="W10035" s="5"/>
      <c r="X10035" s="5"/>
      <c r="Y10035" s="5" t="s">
        <v>326</v>
      </c>
    </row>
    <row r="10036" spans="1:25" x14ac:dyDescent="0.35">
      <c r="A10036" t="s">
        <v>227</v>
      </c>
      <c r="B10036" t="s">
        <v>258</v>
      </c>
      <c r="C10036" s="2">
        <v>0.51190000000000002</v>
      </c>
      <c r="D10036" s="2">
        <v>0.23150000000000001</v>
      </c>
      <c r="E10036" s="2">
        <v>0.24179999999999999</v>
      </c>
      <c r="F10036" s="2">
        <v>0.2026</v>
      </c>
      <c r="G10036" s="2">
        <v>0.1118</v>
      </c>
      <c r="H10036" s="2">
        <v>4.7600000000000003E-2</v>
      </c>
      <c r="I10036" s="2">
        <v>2.6800000000000001E-2</v>
      </c>
      <c r="J10036" s="2">
        <v>5.2900000000000003E-2</v>
      </c>
      <c r="K10036" s="2">
        <v>4.5400000000000003E-2</v>
      </c>
      <c r="L10036" s="2">
        <v>6.3799999999999996E-2</v>
      </c>
      <c r="M10036" s="2">
        <v>1.5299999999999999E-2</v>
      </c>
      <c r="N10036" s="2">
        <v>1.2699999999999999E-2</v>
      </c>
      <c r="O10036" s="2">
        <v>2.93E-2</v>
      </c>
      <c r="P10036" s="2">
        <v>5.74E-2</v>
      </c>
      <c r="Q10036" s="2">
        <v>1.43E-2</v>
      </c>
      <c r="R10036" s="2">
        <v>9.4999999999999998E-3</v>
      </c>
      <c r="S10036" s="2">
        <v>4.6399999999999997E-2</v>
      </c>
      <c r="T10036" s="2">
        <v>2.3599999999999999E-2</v>
      </c>
      <c r="U10036" s="2">
        <v>3.3999999999999998E-3</v>
      </c>
      <c r="V10036" s="2">
        <v>1.8E-3</v>
      </c>
      <c r="X10036" s="2">
        <v>1.1999999999999999E-3</v>
      </c>
      <c r="Y10036">
        <v>319</v>
      </c>
    </row>
    <row r="10037" spans="1:25" x14ac:dyDescent="0.35">
      <c r="A10037" t="s">
        <v>228</v>
      </c>
      <c r="B10037" t="s">
        <v>228</v>
      </c>
      <c r="C10037" s="2">
        <v>0.56540000000000001</v>
      </c>
      <c r="D10037" s="2">
        <v>0.25569999999999998</v>
      </c>
      <c r="E10037" s="2">
        <v>0.24279999999999999</v>
      </c>
      <c r="F10037" s="2">
        <v>0.16619999999999999</v>
      </c>
      <c r="G10037" s="2">
        <v>7.5700000000000003E-2</v>
      </c>
      <c r="H10037" s="2">
        <v>6.7299999999999999E-2</v>
      </c>
      <c r="I10037" s="2">
        <v>5.8099999999999999E-2</v>
      </c>
      <c r="J10037" s="2">
        <v>5.79E-2</v>
      </c>
      <c r="K10037" s="2">
        <v>4.7600000000000003E-2</v>
      </c>
      <c r="L10037" s="2">
        <v>4.0399999999999998E-2</v>
      </c>
      <c r="M10037" s="2">
        <v>3.73E-2</v>
      </c>
      <c r="N10037" s="2">
        <v>3.3700000000000001E-2</v>
      </c>
      <c r="O10037" s="2">
        <v>2.92E-2</v>
      </c>
      <c r="P10037" s="2">
        <v>2.6599999999999999E-2</v>
      </c>
      <c r="Q10037" s="2">
        <v>2.06E-2</v>
      </c>
      <c r="R10037" s="2">
        <v>1.9199999999999998E-2</v>
      </c>
      <c r="S10037" s="2">
        <v>1.6299999999999999E-2</v>
      </c>
      <c r="T10037" s="2">
        <v>1.47E-2</v>
      </c>
      <c r="U10037" s="2">
        <v>8.0000000000000002E-3</v>
      </c>
      <c r="V10037" s="2">
        <v>7.9000000000000008E-3</v>
      </c>
      <c r="W10037" s="2">
        <v>7.3000000000000001E-3</v>
      </c>
      <c r="X10037" s="2">
        <v>5.4999999999999997E-3</v>
      </c>
      <c r="Y10037">
        <v>1537</v>
      </c>
    </row>
    <row r="10039" spans="1:25" x14ac:dyDescent="0.35">
      <c r="A10039" s="1" t="s">
        <v>2339</v>
      </c>
    </row>
    <row r="10040" spans="1:25" x14ac:dyDescent="0.35">
      <c r="A10040" t="s">
        <v>219</v>
      </c>
      <c r="B10040" t="s">
        <v>301</v>
      </c>
      <c r="C10040" t="s">
        <v>2310</v>
      </c>
      <c r="D10040" t="s">
        <v>2311</v>
      </c>
      <c r="E10040" t="s">
        <v>2312</v>
      </c>
      <c r="F10040" t="s">
        <v>2313</v>
      </c>
      <c r="G10040" t="s">
        <v>2314</v>
      </c>
      <c r="H10040" t="s">
        <v>2315</v>
      </c>
      <c r="I10040" t="s">
        <v>2316</v>
      </c>
      <c r="J10040" t="s">
        <v>2317</v>
      </c>
      <c r="K10040" t="s">
        <v>2318</v>
      </c>
      <c r="L10040" t="s">
        <v>2319</v>
      </c>
      <c r="M10040" t="s">
        <v>2320</v>
      </c>
      <c r="N10040" t="s">
        <v>2321</v>
      </c>
      <c r="O10040" t="s">
        <v>2322</v>
      </c>
      <c r="P10040" t="s">
        <v>2323</v>
      </c>
      <c r="Q10040" t="s">
        <v>2324</v>
      </c>
      <c r="R10040" t="s">
        <v>2325</v>
      </c>
      <c r="S10040" t="s">
        <v>2326</v>
      </c>
      <c r="T10040" t="s">
        <v>2327</v>
      </c>
      <c r="U10040" t="s">
        <v>318</v>
      </c>
      <c r="V10040" t="s">
        <v>2328</v>
      </c>
      <c r="W10040" t="s">
        <v>2329</v>
      </c>
      <c r="X10040" t="s">
        <v>2330</v>
      </c>
      <c r="Y10040" t="s">
        <v>226</v>
      </c>
    </row>
    <row r="10041" spans="1:25" x14ac:dyDescent="0.35">
      <c r="A10041" t="s">
        <v>227</v>
      </c>
      <c r="B10041" t="s">
        <v>343</v>
      </c>
      <c r="C10041" s="2">
        <v>0.69830000000000003</v>
      </c>
      <c r="D10041" s="2">
        <v>0.3327</v>
      </c>
      <c r="E10041" s="2">
        <v>0.20549999999999999</v>
      </c>
      <c r="F10041" s="2">
        <v>6.3899999999999998E-2</v>
      </c>
      <c r="G10041" s="2">
        <v>4.5100000000000001E-2</v>
      </c>
      <c r="H10041" s="2">
        <v>3.9600000000000003E-2</v>
      </c>
      <c r="I10041" s="2">
        <v>0.13270000000000001</v>
      </c>
      <c r="J10041" s="2">
        <v>0.1205</v>
      </c>
      <c r="K10041" s="2">
        <v>0.1603</v>
      </c>
      <c r="L10041" s="2">
        <v>2.5700000000000001E-2</v>
      </c>
      <c r="M10041" s="2">
        <v>2.1999999999999999E-2</v>
      </c>
      <c r="N10041" s="2">
        <v>2.5600000000000001E-2</v>
      </c>
      <c r="O10041" s="2">
        <v>9.0800000000000006E-2</v>
      </c>
      <c r="P10041" s="2">
        <v>2.2599999999999999E-2</v>
      </c>
      <c r="Q10041" s="2">
        <v>2.9000000000000001E-2</v>
      </c>
      <c r="R10041" s="2">
        <v>8.5199999999999998E-2</v>
      </c>
      <c r="S10041" s="2">
        <v>7.3000000000000001E-3</v>
      </c>
      <c r="W10041" s="2">
        <v>2.5000000000000001E-3</v>
      </c>
      <c r="X10041" s="2">
        <v>9.9000000000000008E-3</v>
      </c>
      <c r="Y10041">
        <v>249</v>
      </c>
    </row>
    <row r="10042" spans="1:25" x14ac:dyDescent="0.35">
      <c r="A10042" t="s">
        <v>227</v>
      </c>
      <c r="B10042" t="s">
        <v>344</v>
      </c>
      <c r="C10042" s="2">
        <v>0.53239999999999998</v>
      </c>
      <c r="D10042" s="2">
        <v>0.2366</v>
      </c>
      <c r="E10042" s="2">
        <v>0.252</v>
      </c>
      <c r="F10042" s="2">
        <v>0.19159999999999999</v>
      </c>
      <c r="G10042" s="2">
        <v>8.3299999999999999E-2</v>
      </c>
      <c r="H10042" s="2">
        <v>7.4099999999999999E-2</v>
      </c>
      <c r="I10042" s="2">
        <v>3.9600000000000003E-2</v>
      </c>
      <c r="J10042" s="2">
        <v>4.24E-2</v>
      </c>
      <c r="K10042" s="2">
        <v>1.9599999999999999E-2</v>
      </c>
      <c r="L10042" s="2">
        <v>4.3999999999999997E-2</v>
      </c>
      <c r="M10042" s="2">
        <v>4.1099999999999998E-2</v>
      </c>
      <c r="N10042" s="2">
        <v>3.5700000000000003E-2</v>
      </c>
      <c r="O10042" s="2">
        <v>1.3899999999999999E-2</v>
      </c>
      <c r="P10042" s="2">
        <v>2.7699999999999999E-2</v>
      </c>
      <c r="Q10042" s="2">
        <v>1.8599999999999998E-2</v>
      </c>
      <c r="R10042" s="2">
        <v>2.8E-3</v>
      </c>
      <c r="S10042" s="2">
        <v>1.8499999999999999E-2</v>
      </c>
      <c r="T10042" s="2">
        <v>1.83E-2</v>
      </c>
      <c r="U10042" s="2">
        <v>0.01</v>
      </c>
      <c r="V10042" s="2">
        <v>9.7999999999999997E-3</v>
      </c>
      <c r="W10042" s="2">
        <v>8.5000000000000006E-3</v>
      </c>
      <c r="X10042" s="2">
        <v>4.4000000000000003E-3</v>
      </c>
      <c r="Y10042">
        <v>1288</v>
      </c>
    </row>
    <row r="10043" spans="1:25" x14ac:dyDescent="0.35">
      <c r="A10043" t="s">
        <v>228</v>
      </c>
      <c r="B10043" t="s">
        <v>228</v>
      </c>
      <c r="C10043" s="2">
        <v>0.56540000000000001</v>
      </c>
      <c r="D10043" s="2">
        <v>0.25569999999999998</v>
      </c>
      <c r="E10043" s="2">
        <v>0.24279999999999999</v>
      </c>
      <c r="F10043" s="2">
        <v>0.16619999999999999</v>
      </c>
      <c r="G10043" s="2">
        <v>7.5700000000000003E-2</v>
      </c>
      <c r="H10043" s="2">
        <v>6.7299999999999999E-2</v>
      </c>
      <c r="I10043" s="2">
        <v>5.8099999999999999E-2</v>
      </c>
      <c r="J10043" s="2">
        <v>5.79E-2</v>
      </c>
      <c r="K10043" s="2">
        <v>4.7600000000000003E-2</v>
      </c>
      <c r="L10043" s="2">
        <v>4.0399999999999998E-2</v>
      </c>
      <c r="M10043" s="2">
        <v>3.73E-2</v>
      </c>
      <c r="N10043" s="2">
        <v>3.3700000000000001E-2</v>
      </c>
      <c r="O10043" s="2">
        <v>2.92E-2</v>
      </c>
      <c r="P10043" s="2">
        <v>2.6599999999999999E-2</v>
      </c>
      <c r="Q10043" s="2">
        <v>2.06E-2</v>
      </c>
      <c r="R10043" s="2">
        <v>1.9199999999999998E-2</v>
      </c>
      <c r="S10043" s="2">
        <v>1.6299999999999999E-2</v>
      </c>
      <c r="T10043" s="2">
        <v>1.47E-2</v>
      </c>
      <c r="U10043" s="2">
        <v>8.0000000000000002E-3</v>
      </c>
      <c r="V10043" s="2">
        <v>7.9000000000000008E-3</v>
      </c>
      <c r="W10043" s="2">
        <v>7.3000000000000001E-3</v>
      </c>
      <c r="X10043" s="2">
        <v>5.4999999999999997E-3</v>
      </c>
      <c r="Y10043">
        <v>1537</v>
      </c>
    </row>
    <row r="10045" spans="1:25" x14ac:dyDescent="0.35">
      <c r="A10045" s="1" t="s">
        <v>2340</v>
      </c>
    </row>
    <row r="10046" spans="1:25" x14ac:dyDescent="0.35">
      <c r="A10046" t="s">
        <v>219</v>
      </c>
      <c r="B10046" t="s">
        <v>301</v>
      </c>
      <c r="C10046" t="s">
        <v>2310</v>
      </c>
      <c r="D10046" t="s">
        <v>2311</v>
      </c>
      <c r="E10046" t="s">
        <v>2312</v>
      </c>
      <c r="F10046" t="s">
        <v>2313</v>
      </c>
      <c r="G10046" t="s">
        <v>2314</v>
      </c>
      <c r="H10046" t="s">
        <v>2315</v>
      </c>
      <c r="I10046" t="s">
        <v>2316</v>
      </c>
      <c r="J10046" t="s">
        <v>2317</v>
      </c>
      <c r="K10046" t="s">
        <v>2318</v>
      </c>
      <c r="L10046" t="s">
        <v>2319</v>
      </c>
      <c r="M10046" t="s">
        <v>2320</v>
      </c>
      <c r="N10046" t="s">
        <v>2321</v>
      </c>
      <c r="O10046" t="s">
        <v>2322</v>
      </c>
      <c r="P10046" t="s">
        <v>2323</v>
      </c>
      <c r="Q10046" t="s">
        <v>2324</v>
      </c>
      <c r="R10046" t="s">
        <v>2325</v>
      </c>
      <c r="S10046" t="s">
        <v>2326</v>
      </c>
      <c r="T10046" t="s">
        <v>2327</v>
      </c>
      <c r="U10046" t="s">
        <v>318</v>
      </c>
      <c r="V10046" t="s">
        <v>2328</v>
      </c>
      <c r="W10046" t="s">
        <v>2329</v>
      </c>
      <c r="X10046" t="s">
        <v>2330</v>
      </c>
      <c r="Y10046" t="s">
        <v>226</v>
      </c>
    </row>
    <row r="10047" spans="1:25" x14ac:dyDescent="0.35">
      <c r="A10047" t="s">
        <v>227</v>
      </c>
      <c r="B10047" t="s">
        <v>346</v>
      </c>
      <c r="C10047" s="2">
        <v>0.5464</v>
      </c>
      <c r="D10047" s="2">
        <v>0.25169999999999998</v>
      </c>
      <c r="E10047" s="2">
        <v>0.2467</v>
      </c>
      <c r="F10047" s="2">
        <v>0.17730000000000001</v>
      </c>
      <c r="G10047" s="2">
        <v>7.7899999999999997E-2</v>
      </c>
      <c r="H10047" s="2">
        <v>6.1899999999999997E-2</v>
      </c>
      <c r="I10047" s="2">
        <v>6.0400000000000002E-2</v>
      </c>
      <c r="J10047" s="2">
        <v>5.2900000000000003E-2</v>
      </c>
      <c r="K10047" s="2">
        <v>5.2900000000000003E-2</v>
      </c>
      <c r="L10047" s="2">
        <v>4.1700000000000001E-2</v>
      </c>
      <c r="M10047" s="2">
        <v>3.7199999999999997E-2</v>
      </c>
      <c r="N10047" s="2">
        <v>3.6799999999999999E-2</v>
      </c>
      <c r="O10047" s="2">
        <v>2.6100000000000002E-2</v>
      </c>
      <c r="P10047" s="2">
        <v>2.35E-2</v>
      </c>
      <c r="Q10047" s="2">
        <v>2.1399999999999999E-2</v>
      </c>
      <c r="R10047" s="2">
        <v>2.01E-2</v>
      </c>
      <c r="S10047" s="2">
        <v>1.6400000000000001E-2</v>
      </c>
      <c r="T10047" s="2">
        <v>1.24E-2</v>
      </c>
      <c r="U10047" s="2">
        <v>8.5000000000000006E-3</v>
      </c>
      <c r="V10047" s="2">
        <v>8.3999999999999995E-3</v>
      </c>
      <c r="W10047" s="2">
        <v>7.4999999999999997E-3</v>
      </c>
      <c r="X10047" s="2">
        <v>3.8E-3</v>
      </c>
      <c r="Y10047">
        <v>709</v>
      </c>
    </row>
    <row r="10048" spans="1:25" x14ac:dyDescent="0.35">
      <c r="A10048" t="s">
        <v>227</v>
      </c>
      <c r="B10048" t="s">
        <v>347</v>
      </c>
      <c r="C10048" s="2">
        <v>0.69799999999999995</v>
      </c>
      <c r="D10048" s="2">
        <v>0.26889999999999997</v>
      </c>
      <c r="E10048" s="2">
        <v>0.22570000000000001</v>
      </c>
      <c r="F10048" s="2">
        <v>7.3499999999999996E-2</v>
      </c>
      <c r="G10048" s="2">
        <v>6.0699999999999997E-2</v>
      </c>
      <c r="H10048" s="2">
        <v>0.1583</v>
      </c>
      <c r="I10048" s="2">
        <v>3.3099999999999997E-2</v>
      </c>
      <c r="J10048" s="2">
        <v>7.2999999999999995E-2</v>
      </c>
      <c r="K10048" s="2">
        <v>2.2200000000000001E-2</v>
      </c>
      <c r="L10048" s="2">
        <v>2.2599999999999999E-2</v>
      </c>
      <c r="M10048" s="2">
        <v>1.8599999999999998E-2</v>
      </c>
      <c r="N10048" s="2">
        <v>1.0999999999999999E-2</v>
      </c>
      <c r="O10048" s="2">
        <v>5.2499999999999998E-2</v>
      </c>
      <c r="P10048" s="2">
        <v>2.0299999999999999E-2</v>
      </c>
      <c r="Q10048" s="2">
        <v>1.77E-2</v>
      </c>
      <c r="R10048" s="2">
        <v>1.0999999999999999E-2</v>
      </c>
      <c r="S10048" s="2">
        <v>1.43E-2</v>
      </c>
      <c r="T10048" s="2">
        <v>3.9300000000000002E-2</v>
      </c>
      <c r="U10048" s="2">
        <v>1.1000000000000001E-3</v>
      </c>
      <c r="V10048" s="2">
        <v>5.4999999999999997E-3</v>
      </c>
      <c r="W10048" s="2">
        <v>0.01</v>
      </c>
      <c r="X10048" s="2">
        <v>2.81E-2</v>
      </c>
      <c r="Y10048">
        <v>394</v>
      </c>
    </row>
    <row r="10049" spans="1:25" x14ac:dyDescent="0.35">
      <c r="A10049" t="s">
        <v>227</v>
      </c>
      <c r="B10049" t="s">
        <v>348</v>
      </c>
      <c r="C10049" s="2">
        <v>0.65380000000000005</v>
      </c>
      <c r="D10049" s="2">
        <v>0.28110000000000002</v>
      </c>
      <c r="E10049" s="2">
        <v>0.21959999999999999</v>
      </c>
      <c r="F10049" s="2">
        <v>0.1211</v>
      </c>
      <c r="G10049" s="2">
        <v>6.5600000000000006E-2</v>
      </c>
      <c r="H10049" s="2">
        <v>6.7299999999999999E-2</v>
      </c>
      <c r="I10049" s="2">
        <v>5.1299999999999998E-2</v>
      </c>
      <c r="J10049" s="2">
        <v>9.06E-2</v>
      </c>
      <c r="K10049" s="2">
        <v>1.78E-2</v>
      </c>
      <c r="L10049" s="2">
        <v>3.8199999999999998E-2</v>
      </c>
      <c r="M10049" s="2">
        <v>4.6899999999999997E-2</v>
      </c>
      <c r="N10049" s="2">
        <v>1.9E-2</v>
      </c>
      <c r="O10049" s="2">
        <v>4.2799999999999998E-2</v>
      </c>
      <c r="P10049" s="2">
        <v>5.4300000000000001E-2</v>
      </c>
      <c r="Q10049" s="2">
        <v>1.61E-2</v>
      </c>
      <c r="R10049" s="2">
        <v>1.5800000000000002E-2</v>
      </c>
      <c r="S10049" s="2">
        <v>1.6400000000000001E-2</v>
      </c>
      <c r="T10049" s="2">
        <v>2.1000000000000001E-2</v>
      </c>
      <c r="U10049" s="2">
        <v>7.4000000000000003E-3</v>
      </c>
      <c r="V10049" s="2">
        <v>5.1000000000000004E-3</v>
      </c>
      <c r="W10049" s="2">
        <v>4.8999999999999998E-3</v>
      </c>
      <c r="X10049" s="2">
        <v>7.9000000000000008E-3</v>
      </c>
      <c r="Y10049">
        <v>434</v>
      </c>
    </row>
    <row r="10050" spans="1:25" x14ac:dyDescent="0.35">
      <c r="A10050" t="s">
        <v>228</v>
      </c>
      <c r="B10050" t="s">
        <v>228</v>
      </c>
      <c r="C10050" s="2">
        <v>0.56540000000000001</v>
      </c>
      <c r="D10050" s="2">
        <v>0.25569999999999998</v>
      </c>
      <c r="E10050" s="2">
        <v>0.24279999999999999</v>
      </c>
      <c r="F10050" s="2">
        <v>0.16619999999999999</v>
      </c>
      <c r="G10050" s="2">
        <v>7.5700000000000003E-2</v>
      </c>
      <c r="H10050" s="2">
        <v>6.7299999999999999E-2</v>
      </c>
      <c r="I10050" s="2">
        <v>5.8099999999999999E-2</v>
      </c>
      <c r="J10050" s="2">
        <v>5.79E-2</v>
      </c>
      <c r="K10050" s="2">
        <v>4.7600000000000003E-2</v>
      </c>
      <c r="L10050" s="2">
        <v>4.0399999999999998E-2</v>
      </c>
      <c r="M10050" s="2">
        <v>3.73E-2</v>
      </c>
      <c r="N10050" s="2">
        <v>3.3700000000000001E-2</v>
      </c>
      <c r="O10050" s="2">
        <v>2.92E-2</v>
      </c>
      <c r="P10050" s="2">
        <v>2.6599999999999999E-2</v>
      </c>
      <c r="Q10050" s="2">
        <v>2.06E-2</v>
      </c>
      <c r="R10050" s="2">
        <v>1.9199999999999998E-2</v>
      </c>
      <c r="S10050" s="2">
        <v>1.6299999999999999E-2</v>
      </c>
      <c r="T10050" s="2">
        <v>1.47E-2</v>
      </c>
      <c r="U10050" s="2">
        <v>8.0000000000000002E-3</v>
      </c>
      <c r="V10050" s="2">
        <v>7.9000000000000008E-3</v>
      </c>
      <c r="W10050" s="2">
        <v>7.3000000000000001E-3</v>
      </c>
      <c r="X10050" s="2">
        <v>5.4999999999999997E-3</v>
      </c>
      <c r="Y10050">
        <v>1537</v>
      </c>
    </row>
    <row r="10052" spans="1:25" x14ac:dyDescent="0.35">
      <c r="A10052" s="1" t="s">
        <v>2341</v>
      </c>
    </row>
    <row r="10053" spans="1:25" x14ac:dyDescent="0.35">
      <c r="A10053" t="s">
        <v>219</v>
      </c>
      <c r="B10053" t="s">
        <v>301</v>
      </c>
      <c r="C10053" t="s">
        <v>2310</v>
      </c>
      <c r="D10053" t="s">
        <v>2311</v>
      </c>
      <c r="E10053" t="s">
        <v>2312</v>
      </c>
      <c r="F10053" t="s">
        <v>2313</v>
      </c>
      <c r="G10053" t="s">
        <v>2314</v>
      </c>
      <c r="H10053" t="s">
        <v>2315</v>
      </c>
      <c r="I10053" t="s">
        <v>2316</v>
      </c>
      <c r="J10053" t="s">
        <v>2317</v>
      </c>
      <c r="K10053" t="s">
        <v>2318</v>
      </c>
      <c r="L10053" t="s">
        <v>2319</v>
      </c>
      <c r="M10053" t="s">
        <v>2320</v>
      </c>
      <c r="N10053" t="s">
        <v>2321</v>
      </c>
      <c r="O10053" t="s">
        <v>2322</v>
      </c>
      <c r="P10053" t="s">
        <v>2323</v>
      </c>
      <c r="Q10053" t="s">
        <v>2324</v>
      </c>
      <c r="R10053" t="s">
        <v>2325</v>
      </c>
      <c r="S10053" t="s">
        <v>2326</v>
      </c>
      <c r="T10053" t="s">
        <v>2327</v>
      </c>
      <c r="U10053" t="s">
        <v>318</v>
      </c>
      <c r="V10053" t="s">
        <v>2328</v>
      </c>
      <c r="W10053" t="s">
        <v>2329</v>
      </c>
      <c r="X10053" t="s">
        <v>2330</v>
      </c>
      <c r="Y10053" t="s">
        <v>226</v>
      </c>
    </row>
    <row r="10054" spans="1:25" x14ac:dyDescent="0.35">
      <c r="A10054" t="s">
        <v>227</v>
      </c>
      <c r="B10054" t="s">
        <v>251</v>
      </c>
      <c r="C10054" s="2">
        <v>0.5675</v>
      </c>
      <c r="D10054" s="2">
        <v>0.24399999999999999</v>
      </c>
      <c r="E10054" s="2">
        <v>0.24</v>
      </c>
      <c r="F10054" s="2">
        <v>0.17849999999999999</v>
      </c>
      <c r="G10054" s="2">
        <v>6.9599999999999995E-2</v>
      </c>
      <c r="H10054" s="2">
        <v>7.0499999999999993E-2</v>
      </c>
      <c r="I10054" s="2">
        <v>5.04E-2</v>
      </c>
      <c r="J10054" s="2">
        <v>5.1400000000000001E-2</v>
      </c>
      <c r="K10054" s="2">
        <v>5.6300000000000003E-2</v>
      </c>
      <c r="L10054" s="2">
        <v>3.1899999999999998E-2</v>
      </c>
      <c r="M10054" s="2">
        <v>2.18E-2</v>
      </c>
      <c r="N10054" s="2">
        <v>3.4000000000000002E-2</v>
      </c>
      <c r="O10054" s="2">
        <v>3.2099999999999997E-2</v>
      </c>
      <c r="P10054" s="2">
        <v>1.6999999999999999E-3</v>
      </c>
      <c r="Q10054" s="2">
        <v>2.3599999999999999E-2</v>
      </c>
      <c r="R10054" s="2">
        <v>2.41E-2</v>
      </c>
      <c r="S10054" s="2">
        <v>1.2E-2</v>
      </c>
      <c r="T10054" s="2">
        <v>1.6500000000000001E-2</v>
      </c>
      <c r="U10054" s="2">
        <v>8.6999999999999994E-3</v>
      </c>
      <c r="V10054" s="2">
        <v>8.2000000000000007E-3</v>
      </c>
      <c r="W10054" s="2">
        <v>9.7000000000000003E-3</v>
      </c>
      <c r="X10054" s="2">
        <v>6.7999999999999996E-3</v>
      </c>
      <c r="Y10054">
        <v>1101</v>
      </c>
    </row>
    <row r="10055" spans="1:25" x14ac:dyDescent="0.35">
      <c r="A10055" t="s">
        <v>227</v>
      </c>
      <c r="B10055" t="s">
        <v>252</v>
      </c>
      <c r="C10055" s="2">
        <v>0.51949999999999996</v>
      </c>
      <c r="D10055" s="2">
        <v>0.26929999999999998</v>
      </c>
      <c r="E10055" s="2">
        <v>0.27500000000000002</v>
      </c>
      <c r="F10055" s="2">
        <v>0.1459</v>
      </c>
      <c r="G10055" s="2">
        <v>9.4E-2</v>
      </c>
      <c r="H10055" s="2">
        <v>5.8599999999999999E-2</v>
      </c>
      <c r="I10055" s="2">
        <v>7.6899999999999996E-2</v>
      </c>
      <c r="J10055" s="2">
        <v>6.1699999999999998E-2</v>
      </c>
      <c r="K10055" s="2">
        <v>2.6200000000000001E-2</v>
      </c>
      <c r="L10055" s="2">
        <v>6.9500000000000006E-2</v>
      </c>
      <c r="M10055" s="2">
        <v>7.9200000000000007E-2</v>
      </c>
      <c r="N10055" s="2">
        <v>0.04</v>
      </c>
      <c r="O10055" s="2">
        <v>2.1499999999999998E-2</v>
      </c>
      <c r="P10055" s="2">
        <v>8.43E-2</v>
      </c>
      <c r="Q10055" s="2">
        <v>1.6899999999999998E-2</v>
      </c>
      <c r="R10055" s="2">
        <v>3.7000000000000002E-3</v>
      </c>
      <c r="S10055" s="2">
        <v>2.5499999999999998E-2</v>
      </c>
      <c r="T10055" s="2">
        <v>1.0500000000000001E-2</v>
      </c>
      <c r="U10055" s="2">
        <v>8.0000000000000002E-3</v>
      </c>
      <c r="V10055" s="2">
        <v>8.6999999999999994E-3</v>
      </c>
      <c r="W10055" s="2">
        <v>2.0999999999999999E-3</v>
      </c>
      <c r="X10055" s="2">
        <v>2.0999999999999999E-3</v>
      </c>
      <c r="Y10055">
        <v>340</v>
      </c>
    </row>
    <row r="10056" spans="1:25" x14ac:dyDescent="0.35">
      <c r="A10056" t="s">
        <v>227</v>
      </c>
      <c r="B10056" t="s">
        <v>253</v>
      </c>
      <c r="C10056" s="2">
        <v>0.7288</v>
      </c>
      <c r="D10056" s="2">
        <v>0.34420000000000001</v>
      </c>
      <c r="E10056" s="2">
        <v>0.14299999999999999</v>
      </c>
      <c r="F10056" s="2">
        <v>0.10009999999999999</v>
      </c>
      <c r="G10056" s="2">
        <v>7.5800000000000006E-2</v>
      </c>
      <c r="H10056" s="2">
        <v>6.0100000000000001E-2</v>
      </c>
      <c r="I10056" s="2">
        <v>7.1499999999999994E-2</v>
      </c>
      <c r="J10056" s="2">
        <v>0.1249</v>
      </c>
      <c r="K10056" s="2">
        <v>2.9700000000000001E-2</v>
      </c>
      <c r="L10056" s="2">
        <v>2.35E-2</v>
      </c>
      <c r="M10056" s="2">
        <v>5.0799999999999998E-2</v>
      </c>
      <c r="N10056" s="2">
        <v>2.8999999999999998E-3</v>
      </c>
      <c r="O10056" s="2">
        <v>2.5899999999999999E-2</v>
      </c>
      <c r="P10056" s="2">
        <v>9.5699999999999993E-2</v>
      </c>
      <c r="R10056" s="2">
        <v>2.3300000000000001E-2</v>
      </c>
      <c r="S10056" s="2">
        <v>3.09E-2</v>
      </c>
      <c r="T10056" s="2">
        <v>8.5000000000000006E-3</v>
      </c>
      <c r="X10056" s="2">
        <v>2.8999999999999998E-3</v>
      </c>
      <c r="Y10056">
        <v>91</v>
      </c>
    </row>
    <row r="10057" spans="1:25" x14ac:dyDescent="0.35">
      <c r="A10057" s="3" t="s">
        <v>227</v>
      </c>
      <c r="B10057" s="3" t="s">
        <v>254</v>
      </c>
      <c r="C10057" s="4">
        <v>0.92720000000000002</v>
      </c>
      <c r="D10057" s="4">
        <v>0.29549999999999998</v>
      </c>
      <c r="E10057" s="4">
        <v>7.5300000000000006E-2</v>
      </c>
      <c r="F10057" s="5"/>
      <c r="G10057" s="5"/>
      <c r="H10057" s="4">
        <v>0.29549999999999998</v>
      </c>
      <c r="I10057" s="4">
        <v>0.33360000000000001</v>
      </c>
      <c r="J10057" s="5"/>
      <c r="K10057" s="5"/>
      <c r="L10057" s="5"/>
      <c r="M10057" s="4">
        <v>0.26079999999999998</v>
      </c>
      <c r="N10057" s="5"/>
      <c r="O10057" s="5"/>
      <c r="P10057" s="5"/>
      <c r="Q10057" s="5"/>
      <c r="R10057" s="5"/>
      <c r="S10057" s="5"/>
      <c r="T10057" s="5"/>
      <c r="U10057" s="5"/>
      <c r="V10057" s="5"/>
      <c r="W10057" s="5"/>
      <c r="X10057" s="5"/>
      <c r="Y10057" s="5" t="s">
        <v>327</v>
      </c>
    </row>
    <row r="10058" spans="1:25" x14ac:dyDescent="0.35">
      <c r="A10058" t="s">
        <v>228</v>
      </c>
      <c r="B10058" t="s">
        <v>228</v>
      </c>
      <c r="C10058" s="2">
        <v>0.56540000000000001</v>
      </c>
      <c r="D10058" s="2">
        <v>0.25569999999999998</v>
      </c>
      <c r="E10058" s="2">
        <v>0.24279999999999999</v>
      </c>
      <c r="F10058" s="2">
        <v>0.16619999999999999</v>
      </c>
      <c r="G10058" s="2">
        <v>7.5700000000000003E-2</v>
      </c>
      <c r="H10058" s="2">
        <v>6.7299999999999999E-2</v>
      </c>
      <c r="I10058" s="2">
        <v>5.8099999999999999E-2</v>
      </c>
      <c r="J10058" s="2">
        <v>5.79E-2</v>
      </c>
      <c r="K10058" s="2">
        <v>4.7600000000000003E-2</v>
      </c>
      <c r="L10058" s="2">
        <v>4.0399999999999998E-2</v>
      </c>
      <c r="M10058" s="2">
        <v>3.73E-2</v>
      </c>
      <c r="N10058" s="2">
        <v>3.3700000000000001E-2</v>
      </c>
      <c r="O10058" s="2">
        <v>2.92E-2</v>
      </c>
      <c r="P10058" s="2">
        <v>2.6599999999999999E-2</v>
      </c>
      <c r="Q10058" s="2">
        <v>2.06E-2</v>
      </c>
      <c r="R10058" s="2">
        <v>1.9199999999999998E-2</v>
      </c>
      <c r="S10058" s="2">
        <v>1.6299999999999999E-2</v>
      </c>
      <c r="T10058" s="2">
        <v>1.47E-2</v>
      </c>
      <c r="U10058" s="2">
        <v>8.0000000000000002E-3</v>
      </c>
      <c r="V10058" s="2">
        <v>7.9000000000000008E-3</v>
      </c>
      <c r="W10058" s="2">
        <v>7.3000000000000001E-3</v>
      </c>
      <c r="X10058" s="2">
        <v>5.4999999999999997E-3</v>
      </c>
      <c r="Y10058">
        <v>1537</v>
      </c>
    </row>
    <row r="10060" spans="1:25" x14ac:dyDescent="0.35">
      <c r="A10060" s="1" t="s">
        <v>2342</v>
      </c>
    </row>
    <row r="10061" spans="1:25" x14ac:dyDescent="0.35">
      <c r="A10061" t="s">
        <v>219</v>
      </c>
      <c r="B10061" t="s">
        <v>301</v>
      </c>
      <c r="C10061" t="s">
        <v>2310</v>
      </c>
      <c r="D10061" t="s">
        <v>2311</v>
      </c>
      <c r="E10061" t="s">
        <v>2312</v>
      </c>
      <c r="F10061" t="s">
        <v>2313</v>
      </c>
      <c r="G10061" t="s">
        <v>2314</v>
      </c>
      <c r="H10061" t="s">
        <v>2315</v>
      </c>
      <c r="I10061" t="s">
        <v>2316</v>
      </c>
      <c r="J10061" t="s">
        <v>2317</v>
      </c>
      <c r="K10061" t="s">
        <v>2318</v>
      </c>
      <c r="L10061" t="s">
        <v>2319</v>
      </c>
      <c r="M10061" t="s">
        <v>2320</v>
      </c>
      <c r="N10061" t="s">
        <v>2321</v>
      </c>
      <c r="O10061" t="s">
        <v>2322</v>
      </c>
      <c r="P10061" t="s">
        <v>2323</v>
      </c>
      <c r="Q10061" t="s">
        <v>2324</v>
      </c>
      <c r="R10061" t="s">
        <v>2325</v>
      </c>
      <c r="S10061" t="s">
        <v>2326</v>
      </c>
      <c r="T10061" t="s">
        <v>2327</v>
      </c>
      <c r="U10061" t="s">
        <v>318</v>
      </c>
      <c r="V10061" t="s">
        <v>2328</v>
      </c>
      <c r="W10061" t="s">
        <v>2329</v>
      </c>
      <c r="X10061" t="s">
        <v>2330</v>
      </c>
      <c r="Y10061" t="s">
        <v>226</v>
      </c>
    </row>
    <row r="10062" spans="1:25" x14ac:dyDescent="0.35">
      <c r="A10062" t="s">
        <v>227</v>
      </c>
      <c r="B10062" t="s">
        <v>1335</v>
      </c>
      <c r="C10062" s="2">
        <v>0.50609999999999999</v>
      </c>
      <c r="D10062" s="2">
        <v>0.1983</v>
      </c>
      <c r="E10062" s="2">
        <v>0.185</v>
      </c>
      <c r="F10062" s="2">
        <v>0.2155</v>
      </c>
      <c r="G10062" s="2">
        <v>0.11650000000000001</v>
      </c>
      <c r="H10062" s="2">
        <v>5.0500000000000003E-2</v>
      </c>
      <c r="I10062" s="2">
        <v>0.03</v>
      </c>
      <c r="J10062" s="2">
        <v>3.4700000000000002E-2</v>
      </c>
      <c r="K10062" s="2">
        <v>2.9399999999999999E-2</v>
      </c>
      <c r="L10062" s="2">
        <v>2.6100000000000002E-2</v>
      </c>
      <c r="M10062" s="2">
        <v>2.64E-2</v>
      </c>
      <c r="N10062" s="2">
        <v>6.2899999999999998E-2</v>
      </c>
      <c r="O10062" s="2">
        <v>3.3399999999999999E-2</v>
      </c>
      <c r="P10062" s="2">
        <v>1.7999999999999999E-2</v>
      </c>
      <c r="Q10062" s="2">
        <v>2.4299999999999999E-2</v>
      </c>
      <c r="R10062" s="2">
        <v>6.7999999999999996E-3</v>
      </c>
      <c r="S10062" s="2">
        <v>1.5900000000000001E-2</v>
      </c>
      <c r="T10062" s="2">
        <v>7.9000000000000008E-3</v>
      </c>
      <c r="V10062" s="2">
        <v>1.38E-2</v>
      </c>
      <c r="W10062" s="2">
        <v>1.32E-2</v>
      </c>
      <c r="X10062" s="2">
        <v>9.1000000000000004E-3</v>
      </c>
      <c r="Y10062">
        <v>419</v>
      </c>
    </row>
    <row r="10063" spans="1:25" x14ac:dyDescent="0.35">
      <c r="A10063" s="3" t="s">
        <v>227</v>
      </c>
      <c r="B10063" s="3" t="s">
        <v>1336</v>
      </c>
      <c r="C10063" s="4">
        <v>1</v>
      </c>
      <c r="D10063" s="4">
        <v>1</v>
      </c>
      <c r="E10063" s="5"/>
      <c r="F10063" s="5"/>
      <c r="G10063" s="5"/>
      <c r="H10063" s="5"/>
      <c r="I10063" s="5"/>
      <c r="J10063" s="5"/>
      <c r="K10063" s="5"/>
      <c r="L10063" s="5"/>
      <c r="M10063" s="4">
        <v>1</v>
      </c>
      <c r="N10063" s="5"/>
      <c r="O10063" s="5"/>
      <c r="P10063" s="5"/>
      <c r="Q10063" s="5"/>
      <c r="R10063" s="5"/>
      <c r="S10063" s="5"/>
      <c r="T10063" s="5"/>
      <c r="U10063" s="5"/>
      <c r="V10063" s="5"/>
      <c r="W10063" s="5"/>
      <c r="X10063" s="5"/>
      <c r="Y10063" s="5" t="s">
        <v>323</v>
      </c>
    </row>
    <row r="10064" spans="1:25" x14ac:dyDescent="0.35">
      <c r="A10064" t="s">
        <v>227</v>
      </c>
      <c r="B10064" t="s">
        <v>1337</v>
      </c>
      <c r="C10064" s="2">
        <v>0.5877</v>
      </c>
      <c r="D10064" s="2">
        <v>0.27639999999999998</v>
      </c>
      <c r="E10064" s="2">
        <v>0.26619999999999999</v>
      </c>
      <c r="F10064" s="2">
        <v>0.1472</v>
      </c>
      <c r="G10064" s="2">
        <v>5.9799999999999999E-2</v>
      </c>
      <c r="H10064" s="2">
        <v>7.4099999999999999E-2</v>
      </c>
      <c r="I10064" s="2">
        <v>6.9400000000000003E-2</v>
      </c>
      <c r="J10064" s="2">
        <v>6.7199999999999996E-2</v>
      </c>
      <c r="K10064" s="2">
        <v>5.4899999999999997E-2</v>
      </c>
      <c r="L10064" s="2">
        <v>4.6100000000000002E-2</v>
      </c>
      <c r="M10064" s="2">
        <v>3.9E-2</v>
      </c>
      <c r="N10064" s="2">
        <v>2.2200000000000001E-2</v>
      </c>
      <c r="O10064" s="2">
        <v>2.76E-2</v>
      </c>
      <c r="P10064" s="2">
        <v>3.0200000000000001E-2</v>
      </c>
      <c r="Q10064" s="2">
        <v>1.9199999999999998E-2</v>
      </c>
      <c r="R10064" s="2">
        <v>2.41E-2</v>
      </c>
      <c r="S10064" s="2">
        <v>1.6500000000000001E-2</v>
      </c>
      <c r="T10064" s="2">
        <v>1.7399999999999999E-2</v>
      </c>
      <c r="U10064" s="2">
        <v>1.12E-2</v>
      </c>
      <c r="V10064" s="2">
        <v>5.5999999999999999E-3</v>
      </c>
      <c r="W10064" s="2">
        <v>5.0000000000000001E-3</v>
      </c>
      <c r="X10064" s="2">
        <v>4.0000000000000001E-3</v>
      </c>
      <c r="Y10064">
        <v>1117</v>
      </c>
    </row>
    <row r="10065" spans="1:26" x14ac:dyDescent="0.35">
      <c r="A10065" t="s">
        <v>228</v>
      </c>
      <c r="B10065" t="s">
        <v>228</v>
      </c>
      <c r="C10065" s="2">
        <v>0.56540000000000001</v>
      </c>
      <c r="D10065" s="2">
        <v>0.25569999999999998</v>
      </c>
      <c r="E10065" s="2">
        <v>0.24279999999999999</v>
      </c>
      <c r="F10065" s="2">
        <v>0.16619999999999999</v>
      </c>
      <c r="G10065" s="2">
        <v>7.5700000000000003E-2</v>
      </c>
      <c r="H10065" s="2">
        <v>6.7299999999999999E-2</v>
      </c>
      <c r="I10065" s="2">
        <v>5.8099999999999999E-2</v>
      </c>
      <c r="J10065" s="2">
        <v>5.79E-2</v>
      </c>
      <c r="K10065" s="2">
        <v>4.7600000000000003E-2</v>
      </c>
      <c r="L10065" s="2">
        <v>4.0399999999999998E-2</v>
      </c>
      <c r="M10065" s="2">
        <v>3.73E-2</v>
      </c>
      <c r="N10065" s="2">
        <v>3.3700000000000001E-2</v>
      </c>
      <c r="O10065" s="2">
        <v>2.92E-2</v>
      </c>
      <c r="P10065" s="2">
        <v>2.6599999999999999E-2</v>
      </c>
      <c r="Q10065" s="2">
        <v>2.06E-2</v>
      </c>
      <c r="R10065" s="2">
        <v>1.9199999999999998E-2</v>
      </c>
      <c r="S10065" s="2">
        <v>1.6299999999999999E-2</v>
      </c>
      <c r="T10065" s="2">
        <v>1.47E-2</v>
      </c>
      <c r="U10065" s="2">
        <v>8.0000000000000002E-3</v>
      </c>
      <c r="V10065" s="2">
        <v>7.9000000000000008E-3</v>
      </c>
      <c r="W10065" s="2">
        <v>7.3000000000000001E-3</v>
      </c>
      <c r="X10065" s="2">
        <v>5.4999999999999997E-3</v>
      </c>
      <c r="Y10065">
        <v>1537</v>
      </c>
    </row>
    <row r="10067" spans="1:26" x14ac:dyDescent="0.35">
      <c r="A10067" s="1" t="s">
        <v>2343</v>
      </c>
    </row>
    <row r="10068" spans="1:26" x14ac:dyDescent="0.35">
      <c r="A10068" t="s">
        <v>219</v>
      </c>
      <c r="B10068" t="s">
        <v>301</v>
      </c>
      <c r="C10068" t="s">
        <v>2310</v>
      </c>
      <c r="D10068" t="s">
        <v>2311</v>
      </c>
      <c r="E10068" t="s">
        <v>2312</v>
      </c>
      <c r="F10068" t="s">
        <v>2313</v>
      </c>
      <c r="G10068" t="s">
        <v>2314</v>
      </c>
      <c r="H10068" t="s">
        <v>2315</v>
      </c>
      <c r="I10068" t="s">
        <v>2316</v>
      </c>
      <c r="J10068" t="s">
        <v>2317</v>
      </c>
      <c r="K10068" t="s">
        <v>2318</v>
      </c>
      <c r="L10068" t="s">
        <v>2319</v>
      </c>
      <c r="M10068" t="s">
        <v>2320</v>
      </c>
      <c r="N10068" t="s">
        <v>2321</v>
      </c>
      <c r="O10068" t="s">
        <v>2322</v>
      </c>
      <c r="P10068" t="s">
        <v>2323</v>
      </c>
      <c r="Q10068" t="s">
        <v>2324</v>
      </c>
      <c r="R10068" t="s">
        <v>2325</v>
      </c>
      <c r="S10068" t="s">
        <v>2326</v>
      </c>
      <c r="T10068" t="s">
        <v>2327</v>
      </c>
      <c r="U10068" t="s">
        <v>318</v>
      </c>
      <c r="V10068" t="s">
        <v>2328</v>
      </c>
      <c r="W10068" t="s">
        <v>2329</v>
      </c>
      <c r="X10068" t="s">
        <v>2330</v>
      </c>
      <c r="Y10068" t="s">
        <v>226</v>
      </c>
    </row>
    <row r="10069" spans="1:26" x14ac:dyDescent="0.35">
      <c r="A10069" s="3" t="s">
        <v>227</v>
      </c>
      <c r="B10069" s="3" t="s">
        <v>1339</v>
      </c>
      <c r="C10069" s="4">
        <v>0.34689999999999999</v>
      </c>
      <c r="D10069" s="4">
        <v>0.23730000000000001</v>
      </c>
      <c r="E10069" s="4">
        <v>0.2051</v>
      </c>
      <c r="F10069" s="4">
        <v>0.30120000000000002</v>
      </c>
      <c r="G10069" s="4">
        <v>8.4500000000000006E-2</v>
      </c>
      <c r="H10069" s="4">
        <v>5.11E-2</v>
      </c>
      <c r="I10069" s="4">
        <v>0.1275</v>
      </c>
      <c r="J10069" s="5"/>
      <c r="K10069" s="5"/>
      <c r="L10069" s="4">
        <v>6.8500000000000005E-2</v>
      </c>
      <c r="M10069" s="4">
        <v>0.23910000000000001</v>
      </c>
      <c r="N10069" s="5"/>
      <c r="O10069" s="5"/>
      <c r="P10069" s="4">
        <v>2.24E-2</v>
      </c>
      <c r="Q10069" s="4">
        <v>4.7999999999999996E-3</v>
      </c>
      <c r="R10069" s="5"/>
      <c r="S10069" s="4">
        <v>2.24E-2</v>
      </c>
      <c r="T10069" s="5"/>
      <c r="U10069" s="5"/>
      <c r="V10069" s="5"/>
      <c r="W10069" s="5"/>
      <c r="X10069" s="5"/>
      <c r="Y10069" s="5" t="s">
        <v>422</v>
      </c>
    </row>
    <row r="10070" spans="1:26" x14ac:dyDescent="0.35">
      <c r="A10070" t="s">
        <v>227</v>
      </c>
      <c r="B10070" t="s">
        <v>1340</v>
      </c>
      <c r="C10070" s="2">
        <v>0.4612</v>
      </c>
      <c r="D10070" s="2">
        <v>0.27529999999999999</v>
      </c>
      <c r="E10070" s="2">
        <v>0.19650000000000001</v>
      </c>
      <c r="F10070" s="2">
        <v>0.1779</v>
      </c>
      <c r="G10070" s="2">
        <v>0.1084</v>
      </c>
      <c r="H10070" s="2">
        <v>6.6600000000000006E-2</v>
      </c>
      <c r="I10070" s="2">
        <v>6.2E-2</v>
      </c>
      <c r="J10070" s="2">
        <v>6.6400000000000001E-2</v>
      </c>
      <c r="K10070" s="2">
        <v>3.5900000000000001E-2</v>
      </c>
      <c r="L10070" s="2">
        <v>5.4899999999999997E-2</v>
      </c>
      <c r="M10070" s="2">
        <v>5.0099999999999999E-2</v>
      </c>
      <c r="N10070" s="2">
        <v>5.0099999999999999E-2</v>
      </c>
      <c r="O10070" s="2">
        <v>1.38E-2</v>
      </c>
      <c r="P10070" s="2">
        <v>6.0199999999999997E-2</v>
      </c>
      <c r="Q10070" s="2">
        <v>3.3099999999999997E-2</v>
      </c>
      <c r="R10070" s="2">
        <v>1.83E-2</v>
      </c>
      <c r="S10070" s="2">
        <v>4.53E-2</v>
      </c>
      <c r="T10070" s="2">
        <v>1.2200000000000001E-2</v>
      </c>
      <c r="U10070" s="2">
        <v>6.7000000000000002E-3</v>
      </c>
      <c r="V10070" s="2">
        <v>1.6799999999999999E-2</v>
      </c>
      <c r="W10070" s="2">
        <v>3.2000000000000002E-3</v>
      </c>
      <c r="X10070" s="2">
        <v>7.3000000000000001E-3</v>
      </c>
      <c r="Y10070">
        <v>350</v>
      </c>
    </row>
    <row r="10071" spans="1:26" x14ac:dyDescent="0.35">
      <c r="A10071" t="s">
        <v>227</v>
      </c>
      <c r="B10071" t="s">
        <v>1341</v>
      </c>
      <c r="C10071" s="2">
        <v>0.59750000000000003</v>
      </c>
      <c r="D10071" s="2">
        <v>0.21759999999999999</v>
      </c>
      <c r="E10071" s="2">
        <v>0.25869999999999999</v>
      </c>
      <c r="F10071" s="2">
        <v>0.1719</v>
      </c>
      <c r="G10071" s="2">
        <v>8.9499999999999996E-2</v>
      </c>
      <c r="H10071" s="2">
        <v>6.5299999999999997E-2</v>
      </c>
      <c r="I10071" s="2">
        <v>0.05</v>
      </c>
      <c r="J10071" s="2">
        <v>4.9099999999999998E-2</v>
      </c>
      <c r="K10071" s="2">
        <v>5.1799999999999999E-2</v>
      </c>
      <c r="L10071" s="2">
        <v>4.1099999999999998E-2</v>
      </c>
      <c r="M10071" s="2">
        <v>0.04</v>
      </c>
      <c r="N10071" s="2">
        <v>3.7600000000000001E-2</v>
      </c>
      <c r="O10071" s="2">
        <v>2.35E-2</v>
      </c>
      <c r="P10071" s="2">
        <v>2.5000000000000001E-2</v>
      </c>
      <c r="Q10071" s="2">
        <v>2.4899999999999999E-2</v>
      </c>
      <c r="R10071" s="2">
        <v>1.5699999999999999E-2</v>
      </c>
      <c r="S10071" s="2">
        <v>1.0699999999999999E-2</v>
      </c>
      <c r="T10071" s="2">
        <v>1.0999999999999999E-2</v>
      </c>
      <c r="U10071" s="2">
        <v>8.8999999999999999E-3</v>
      </c>
      <c r="V10071" s="2">
        <v>8.2000000000000007E-3</v>
      </c>
      <c r="W10071" s="2">
        <v>3.3999999999999998E-3</v>
      </c>
      <c r="X10071" s="2">
        <v>3.3E-3</v>
      </c>
      <c r="Y10071">
        <v>751</v>
      </c>
    </row>
    <row r="10072" spans="1:26" x14ac:dyDescent="0.35">
      <c r="A10072" t="s">
        <v>227</v>
      </c>
      <c r="B10072" t="s">
        <v>1342</v>
      </c>
      <c r="C10072" s="2">
        <v>0.60770000000000002</v>
      </c>
      <c r="D10072" s="2">
        <v>0.32040000000000002</v>
      </c>
      <c r="E10072" s="2">
        <v>0.253</v>
      </c>
      <c r="F10072" s="2">
        <v>0.1326</v>
      </c>
      <c r="G10072" s="2">
        <v>1.72E-2</v>
      </c>
      <c r="H10072" s="2">
        <v>7.3300000000000004E-2</v>
      </c>
      <c r="I10072" s="2">
        <v>6.59E-2</v>
      </c>
      <c r="J10072" s="2">
        <v>7.3800000000000004E-2</v>
      </c>
      <c r="K10072" s="2">
        <v>5.2999999999999999E-2</v>
      </c>
      <c r="L10072" s="2">
        <v>2.3699999999999999E-2</v>
      </c>
      <c r="M10072" s="2">
        <v>3.3999999999999998E-3</v>
      </c>
      <c r="N10072" s="2">
        <v>1.37E-2</v>
      </c>
      <c r="O10072" s="2">
        <v>5.7200000000000001E-2</v>
      </c>
      <c r="P10072" s="2">
        <v>8.9999999999999998E-4</v>
      </c>
      <c r="Q10072" s="2">
        <v>2E-3</v>
      </c>
      <c r="R10072" s="2">
        <v>2.8899999999999999E-2</v>
      </c>
      <c r="S10072" s="2">
        <v>2E-3</v>
      </c>
      <c r="T10072" s="2">
        <v>2.5700000000000001E-2</v>
      </c>
      <c r="U10072" s="2">
        <v>8.0000000000000002E-3</v>
      </c>
      <c r="W10072" s="2">
        <v>1.9800000000000002E-2</v>
      </c>
      <c r="X10072" s="2">
        <v>8.8999999999999999E-3</v>
      </c>
      <c r="Y10072">
        <v>419</v>
      </c>
    </row>
    <row r="10073" spans="1:26" x14ac:dyDescent="0.35">
      <c r="A10073" t="s">
        <v>228</v>
      </c>
      <c r="B10073" t="s">
        <v>228</v>
      </c>
      <c r="C10073" s="2">
        <v>0.56540000000000001</v>
      </c>
      <c r="D10073" s="2">
        <v>0.25569999999999998</v>
      </c>
      <c r="E10073" s="2">
        <v>0.24279999999999999</v>
      </c>
      <c r="F10073" s="2">
        <v>0.16619999999999999</v>
      </c>
      <c r="G10073" s="2">
        <v>7.5700000000000003E-2</v>
      </c>
      <c r="H10073" s="2">
        <v>6.7299999999999999E-2</v>
      </c>
      <c r="I10073" s="2">
        <v>5.8099999999999999E-2</v>
      </c>
      <c r="J10073" s="2">
        <v>5.79E-2</v>
      </c>
      <c r="K10073" s="2">
        <v>4.7600000000000003E-2</v>
      </c>
      <c r="L10073" s="2">
        <v>4.0399999999999998E-2</v>
      </c>
      <c r="M10073" s="2">
        <v>3.73E-2</v>
      </c>
      <c r="N10073" s="2">
        <v>3.3700000000000001E-2</v>
      </c>
      <c r="O10073" s="2">
        <v>2.92E-2</v>
      </c>
      <c r="P10073" s="2">
        <v>2.6599999999999999E-2</v>
      </c>
      <c r="Q10073" s="2">
        <v>2.06E-2</v>
      </c>
      <c r="R10073" s="2">
        <v>1.9199999999999998E-2</v>
      </c>
      <c r="S10073" s="2">
        <v>1.6299999999999999E-2</v>
      </c>
      <c r="T10073" s="2">
        <v>1.47E-2</v>
      </c>
      <c r="U10073" s="2">
        <v>8.0000000000000002E-3</v>
      </c>
      <c r="V10073" s="2">
        <v>7.9000000000000008E-3</v>
      </c>
      <c r="W10073" s="2">
        <v>7.3000000000000001E-3</v>
      </c>
      <c r="X10073" s="2">
        <v>5.4999999999999997E-3</v>
      </c>
      <c r="Y10073">
        <v>1537</v>
      </c>
    </row>
    <row r="10075" spans="1:26" x14ac:dyDescent="0.35">
      <c r="A10075" s="1" t="s">
        <v>2344</v>
      </c>
    </row>
    <row r="10076" spans="1:26" x14ac:dyDescent="0.35">
      <c r="A10076" t="s">
        <v>219</v>
      </c>
      <c r="B10076" t="s">
        <v>301</v>
      </c>
      <c r="C10076" t="s">
        <v>325</v>
      </c>
      <c r="D10076" t="s">
        <v>2310</v>
      </c>
      <c r="E10076" t="s">
        <v>2311</v>
      </c>
      <c r="F10076" t="s">
        <v>2312</v>
      </c>
      <c r="G10076" t="s">
        <v>2313</v>
      </c>
      <c r="H10076" t="s">
        <v>2314</v>
      </c>
      <c r="I10076" t="s">
        <v>2315</v>
      </c>
      <c r="J10076" t="s">
        <v>2316</v>
      </c>
      <c r="K10076" t="s">
        <v>2317</v>
      </c>
      <c r="L10076" t="s">
        <v>2318</v>
      </c>
      <c r="M10076" t="s">
        <v>2319</v>
      </c>
      <c r="N10076" t="s">
        <v>2320</v>
      </c>
      <c r="O10076" t="s">
        <v>2321</v>
      </c>
      <c r="P10076" t="s">
        <v>2322</v>
      </c>
      <c r="Q10076" t="s">
        <v>2323</v>
      </c>
      <c r="R10076" t="s">
        <v>2324</v>
      </c>
      <c r="S10076" t="s">
        <v>2325</v>
      </c>
      <c r="T10076" t="s">
        <v>2326</v>
      </c>
      <c r="U10076" t="s">
        <v>2327</v>
      </c>
      <c r="V10076" t="s">
        <v>318</v>
      </c>
      <c r="W10076" t="s">
        <v>2328</v>
      </c>
      <c r="X10076" t="s">
        <v>2329</v>
      </c>
      <c r="Y10076" t="s">
        <v>2330</v>
      </c>
      <c r="Z10076" t="s">
        <v>226</v>
      </c>
    </row>
    <row r="10077" spans="1:26" x14ac:dyDescent="0.35">
      <c r="A10077" s="3" t="s">
        <v>227</v>
      </c>
      <c r="B10077" s="3" t="s">
        <v>1335</v>
      </c>
      <c r="C10077" s="3" t="s">
        <v>1339</v>
      </c>
      <c r="D10077" s="4">
        <v>0.60029999999999994</v>
      </c>
      <c r="E10077" s="4">
        <v>4.0500000000000001E-2</v>
      </c>
      <c r="F10077" s="5"/>
      <c r="G10077" s="5"/>
      <c r="H10077" s="4">
        <v>0.43159999999999998</v>
      </c>
      <c r="I10077" s="4">
        <v>0.26090000000000002</v>
      </c>
      <c r="J10077" s="5"/>
      <c r="K10077" s="5"/>
      <c r="L10077" s="5"/>
      <c r="M10077" s="5"/>
      <c r="N10077" s="4">
        <v>0.37540000000000001</v>
      </c>
      <c r="O10077" s="5"/>
      <c r="P10077" s="5"/>
      <c r="Q10077" s="4">
        <v>0.1145</v>
      </c>
      <c r="R10077" s="4">
        <v>2.4299999999999999E-2</v>
      </c>
      <c r="S10077" s="5"/>
      <c r="T10077" s="4">
        <v>0.1145</v>
      </c>
      <c r="U10077" s="5"/>
      <c r="V10077" s="5"/>
      <c r="W10077" s="5"/>
      <c r="X10077" s="5"/>
      <c r="Y10077" s="5"/>
      <c r="Z10077" s="5" t="s">
        <v>366</v>
      </c>
    </row>
    <row r="10078" spans="1:26" x14ac:dyDescent="0.35">
      <c r="A10078" t="s">
        <v>227</v>
      </c>
      <c r="B10078" t="s">
        <v>1335</v>
      </c>
      <c r="C10078" t="s">
        <v>1340</v>
      </c>
      <c r="D10078" s="2">
        <v>0.34200000000000003</v>
      </c>
      <c r="E10078" s="2">
        <v>0.13170000000000001</v>
      </c>
      <c r="F10078" s="2">
        <v>0.16309999999999999</v>
      </c>
      <c r="G10078" s="2">
        <v>0.37169999999999997</v>
      </c>
      <c r="H10078" s="2">
        <v>0.1278</v>
      </c>
      <c r="I10078" s="2">
        <v>7.3800000000000004E-2</v>
      </c>
      <c r="J10078" s="2">
        <v>3.4799999999999998E-2</v>
      </c>
      <c r="K10078" s="2">
        <v>2.5899999999999999E-2</v>
      </c>
      <c r="L10078" s="2">
        <v>1.8100000000000002E-2</v>
      </c>
      <c r="M10078" s="2">
        <v>3.8199999999999998E-2</v>
      </c>
      <c r="N10078" s="2">
        <v>1.95E-2</v>
      </c>
      <c r="O10078" s="2">
        <v>7.6600000000000001E-2</v>
      </c>
      <c r="P10078" s="2">
        <v>6.4000000000000003E-3</v>
      </c>
      <c r="Q10078" s="2">
        <v>3.4200000000000001E-2</v>
      </c>
      <c r="R10078" s="2">
        <v>2.4500000000000001E-2</v>
      </c>
      <c r="T10078" s="2">
        <v>1.23E-2</v>
      </c>
      <c r="U10078" s="2">
        <v>2.2100000000000002E-2</v>
      </c>
      <c r="W10078" s="2">
        <v>5.3900000000000003E-2</v>
      </c>
      <c r="X10078" s="2">
        <v>4.8999999999999998E-3</v>
      </c>
      <c r="Y10078" s="2">
        <v>8.8999999999999999E-3</v>
      </c>
      <c r="Z10078">
        <v>111</v>
      </c>
    </row>
    <row r="10079" spans="1:26" x14ac:dyDescent="0.35">
      <c r="A10079" t="s">
        <v>227</v>
      </c>
      <c r="B10079" t="s">
        <v>1335</v>
      </c>
      <c r="C10079" t="s">
        <v>1341</v>
      </c>
      <c r="D10079" s="2">
        <v>0.56850000000000001</v>
      </c>
      <c r="E10079" s="2">
        <v>0.1704</v>
      </c>
      <c r="F10079" s="2">
        <v>0.2109</v>
      </c>
      <c r="G10079" s="2">
        <v>0.18609999999999999</v>
      </c>
      <c r="H10079" s="2">
        <v>0.1429</v>
      </c>
      <c r="I10079" s="2">
        <v>3.6900000000000002E-2</v>
      </c>
      <c r="J10079" s="2">
        <v>3.7400000000000003E-2</v>
      </c>
      <c r="K10079" s="2">
        <v>2.5600000000000001E-2</v>
      </c>
      <c r="L10079" s="2">
        <v>4.4900000000000002E-2</v>
      </c>
      <c r="M10079" s="2">
        <v>3.0300000000000001E-2</v>
      </c>
      <c r="N10079" s="2">
        <v>2.93E-2</v>
      </c>
      <c r="O10079" s="2">
        <v>6.7000000000000004E-2</v>
      </c>
      <c r="P10079" s="2">
        <v>4.2599999999999999E-2</v>
      </c>
      <c r="Q10079" s="2">
        <v>1.47E-2</v>
      </c>
      <c r="R10079" s="2">
        <v>3.2399999999999998E-2</v>
      </c>
      <c r="T10079" s="2">
        <v>2.0199999999999999E-2</v>
      </c>
      <c r="U10079" s="2">
        <v>2.3999999999999998E-3</v>
      </c>
      <c r="W10079" s="2">
        <v>1.6999999999999999E-3</v>
      </c>
      <c r="Y10079" s="2">
        <v>2.9999999999999997E-4</v>
      </c>
      <c r="Z10079">
        <v>224</v>
      </c>
    </row>
    <row r="10080" spans="1:26" x14ac:dyDescent="0.35">
      <c r="A10080" t="s">
        <v>227</v>
      </c>
      <c r="B10080" t="s">
        <v>1335</v>
      </c>
      <c r="C10080" t="s">
        <v>1342</v>
      </c>
      <c r="D10080" s="2">
        <v>0.52049999999999996</v>
      </c>
      <c r="E10080" s="2">
        <v>0.378</v>
      </c>
      <c r="F10080" s="2">
        <v>0.14949999999999999</v>
      </c>
      <c r="G10080" s="2">
        <v>0.1216</v>
      </c>
      <c r="I10080" s="2">
        <v>4.5499999999999999E-2</v>
      </c>
      <c r="J10080" s="2">
        <v>4.1000000000000003E-3</v>
      </c>
      <c r="K10080" s="2">
        <v>7.5899999999999995E-2</v>
      </c>
      <c r="O10080" s="2">
        <v>3.8199999999999998E-2</v>
      </c>
      <c r="P10080" s="2">
        <v>4.2900000000000001E-2</v>
      </c>
      <c r="S10080" s="2">
        <v>3.5999999999999997E-2</v>
      </c>
      <c r="U10080" s="2">
        <v>6.7000000000000002E-3</v>
      </c>
      <c r="X10080" s="2">
        <v>6.4100000000000004E-2</v>
      </c>
      <c r="Y10080" s="2">
        <v>3.5999999999999997E-2</v>
      </c>
      <c r="Z10080">
        <v>77</v>
      </c>
    </row>
    <row r="10081" spans="1:26" x14ac:dyDescent="0.35">
      <c r="A10081" s="3" t="s">
        <v>227</v>
      </c>
      <c r="B10081" s="3" t="s">
        <v>1336</v>
      </c>
      <c r="C10081" s="3" t="s">
        <v>1341</v>
      </c>
      <c r="D10081" s="4">
        <v>1</v>
      </c>
      <c r="E10081" s="4">
        <v>1</v>
      </c>
      <c r="F10081" s="5"/>
      <c r="G10081" s="5"/>
      <c r="H10081" s="5"/>
      <c r="I10081" s="5"/>
      <c r="J10081" s="5"/>
      <c r="K10081" s="5"/>
      <c r="L10081" s="5"/>
      <c r="M10081" s="5"/>
      <c r="N10081" s="4">
        <v>1</v>
      </c>
      <c r="O10081" s="5"/>
      <c r="P10081" s="5"/>
      <c r="Q10081" s="5"/>
      <c r="R10081" s="5"/>
      <c r="S10081" s="5"/>
      <c r="T10081" s="5"/>
      <c r="U10081" s="5"/>
      <c r="V10081" s="5"/>
      <c r="W10081" s="5"/>
      <c r="X10081" s="5"/>
      <c r="Y10081" s="5"/>
      <c r="Z10081" s="5" t="s">
        <v>323</v>
      </c>
    </row>
    <row r="10082" spans="1:26" x14ac:dyDescent="0.35">
      <c r="A10082" s="3" t="s">
        <v>227</v>
      </c>
      <c r="B10082" s="3" t="s">
        <v>1337</v>
      </c>
      <c r="C10082" s="3" t="s">
        <v>1339</v>
      </c>
      <c r="D10082" s="4">
        <v>0.28520000000000001</v>
      </c>
      <c r="E10082" s="4">
        <v>0.28520000000000001</v>
      </c>
      <c r="F10082" s="4">
        <v>0.255</v>
      </c>
      <c r="G10082" s="4">
        <v>0.37459999999999999</v>
      </c>
      <c r="H10082" s="5"/>
      <c r="I10082" s="5"/>
      <c r="J10082" s="4">
        <v>0.15859999999999999</v>
      </c>
      <c r="K10082" s="5"/>
      <c r="L10082" s="5"/>
      <c r="M10082" s="4">
        <v>8.5199999999999998E-2</v>
      </c>
      <c r="N10082" s="4">
        <v>0.2059</v>
      </c>
      <c r="O10082" s="5"/>
      <c r="P10082" s="5"/>
      <c r="Q10082" s="5"/>
      <c r="R10082" s="5"/>
      <c r="S10082" s="5"/>
      <c r="T10082" s="5"/>
      <c r="U10082" s="5"/>
      <c r="V10082" s="5"/>
      <c r="W10082" s="5"/>
      <c r="X10082" s="5"/>
      <c r="Y10082" s="5"/>
      <c r="Z10082" s="5" t="s">
        <v>606</v>
      </c>
    </row>
    <row r="10083" spans="1:26" x14ac:dyDescent="0.35">
      <c r="A10083" t="s">
        <v>227</v>
      </c>
      <c r="B10083" t="s">
        <v>1337</v>
      </c>
      <c r="C10083" t="s">
        <v>1340</v>
      </c>
      <c r="D10083" s="2">
        <v>0.51500000000000001</v>
      </c>
      <c r="E10083" s="2">
        <v>0.34010000000000001</v>
      </c>
      <c r="F10083" s="2">
        <v>0.21160000000000001</v>
      </c>
      <c r="G10083" s="2">
        <v>9.0499999999999997E-2</v>
      </c>
      <c r="H10083" s="2">
        <v>9.9699999999999997E-2</v>
      </c>
      <c r="I10083" s="2">
        <v>6.3299999999999995E-2</v>
      </c>
      <c r="J10083" s="2">
        <v>7.4300000000000005E-2</v>
      </c>
      <c r="K10083" s="2">
        <v>8.4699999999999998E-2</v>
      </c>
      <c r="L10083" s="2">
        <v>4.3999999999999997E-2</v>
      </c>
      <c r="M10083" s="2">
        <v>6.2399999999999997E-2</v>
      </c>
      <c r="N10083" s="2">
        <v>6.3899999999999998E-2</v>
      </c>
      <c r="O10083" s="2">
        <v>3.8199999999999998E-2</v>
      </c>
      <c r="P10083" s="2">
        <v>1.72E-2</v>
      </c>
      <c r="Q10083" s="2">
        <v>7.1999999999999995E-2</v>
      </c>
      <c r="R10083" s="2">
        <v>3.6999999999999998E-2</v>
      </c>
      <c r="S10083" s="2">
        <v>2.6599999999999999E-2</v>
      </c>
      <c r="T10083" s="2">
        <v>6.0199999999999997E-2</v>
      </c>
      <c r="U10083" s="2">
        <v>7.7000000000000002E-3</v>
      </c>
      <c r="V10083" s="2">
        <v>9.7999999999999997E-3</v>
      </c>
      <c r="X10083" s="2">
        <v>2.3999999999999998E-3</v>
      </c>
      <c r="Y10083" s="2">
        <v>6.6E-3</v>
      </c>
      <c r="Z10083">
        <v>239</v>
      </c>
    </row>
    <row r="10084" spans="1:26" x14ac:dyDescent="0.35">
      <c r="A10084" t="s">
        <v>227</v>
      </c>
      <c r="B10084" t="s">
        <v>1337</v>
      </c>
      <c r="C10084" t="s">
        <v>1341</v>
      </c>
      <c r="D10084" s="2">
        <v>0.60819999999999996</v>
      </c>
      <c r="E10084" s="2">
        <v>0.23430000000000001</v>
      </c>
      <c r="F10084" s="2">
        <v>0.28129999999999999</v>
      </c>
      <c r="G10084" s="2">
        <v>0.16650000000000001</v>
      </c>
      <c r="H10084" s="2">
        <v>6.6299999999999998E-2</v>
      </c>
      <c r="I10084" s="2">
        <v>7.8200000000000006E-2</v>
      </c>
      <c r="J10084" s="2">
        <v>5.5899999999999998E-2</v>
      </c>
      <c r="K10084" s="2">
        <v>5.9799999999999999E-2</v>
      </c>
      <c r="L10084" s="2">
        <v>5.5199999999999999E-2</v>
      </c>
      <c r="M10084" s="2">
        <v>4.6100000000000002E-2</v>
      </c>
      <c r="N10084" s="2">
        <v>3.95E-2</v>
      </c>
      <c r="O10084" s="2">
        <v>2.4799999999999999E-2</v>
      </c>
      <c r="P10084" s="2">
        <v>1.5100000000000001E-2</v>
      </c>
      <c r="Q10084" s="2">
        <v>2.9700000000000001E-2</v>
      </c>
      <c r="R10084" s="2">
        <v>2.1700000000000001E-2</v>
      </c>
      <c r="S10084" s="2">
        <v>2.2700000000000001E-2</v>
      </c>
      <c r="T10084" s="2">
        <v>6.4999999999999997E-3</v>
      </c>
      <c r="U10084" s="2">
        <v>1.49E-2</v>
      </c>
      <c r="V10084" s="2">
        <v>1.29E-2</v>
      </c>
      <c r="W10084" s="2">
        <v>1.11E-2</v>
      </c>
      <c r="X10084" s="2">
        <v>5.0000000000000001E-3</v>
      </c>
      <c r="Y10084" s="2">
        <v>4.5999999999999999E-3</v>
      </c>
      <c r="Z10084">
        <v>526</v>
      </c>
    </row>
    <row r="10085" spans="1:26" x14ac:dyDescent="0.35">
      <c r="A10085" t="s">
        <v>227</v>
      </c>
      <c r="B10085" t="s">
        <v>1337</v>
      </c>
      <c r="C10085" t="s">
        <v>1342</v>
      </c>
      <c r="D10085" s="2">
        <v>0.63180000000000003</v>
      </c>
      <c r="E10085" s="2">
        <v>0.30449999999999999</v>
      </c>
      <c r="F10085" s="2">
        <v>0.28149999999999997</v>
      </c>
      <c r="G10085" s="2">
        <v>0.1356</v>
      </c>
      <c r="H10085" s="2">
        <v>2.1999999999999999E-2</v>
      </c>
      <c r="I10085" s="2">
        <v>8.1000000000000003E-2</v>
      </c>
      <c r="J10085" s="2">
        <v>8.2900000000000001E-2</v>
      </c>
      <c r="K10085" s="2">
        <v>7.3200000000000001E-2</v>
      </c>
      <c r="L10085" s="2">
        <v>6.7599999999999993E-2</v>
      </c>
      <c r="M10085" s="2">
        <v>3.0300000000000001E-2</v>
      </c>
      <c r="N10085" s="2">
        <v>4.3E-3</v>
      </c>
      <c r="O10085" s="2">
        <v>6.8999999999999999E-3</v>
      </c>
      <c r="P10085" s="2">
        <v>6.1199999999999997E-2</v>
      </c>
      <c r="Q10085" s="2">
        <v>1.1999999999999999E-3</v>
      </c>
      <c r="R10085" s="2">
        <v>2.5999999999999999E-3</v>
      </c>
      <c r="S10085" s="2">
        <v>2.69E-2</v>
      </c>
      <c r="T10085" s="2">
        <v>2.5999999999999999E-3</v>
      </c>
      <c r="U10085" s="2">
        <v>3.1E-2</v>
      </c>
      <c r="V10085" s="2">
        <v>1.0200000000000001E-2</v>
      </c>
      <c r="X10085" s="2">
        <v>7.6E-3</v>
      </c>
      <c r="Y10085" s="2">
        <v>1.4E-3</v>
      </c>
      <c r="Z10085">
        <v>342</v>
      </c>
    </row>
    <row r="10086" spans="1:26" x14ac:dyDescent="0.35">
      <c r="A10086" t="s">
        <v>228</v>
      </c>
      <c r="B10086" t="s">
        <v>228</v>
      </c>
      <c r="C10086" t="s">
        <v>228</v>
      </c>
      <c r="D10086" s="2">
        <v>0.56540000000000001</v>
      </c>
      <c r="E10086" s="2">
        <v>0.25569999999999998</v>
      </c>
      <c r="F10086" s="2">
        <v>0.24279999999999999</v>
      </c>
      <c r="G10086" s="2">
        <v>0.16619999999999999</v>
      </c>
      <c r="H10086" s="2">
        <v>7.5700000000000003E-2</v>
      </c>
      <c r="I10086" s="2">
        <v>6.7299999999999999E-2</v>
      </c>
      <c r="J10086" s="2">
        <v>5.8099999999999999E-2</v>
      </c>
      <c r="K10086" s="2">
        <v>5.79E-2</v>
      </c>
      <c r="L10086" s="2">
        <v>4.7600000000000003E-2</v>
      </c>
      <c r="M10086" s="2">
        <v>4.0399999999999998E-2</v>
      </c>
      <c r="N10086" s="2">
        <v>3.73E-2</v>
      </c>
      <c r="O10086" s="2">
        <v>3.3700000000000001E-2</v>
      </c>
      <c r="P10086" s="2">
        <v>2.92E-2</v>
      </c>
      <c r="Q10086" s="2">
        <v>2.6599999999999999E-2</v>
      </c>
      <c r="R10086" s="2">
        <v>2.06E-2</v>
      </c>
      <c r="S10086" s="2">
        <v>1.9199999999999998E-2</v>
      </c>
      <c r="T10086" s="2">
        <v>1.6299999999999999E-2</v>
      </c>
      <c r="U10086" s="2">
        <v>1.47E-2</v>
      </c>
      <c r="V10086" s="2">
        <v>8.0000000000000002E-3</v>
      </c>
      <c r="W10086" s="2">
        <v>7.9000000000000008E-3</v>
      </c>
      <c r="X10086" s="2">
        <v>7.3000000000000001E-3</v>
      </c>
      <c r="Y10086" s="2">
        <v>5.4999999999999997E-3</v>
      </c>
      <c r="Z10086">
        <v>1537</v>
      </c>
    </row>
    <row r="10088" spans="1:26" x14ac:dyDescent="0.35">
      <c r="A10088" s="1" t="s">
        <v>2345</v>
      </c>
    </row>
    <row r="10089" spans="1:26" x14ac:dyDescent="0.35">
      <c r="A10089" t="s">
        <v>219</v>
      </c>
      <c r="B10089" t="s">
        <v>2346</v>
      </c>
      <c r="C10089" t="s">
        <v>2347</v>
      </c>
      <c r="D10089" t="s">
        <v>2348</v>
      </c>
      <c r="E10089" t="s">
        <v>2349</v>
      </c>
      <c r="F10089" t="s">
        <v>2350</v>
      </c>
      <c r="G10089" t="s">
        <v>277</v>
      </c>
      <c r="H10089" t="s">
        <v>226</v>
      </c>
    </row>
    <row r="10090" spans="1:26" x14ac:dyDescent="0.35">
      <c r="A10090" t="s">
        <v>227</v>
      </c>
      <c r="B10090" s="2">
        <v>0.79400000000000004</v>
      </c>
      <c r="C10090" s="2">
        <v>0.31730000000000003</v>
      </c>
      <c r="D10090" s="2">
        <v>9.2700000000000005E-2</v>
      </c>
      <c r="E10090" s="2">
        <v>8.4699999999999998E-2</v>
      </c>
      <c r="F10090" s="2">
        <v>3.9399999999999998E-2</v>
      </c>
      <c r="G10090" s="2">
        <v>2.01E-2</v>
      </c>
      <c r="H10090">
        <v>1372</v>
      </c>
    </row>
    <row r="10091" spans="1:26" x14ac:dyDescent="0.35">
      <c r="A10091" t="s">
        <v>228</v>
      </c>
      <c r="B10091" s="2">
        <v>0.79400000000000004</v>
      </c>
      <c r="C10091" s="2">
        <v>0.31730000000000003</v>
      </c>
      <c r="D10091" s="2">
        <v>9.2700000000000005E-2</v>
      </c>
      <c r="E10091" s="2">
        <v>8.4699999999999998E-2</v>
      </c>
      <c r="F10091" s="2">
        <v>3.9399999999999998E-2</v>
      </c>
      <c r="G10091" s="2">
        <v>2.01E-2</v>
      </c>
      <c r="H10091">
        <v>1372</v>
      </c>
    </row>
    <row r="10093" spans="1:26" x14ac:dyDescent="0.35">
      <c r="A10093" s="1" t="s">
        <v>2351</v>
      </c>
    </row>
    <row r="10094" spans="1:26" x14ac:dyDescent="0.35">
      <c r="A10094" t="s">
        <v>219</v>
      </c>
      <c r="B10094" t="s">
        <v>301</v>
      </c>
      <c r="C10094" t="s">
        <v>2346</v>
      </c>
      <c r="D10094" t="s">
        <v>2347</v>
      </c>
      <c r="E10094" t="s">
        <v>2348</v>
      </c>
      <c r="F10094" t="s">
        <v>2349</v>
      </c>
      <c r="G10094" t="s">
        <v>2350</v>
      </c>
      <c r="H10094" t="s">
        <v>277</v>
      </c>
      <c r="I10094" t="s">
        <v>226</v>
      </c>
    </row>
    <row r="10095" spans="1:26" x14ac:dyDescent="0.35">
      <c r="A10095" t="s">
        <v>227</v>
      </c>
      <c r="B10095" t="s">
        <v>238</v>
      </c>
      <c r="C10095" s="2">
        <v>0.80589999999999995</v>
      </c>
      <c r="D10095" s="2">
        <v>0.33760000000000001</v>
      </c>
      <c r="E10095" s="2">
        <v>0.10199999999999999</v>
      </c>
      <c r="F10095" s="2">
        <v>8.5900000000000004E-2</v>
      </c>
      <c r="G10095" s="2">
        <v>3.1099999999999999E-2</v>
      </c>
      <c r="H10095" s="2">
        <v>1.84E-2</v>
      </c>
      <c r="I10095">
        <v>641</v>
      </c>
    </row>
    <row r="10096" spans="1:26" x14ac:dyDescent="0.35">
      <c r="A10096" t="s">
        <v>227</v>
      </c>
      <c r="B10096" t="s">
        <v>237</v>
      </c>
      <c r="C10096" s="2">
        <v>0.78259999999999996</v>
      </c>
      <c r="D10096" s="2">
        <v>0.2979</v>
      </c>
      <c r="E10096" s="2">
        <v>8.3900000000000002E-2</v>
      </c>
      <c r="F10096" s="2">
        <v>8.3500000000000005E-2</v>
      </c>
      <c r="G10096" s="2">
        <v>4.7399999999999998E-2</v>
      </c>
      <c r="H10096" s="2">
        <v>2.1600000000000001E-2</v>
      </c>
      <c r="I10096">
        <v>731</v>
      </c>
    </row>
    <row r="10097" spans="1:9" x14ac:dyDescent="0.35">
      <c r="A10097" t="s">
        <v>228</v>
      </c>
      <c r="B10097" t="s">
        <v>228</v>
      </c>
      <c r="C10097" s="2">
        <v>0.79400000000000004</v>
      </c>
      <c r="D10097" s="2">
        <v>0.31730000000000003</v>
      </c>
      <c r="E10097" s="2">
        <v>9.2700000000000005E-2</v>
      </c>
      <c r="F10097" s="2">
        <v>8.4699999999999998E-2</v>
      </c>
      <c r="G10097" s="2">
        <v>3.9399999999999998E-2</v>
      </c>
      <c r="H10097" s="2">
        <v>2.01E-2</v>
      </c>
      <c r="I10097">
        <v>1372</v>
      </c>
    </row>
    <row r="10099" spans="1:9" x14ac:dyDescent="0.35">
      <c r="A10099" s="1" t="s">
        <v>2352</v>
      </c>
    </row>
    <row r="10100" spans="1:9" x14ac:dyDescent="0.35">
      <c r="A10100" t="s">
        <v>219</v>
      </c>
      <c r="B10100" t="s">
        <v>301</v>
      </c>
      <c r="C10100" t="s">
        <v>2346</v>
      </c>
      <c r="D10100" t="s">
        <v>2347</v>
      </c>
      <c r="E10100" t="s">
        <v>2348</v>
      </c>
      <c r="F10100" t="s">
        <v>2349</v>
      </c>
      <c r="G10100" t="s">
        <v>2350</v>
      </c>
      <c r="H10100" t="s">
        <v>277</v>
      </c>
      <c r="I10100" t="s">
        <v>226</v>
      </c>
    </row>
    <row r="10101" spans="1:9" x14ac:dyDescent="0.35">
      <c r="A10101" t="s">
        <v>227</v>
      </c>
      <c r="B10101" t="s">
        <v>235</v>
      </c>
      <c r="C10101" s="2">
        <v>0.78210000000000002</v>
      </c>
      <c r="D10101" s="2">
        <v>0.3594</v>
      </c>
      <c r="E10101" s="2">
        <v>8.7400000000000005E-2</v>
      </c>
      <c r="F10101" s="2">
        <v>5.5800000000000002E-2</v>
      </c>
      <c r="G10101" s="2">
        <v>4.8500000000000001E-2</v>
      </c>
      <c r="H10101" s="2">
        <v>7.7999999999999996E-3</v>
      </c>
      <c r="I10101">
        <v>534</v>
      </c>
    </row>
    <row r="10102" spans="1:9" x14ac:dyDescent="0.35">
      <c r="A10102" t="s">
        <v>227</v>
      </c>
      <c r="B10102" t="s">
        <v>234</v>
      </c>
      <c r="C10102" s="2">
        <v>0.80020000000000002</v>
      </c>
      <c r="D10102" s="2">
        <v>0.29520000000000002</v>
      </c>
      <c r="E10102" s="2">
        <v>9.5500000000000002E-2</v>
      </c>
      <c r="F10102" s="2">
        <v>9.98E-2</v>
      </c>
      <c r="G10102" s="2">
        <v>3.4700000000000002E-2</v>
      </c>
      <c r="H10102" s="2">
        <v>2.6499999999999999E-2</v>
      </c>
      <c r="I10102">
        <v>838</v>
      </c>
    </row>
    <row r="10103" spans="1:9" x14ac:dyDescent="0.35">
      <c r="A10103" t="s">
        <v>228</v>
      </c>
      <c r="B10103" t="s">
        <v>228</v>
      </c>
      <c r="C10103" s="2">
        <v>0.79400000000000004</v>
      </c>
      <c r="D10103" s="2">
        <v>0.31730000000000003</v>
      </c>
      <c r="E10103" s="2">
        <v>9.2700000000000005E-2</v>
      </c>
      <c r="F10103" s="2">
        <v>8.4699999999999998E-2</v>
      </c>
      <c r="G10103" s="2">
        <v>3.9399999999999998E-2</v>
      </c>
      <c r="H10103" s="2">
        <v>2.01E-2</v>
      </c>
      <c r="I10103">
        <v>1372</v>
      </c>
    </row>
    <row r="10105" spans="1:9" x14ac:dyDescent="0.35">
      <c r="A10105" s="1" t="s">
        <v>2353</v>
      </c>
    </row>
    <row r="10106" spans="1:9" x14ac:dyDescent="0.35">
      <c r="A10106" t="s">
        <v>219</v>
      </c>
      <c r="B10106" t="s">
        <v>301</v>
      </c>
      <c r="C10106" t="s">
        <v>2346</v>
      </c>
      <c r="D10106" t="s">
        <v>2347</v>
      </c>
      <c r="E10106" t="s">
        <v>2348</v>
      </c>
      <c r="F10106" t="s">
        <v>2349</v>
      </c>
      <c r="G10106" t="s">
        <v>2350</v>
      </c>
      <c r="H10106" t="s">
        <v>277</v>
      </c>
      <c r="I10106" t="s">
        <v>226</v>
      </c>
    </row>
    <row r="10107" spans="1:9" x14ac:dyDescent="0.35">
      <c r="A10107" t="s">
        <v>227</v>
      </c>
      <c r="B10107" t="s">
        <v>240</v>
      </c>
      <c r="C10107" s="2">
        <v>0.81659999999999999</v>
      </c>
      <c r="D10107" s="2">
        <v>0.2959</v>
      </c>
      <c r="E10107" s="2">
        <v>8.6800000000000002E-2</v>
      </c>
      <c r="F10107" s="2">
        <v>0.1101</v>
      </c>
      <c r="G10107" s="2">
        <v>4.2099999999999999E-2</v>
      </c>
      <c r="H10107" s="2">
        <v>1.17E-2</v>
      </c>
      <c r="I10107">
        <v>849</v>
      </c>
    </row>
    <row r="10108" spans="1:9" x14ac:dyDescent="0.35">
      <c r="A10108" t="s">
        <v>227</v>
      </c>
      <c r="B10108" t="s">
        <v>241</v>
      </c>
      <c r="C10108" s="2">
        <v>0.77669999999999995</v>
      </c>
      <c r="D10108" s="2">
        <v>0.32300000000000001</v>
      </c>
      <c r="E10108" s="2">
        <v>9.4299999999999995E-2</v>
      </c>
      <c r="F10108" s="2">
        <v>1.9099999999999999E-2</v>
      </c>
      <c r="G10108" s="2">
        <v>1.95E-2</v>
      </c>
      <c r="H10108" s="2">
        <v>3.6499999999999998E-2</v>
      </c>
      <c r="I10108">
        <v>418</v>
      </c>
    </row>
    <row r="10109" spans="1:9" x14ac:dyDescent="0.35">
      <c r="A10109" t="s">
        <v>227</v>
      </c>
      <c r="B10109" t="s">
        <v>242</v>
      </c>
      <c r="C10109" s="2">
        <v>0.68230000000000002</v>
      </c>
      <c r="D10109" s="2">
        <v>0.46100000000000002</v>
      </c>
      <c r="E10109" s="2">
        <v>0.13300000000000001</v>
      </c>
      <c r="F10109" s="2">
        <v>0.12609999999999999</v>
      </c>
      <c r="G10109" s="2">
        <v>9.0999999999999998E-2</v>
      </c>
      <c r="H10109" s="2">
        <v>2.4799999999999999E-2</v>
      </c>
      <c r="I10109">
        <v>105</v>
      </c>
    </row>
    <row r="10110" spans="1:9" x14ac:dyDescent="0.35">
      <c r="A10110" t="s">
        <v>228</v>
      </c>
      <c r="B10110" t="s">
        <v>228</v>
      </c>
      <c r="C10110" s="2">
        <v>0.79400000000000004</v>
      </c>
      <c r="D10110" s="2">
        <v>0.31730000000000003</v>
      </c>
      <c r="E10110" s="2">
        <v>9.2700000000000005E-2</v>
      </c>
      <c r="F10110" s="2">
        <v>8.4699999999999998E-2</v>
      </c>
      <c r="G10110" s="2">
        <v>3.9399999999999998E-2</v>
      </c>
      <c r="H10110" s="2">
        <v>2.01E-2</v>
      </c>
      <c r="I10110">
        <v>1372</v>
      </c>
    </row>
    <row r="10112" spans="1:9" x14ac:dyDescent="0.35">
      <c r="A10112" s="1" t="s">
        <v>2354</v>
      </c>
    </row>
    <row r="10113" spans="1:9" x14ac:dyDescent="0.35">
      <c r="A10113" t="s">
        <v>219</v>
      </c>
      <c r="B10113" t="s">
        <v>301</v>
      </c>
      <c r="C10113" t="s">
        <v>2346</v>
      </c>
      <c r="D10113" t="s">
        <v>2347</v>
      </c>
      <c r="E10113" t="s">
        <v>2348</v>
      </c>
      <c r="F10113" t="s">
        <v>2349</v>
      </c>
      <c r="G10113" t="s">
        <v>2350</v>
      </c>
      <c r="H10113" t="s">
        <v>277</v>
      </c>
      <c r="I10113" t="s">
        <v>226</v>
      </c>
    </row>
    <row r="10114" spans="1:9" x14ac:dyDescent="0.35">
      <c r="A10114" t="s">
        <v>227</v>
      </c>
      <c r="B10114" t="s">
        <v>334</v>
      </c>
      <c r="C10114" s="2">
        <v>0.8075</v>
      </c>
      <c r="D10114" s="2">
        <v>0.36209999999999998</v>
      </c>
      <c r="E10114" s="2">
        <v>6.9500000000000006E-2</v>
      </c>
      <c r="F10114" s="2">
        <v>5.04E-2</v>
      </c>
      <c r="G10114" s="2">
        <v>3.2099999999999997E-2</v>
      </c>
      <c r="H10114" s="2">
        <v>3.5099999999999999E-2</v>
      </c>
      <c r="I10114">
        <v>409</v>
      </c>
    </row>
    <row r="10115" spans="1:9" x14ac:dyDescent="0.35">
      <c r="A10115" t="s">
        <v>227</v>
      </c>
      <c r="B10115" t="s">
        <v>335</v>
      </c>
      <c r="C10115" s="2">
        <v>0.72470000000000001</v>
      </c>
      <c r="D10115" s="2">
        <v>0.28960000000000002</v>
      </c>
      <c r="E10115" s="2">
        <v>0.11700000000000001</v>
      </c>
      <c r="F10115" s="2">
        <v>0.13009999999999999</v>
      </c>
      <c r="G10115" s="2">
        <v>6.4899999999999999E-2</v>
      </c>
      <c r="H10115" s="2">
        <v>9.1000000000000004E-3</v>
      </c>
      <c r="I10115">
        <v>196</v>
      </c>
    </row>
    <row r="10116" spans="1:9" x14ac:dyDescent="0.35">
      <c r="A10116" t="s">
        <v>227</v>
      </c>
      <c r="B10116" t="s">
        <v>336</v>
      </c>
      <c r="C10116" s="2">
        <v>0.76049999999999995</v>
      </c>
      <c r="D10116" s="2">
        <v>0.36509999999999998</v>
      </c>
      <c r="E10116" s="2">
        <v>7.6999999999999999E-2</v>
      </c>
      <c r="F10116" s="2">
        <v>9.9900000000000003E-2</v>
      </c>
      <c r="G10116" s="2">
        <v>3.9899999999999998E-2</v>
      </c>
      <c r="H10116" s="2">
        <v>1.1000000000000001E-3</v>
      </c>
      <c r="I10116">
        <v>351</v>
      </c>
    </row>
    <row r="10117" spans="1:9" x14ac:dyDescent="0.35">
      <c r="A10117" t="s">
        <v>227</v>
      </c>
      <c r="B10117" t="s">
        <v>337</v>
      </c>
      <c r="C10117" s="2">
        <v>0.8478</v>
      </c>
      <c r="D10117" s="2">
        <v>0.2374</v>
      </c>
      <c r="E10117" s="2">
        <v>0.1169</v>
      </c>
      <c r="F10117" s="2">
        <v>9.7000000000000003E-2</v>
      </c>
      <c r="G10117" s="2">
        <v>4.0500000000000001E-2</v>
      </c>
      <c r="H10117" s="2">
        <v>2.53E-2</v>
      </c>
      <c r="I10117">
        <v>276</v>
      </c>
    </row>
    <row r="10118" spans="1:9" x14ac:dyDescent="0.35">
      <c r="A10118" t="s">
        <v>228</v>
      </c>
      <c r="B10118" t="s">
        <v>228</v>
      </c>
      <c r="C10118" s="2">
        <v>0.79400000000000004</v>
      </c>
      <c r="D10118" s="2">
        <v>0.31730000000000003</v>
      </c>
      <c r="E10118" s="2">
        <v>9.2700000000000005E-2</v>
      </c>
      <c r="F10118" s="2">
        <v>8.4699999999999998E-2</v>
      </c>
      <c r="G10118" s="2">
        <v>3.9399999999999998E-2</v>
      </c>
      <c r="H10118" s="2">
        <v>2.01E-2</v>
      </c>
      <c r="I10118">
        <v>1232</v>
      </c>
    </row>
    <row r="10120" spans="1:9" x14ac:dyDescent="0.35">
      <c r="A10120" s="1" t="s">
        <v>2355</v>
      </c>
    </row>
    <row r="10121" spans="1:9" x14ac:dyDescent="0.35">
      <c r="A10121" t="s">
        <v>219</v>
      </c>
      <c r="B10121" t="s">
        <v>301</v>
      </c>
      <c r="C10121" t="s">
        <v>2346</v>
      </c>
      <c r="D10121" t="s">
        <v>2347</v>
      </c>
      <c r="E10121" t="s">
        <v>2348</v>
      </c>
      <c r="F10121" t="s">
        <v>2349</v>
      </c>
      <c r="G10121" t="s">
        <v>2350</v>
      </c>
      <c r="H10121" t="s">
        <v>277</v>
      </c>
      <c r="I10121" t="s">
        <v>226</v>
      </c>
    </row>
    <row r="10122" spans="1:9" x14ac:dyDescent="0.35">
      <c r="A10122" t="s">
        <v>227</v>
      </c>
      <c r="B10122" t="s">
        <v>263</v>
      </c>
      <c r="C10122" s="2">
        <v>0.8014</v>
      </c>
      <c r="D10122" s="2">
        <v>0.31619999999999998</v>
      </c>
      <c r="E10122" s="2">
        <v>7.4800000000000005E-2</v>
      </c>
      <c r="F10122" s="2">
        <v>0.10780000000000001</v>
      </c>
      <c r="G10122" s="2">
        <v>3.2000000000000001E-2</v>
      </c>
      <c r="H10122" s="2">
        <v>2.4199999999999999E-2</v>
      </c>
      <c r="I10122">
        <v>247</v>
      </c>
    </row>
    <row r="10123" spans="1:9" x14ac:dyDescent="0.35">
      <c r="A10123" t="s">
        <v>227</v>
      </c>
      <c r="B10123" t="s">
        <v>262</v>
      </c>
      <c r="C10123" s="2">
        <v>0.79620000000000002</v>
      </c>
      <c r="D10123" s="2">
        <v>0.32479999999999998</v>
      </c>
      <c r="E10123" s="2">
        <v>0.1125</v>
      </c>
      <c r="F10123" s="2">
        <v>7.8399999999999997E-2</v>
      </c>
      <c r="G10123" s="2">
        <v>2.3900000000000001E-2</v>
      </c>
      <c r="H10123" s="2">
        <v>2.1100000000000001E-2</v>
      </c>
      <c r="I10123">
        <v>623</v>
      </c>
    </row>
    <row r="10124" spans="1:9" x14ac:dyDescent="0.35">
      <c r="A10124" t="s">
        <v>227</v>
      </c>
      <c r="B10124" t="s">
        <v>261</v>
      </c>
      <c r="C10124" s="2">
        <v>0.78779999999999994</v>
      </c>
      <c r="D10124" s="2">
        <v>0.30780000000000002</v>
      </c>
      <c r="E10124" s="2">
        <v>8.1600000000000006E-2</v>
      </c>
      <c r="F10124" s="2">
        <v>8.1000000000000003E-2</v>
      </c>
      <c r="G10124" s="2">
        <v>5.8000000000000003E-2</v>
      </c>
      <c r="H10124" s="2">
        <v>1.72E-2</v>
      </c>
      <c r="I10124">
        <v>501</v>
      </c>
    </row>
    <row r="10125" spans="1:9" x14ac:dyDescent="0.35">
      <c r="A10125" s="3" t="s">
        <v>227</v>
      </c>
      <c r="B10125" s="3" t="s">
        <v>232</v>
      </c>
      <c r="C10125" s="4">
        <v>1</v>
      </c>
      <c r="D10125" s="4">
        <v>1</v>
      </c>
      <c r="E10125" s="5"/>
      <c r="F10125" s="5"/>
      <c r="G10125" s="5"/>
      <c r="H10125" s="5"/>
      <c r="I10125" s="5" t="s">
        <v>323</v>
      </c>
    </row>
    <row r="10126" spans="1:9" x14ac:dyDescent="0.35">
      <c r="A10126" t="s">
        <v>228</v>
      </c>
      <c r="B10126" t="s">
        <v>228</v>
      </c>
      <c r="C10126" s="2">
        <v>0.79400000000000004</v>
      </c>
      <c r="D10126" s="2">
        <v>0.31730000000000003</v>
      </c>
      <c r="E10126" s="2">
        <v>9.2700000000000005E-2</v>
      </c>
      <c r="F10126" s="2">
        <v>8.4699999999999998E-2</v>
      </c>
      <c r="G10126" s="2">
        <v>3.9399999999999998E-2</v>
      </c>
      <c r="H10126" s="2">
        <v>2.01E-2</v>
      </c>
      <c r="I10126">
        <v>1372</v>
      </c>
    </row>
    <row r="10128" spans="1:9" x14ac:dyDescent="0.35">
      <c r="A10128" s="1" t="s">
        <v>2356</v>
      </c>
    </row>
    <row r="10129" spans="1:9" x14ac:dyDescent="0.35">
      <c r="A10129" t="s">
        <v>219</v>
      </c>
      <c r="B10129" t="s">
        <v>301</v>
      </c>
      <c r="C10129" t="s">
        <v>2346</v>
      </c>
      <c r="D10129" t="s">
        <v>2347</v>
      </c>
      <c r="E10129" t="s">
        <v>2348</v>
      </c>
      <c r="F10129" t="s">
        <v>2349</v>
      </c>
      <c r="G10129" t="s">
        <v>2350</v>
      </c>
      <c r="H10129" t="s">
        <v>277</v>
      </c>
      <c r="I10129" t="s">
        <v>226</v>
      </c>
    </row>
    <row r="10130" spans="1:9" x14ac:dyDescent="0.35">
      <c r="A10130" t="s">
        <v>227</v>
      </c>
      <c r="B10130" t="s">
        <v>248</v>
      </c>
      <c r="C10130" s="2">
        <v>0.79730000000000001</v>
      </c>
      <c r="D10130" s="2">
        <v>0.33729999999999999</v>
      </c>
      <c r="E10130" s="2">
        <v>9.2799999999999994E-2</v>
      </c>
      <c r="F10130" s="2">
        <v>3.5000000000000003E-2</v>
      </c>
      <c r="G10130" s="2">
        <v>1.4800000000000001E-2</v>
      </c>
      <c r="H10130" s="2">
        <v>1.77E-2</v>
      </c>
      <c r="I10130">
        <v>435</v>
      </c>
    </row>
    <row r="10131" spans="1:9" x14ac:dyDescent="0.35">
      <c r="A10131" t="s">
        <v>227</v>
      </c>
      <c r="B10131" t="s">
        <v>249</v>
      </c>
      <c r="C10131" s="2">
        <v>0.87370000000000003</v>
      </c>
      <c r="D10131" s="2">
        <v>0.29189999999999999</v>
      </c>
      <c r="E10131" s="2">
        <v>8.4199999999999997E-2</v>
      </c>
      <c r="F10131" s="2">
        <v>0.104</v>
      </c>
      <c r="G10131" s="2">
        <v>9.1000000000000004E-3</v>
      </c>
      <c r="H10131" s="2">
        <v>1.7600000000000001E-2</v>
      </c>
      <c r="I10131">
        <v>301</v>
      </c>
    </row>
    <row r="10132" spans="1:9" x14ac:dyDescent="0.35">
      <c r="A10132" t="s">
        <v>227</v>
      </c>
      <c r="B10132" t="s">
        <v>247</v>
      </c>
      <c r="C10132" s="2">
        <v>0.75649999999999995</v>
      </c>
      <c r="D10132" s="2">
        <v>0.316</v>
      </c>
      <c r="E10132" s="2">
        <v>9.6500000000000002E-2</v>
      </c>
      <c r="F10132" s="2">
        <v>0.1071</v>
      </c>
      <c r="G10132" s="2">
        <v>6.83E-2</v>
      </c>
      <c r="H10132" s="2">
        <v>2.2599999999999999E-2</v>
      </c>
      <c r="I10132">
        <v>636</v>
      </c>
    </row>
    <row r="10133" spans="1:9" x14ac:dyDescent="0.35">
      <c r="A10133" t="s">
        <v>228</v>
      </c>
      <c r="B10133" t="s">
        <v>228</v>
      </c>
      <c r="C10133" s="2">
        <v>0.79400000000000004</v>
      </c>
      <c r="D10133" s="2">
        <v>0.31730000000000003</v>
      </c>
      <c r="E10133" s="2">
        <v>9.2700000000000005E-2</v>
      </c>
      <c r="F10133" s="2">
        <v>8.4699999999999998E-2</v>
      </c>
      <c r="G10133" s="2">
        <v>3.9399999999999998E-2</v>
      </c>
      <c r="H10133" s="2">
        <v>2.01E-2</v>
      </c>
      <c r="I10133">
        <v>1372</v>
      </c>
    </row>
    <row r="10135" spans="1:9" x14ac:dyDescent="0.35">
      <c r="A10135" s="1" t="s">
        <v>2357</v>
      </c>
    </row>
    <row r="10136" spans="1:9" x14ac:dyDescent="0.35">
      <c r="A10136" t="s">
        <v>219</v>
      </c>
      <c r="B10136" t="s">
        <v>301</v>
      </c>
      <c r="C10136" t="s">
        <v>2346</v>
      </c>
      <c r="D10136" t="s">
        <v>2347</v>
      </c>
      <c r="E10136" t="s">
        <v>2348</v>
      </c>
      <c r="F10136" t="s">
        <v>2349</v>
      </c>
      <c r="G10136" t="s">
        <v>2350</v>
      </c>
      <c r="H10136" t="s">
        <v>277</v>
      </c>
      <c r="I10136" t="s">
        <v>226</v>
      </c>
    </row>
    <row r="10137" spans="1:9" x14ac:dyDescent="0.35">
      <c r="A10137" t="s">
        <v>227</v>
      </c>
      <c r="B10137" t="s">
        <v>245</v>
      </c>
      <c r="C10137" s="2">
        <v>0.74490000000000001</v>
      </c>
      <c r="D10137" s="2">
        <v>0.34439999999999998</v>
      </c>
      <c r="E10137" s="2">
        <v>0.1101</v>
      </c>
      <c r="F10137" s="2">
        <v>0.1434</v>
      </c>
      <c r="G10137" s="2">
        <v>6.8699999999999997E-2</v>
      </c>
      <c r="H10137" s="2">
        <v>0.02</v>
      </c>
      <c r="I10137">
        <v>399</v>
      </c>
    </row>
    <row r="10138" spans="1:9" x14ac:dyDescent="0.35">
      <c r="A10138" t="s">
        <v>227</v>
      </c>
      <c r="B10138" t="s">
        <v>244</v>
      </c>
      <c r="C10138" s="2">
        <v>0.81530000000000002</v>
      </c>
      <c r="D10138" s="2">
        <v>0.30549999999999999</v>
      </c>
      <c r="E10138" s="2">
        <v>8.5199999999999998E-2</v>
      </c>
      <c r="F10138" s="2">
        <v>5.9200000000000003E-2</v>
      </c>
      <c r="G10138" s="2">
        <v>2.6700000000000002E-2</v>
      </c>
      <c r="H10138" s="2">
        <v>2.01E-2</v>
      </c>
      <c r="I10138">
        <v>973</v>
      </c>
    </row>
    <row r="10139" spans="1:9" x14ac:dyDescent="0.35">
      <c r="A10139" t="s">
        <v>228</v>
      </c>
      <c r="B10139" t="s">
        <v>228</v>
      </c>
      <c r="C10139" s="2">
        <v>0.79400000000000004</v>
      </c>
      <c r="D10139" s="2">
        <v>0.31730000000000003</v>
      </c>
      <c r="E10139" s="2">
        <v>9.2700000000000005E-2</v>
      </c>
      <c r="F10139" s="2">
        <v>8.4699999999999998E-2</v>
      </c>
      <c r="G10139" s="2">
        <v>3.9399999999999998E-2</v>
      </c>
      <c r="H10139" s="2">
        <v>2.01E-2</v>
      </c>
      <c r="I10139">
        <v>1372</v>
      </c>
    </row>
    <row r="10141" spans="1:9" x14ac:dyDescent="0.35">
      <c r="A10141" s="1" t="s">
        <v>2358</v>
      </c>
    </row>
    <row r="10142" spans="1:9" x14ac:dyDescent="0.35">
      <c r="A10142" t="s">
        <v>219</v>
      </c>
      <c r="B10142" t="s">
        <v>301</v>
      </c>
      <c r="C10142" t="s">
        <v>2346</v>
      </c>
      <c r="D10142" t="s">
        <v>2347</v>
      </c>
      <c r="E10142" t="s">
        <v>2348</v>
      </c>
      <c r="F10142" t="s">
        <v>2349</v>
      </c>
      <c r="G10142" t="s">
        <v>2350</v>
      </c>
      <c r="H10142" t="s">
        <v>277</v>
      </c>
      <c r="I10142" t="s">
        <v>226</v>
      </c>
    </row>
    <row r="10143" spans="1:9" x14ac:dyDescent="0.35">
      <c r="A10143" t="s">
        <v>227</v>
      </c>
      <c r="B10143" t="s">
        <v>259</v>
      </c>
      <c r="C10143" s="2">
        <v>0.68840000000000001</v>
      </c>
      <c r="D10143" s="2">
        <v>0.2772</v>
      </c>
      <c r="E10143" s="2">
        <v>0.12920000000000001</v>
      </c>
      <c r="F10143" s="2">
        <v>0.11210000000000001</v>
      </c>
      <c r="G10143" s="2">
        <v>1.89E-2</v>
      </c>
      <c r="I10143">
        <v>42</v>
      </c>
    </row>
    <row r="10144" spans="1:9" x14ac:dyDescent="0.35">
      <c r="A10144" t="s">
        <v>227</v>
      </c>
      <c r="B10144" t="s">
        <v>257</v>
      </c>
      <c r="C10144" s="2">
        <v>0.83630000000000004</v>
      </c>
      <c r="D10144" s="2">
        <v>0.33100000000000002</v>
      </c>
      <c r="E10144" s="2">
        <v>3.78E-2</v>
      </c>
      <c r="F10144" s="2">
        <v>0.1389</v>
      </c>
      <c r="G10144" s="2">
        <v>1.5599999999999999E-2</v>
      </c>
      <c r="H10144" s="2">
        <v>1.5699999999999999E-2</v>
      </c>
      <c r="I10144">
        <v>240</v>
      </c>
    </row>
    <row r="10145" spans="1:9" x14ac:dyDescent="0.35">
      <c r="A10145" t="s">
        <v>227</v>
      </c>
      <c r="B10145" t="s">
        <v>256</v>
      </c>
      <c r="C10145" s="2">
        <v>0.76890000000000003</v>
      </c>
      <c r="D10145" s="2">
        <v>0.31790000000000002</v>
      </c>
      <c r="E10145" s="2">
        <v>9.7900000000000001E-2</v>
      </c>
      <c r="F10145" s="2">
        <v>4.3900000000000002E-2</v>
      </c>
      <c r="G10145" s="2">
        <v>5.33E-2</v>
      </c>
      <c r="H10145" s="2">
        <v>2.5700000000000001E-2</v>
      </c>
      <c r="I10145">
        <v>803</v>
      </c>
    </row>
    <row r="10146" spans="1:9" x14ac:dyDescent="0.35">
      <c r="A10146" s="3" t="s">
        <v>227</v>
      </c>
      <c r="B10146" s="3" t="s">
        <v>232</v>
      </c>
      <c r="C10146" s="4">
        <v>1</v>
      </c>
      <c r="D10146" s="4">
        <v>7.8299999999999995E-2</v>
      </c>
      <c r="E10146" s="4">
        <v>0.1575</v>
      </c>
      <c r="F10146" s="5"/>
      <c r="G10146" s="5"/>
      <c r="H10146" s="5"/>
      <c r="I10146" s="5" t="s">
        <v>366</v>
      </c>
    </row>
    <row r="10147" spans="1:9" x14ac:dyDescent="0.35">
      <c r="A10147" t="s">
        <v>227</v>
      </c>
      <c r="B10147" t="s">
        <v>258</v>
      </c>
      <c r="C10147" s="2">
        <v>0.84530000000000005</v>
      </c>
      <c r="D10147" s="2">
        <v>0.30249999999999999</v>
      </c>
      <c r="E10147" s="2">
        <v>0.15110000000000001</v>
      </c>
      <c r="F10147" s="2">
        <v>0.16969999999999999</v>
      </c>
      <c r="G10147" s="2">
        <v>2.1899999999999999E-2</v>
      </c>
      <c r="H10147" s="2">
        <v>6.1999999999999998E-3</v>
      </c>
      <c r="I10147">
        <v>280</v>
      </c>
    </row>
    <row r="10148" spans="1:9" x14ac:dyDescent="0.35">
      <c r="A10148" t="s">
        <v>228</v>
      </c>
      <c r="B10148" t="s">
        <v>228</v>
      </c>
      <c r="C10148" s="2">
        <v>0.79400000000000004</v>
      </c>
      <c r="D10148" s="2">
        <v>0.31730000000000003</v>
      </c>
      <c r="E10148" s="2">
        <v>9.2700000000000005E-2</v>
      </c>
      <c r="F10148" s="2">
        <v>8.4699999999999998E-2</v>
      </c>
      <c r="G10148" s="2">
        <v>3.9399999999999998E-2</v>
      </c>
      <c r="H10148" s="2">
        <v>2.01E-2</v>
      </c>
      <c r="I10148">
        <v>1372</v>
      </c>
    </row>
    <row r="10150" spans="1:9" x14ac:dyDescent="0.35">
      <c r="A10150" s="1" t="s">
        <v>2359</v>
      </c>
    </row>
    <row r="10151" spans="1:9" x14ac:dyDescent="0.35">
      <c r="A10151" t="s">
        <v>219</v>
      </c>
      <c r="B10151" t="s">
        <v>301</v>
      </c>
      <c r="C10151" t="s">
        <v>2346</v>
      </c>
      <c r="D10151" t="s">
        <v>2347</v>
      </c>
      <c r="E10151" t="s">
        <v>2348</v>
      </c>
      <c r="F10151" t="s">
        <v>2349</v>
      </c>
      <c r="G10151" t="s">
        <v>2350</v>
      </c>
      <c r="H10151" t="s">
        <v>277</v>
      </c>
      <c r="I10151" t="s">
        <v>226</v>
      </c>
    </row>
    <row r="10152" spans="1:9" x14ac:dyDescent="0.35">
      <c r="A10152" t="s">
        <v>227</v>
      </c>
      <c r="B10152" t="s">
        <v>343</v>
      </c>
      <c r="C10152" s="2">
        <v>0.83630000000000004</v>
      </c>
      <c r="D10152" s="2">
        <v>0.33100000000000002</v>
      </c>
      <c r="E10152" s="2">
        <v>3.78E-2</v>
      </c>
      <c r="F10152" s="2">
        <v>0.1389</v>
      </c>
      <c r="G10152" s="2">
        <v>1.5599999999999999E-2</v>
      </c>
      <c r="H10152" s="2">
        <v>1.5699999999999999E-2</v>
      </c>
      <c r="I10152">
        <v>240</v>
      </c>
    </row>
    <row r="10153" spans="1:9" x14ac:dyDescent="0.35">
      <c r="A10153" t="s">
        <v>227</v>
      </c>
      <c r="B10153" t="s">
        <v>344</v>
      </c>
      <c r="C10153" s="2">
        <v>0.78159999999999996</v>
      </c>
      <c r="D10153" s="2">
        <v>0.31319999999999998</v>
      </c>
      <c r="E10153" s="2">
        <v>0.10879999999999999</v>
      </c>
      <c r="F10153" s="2">
        <v>6.8900000000000003E-2</v>
      </c>
      <c r="G10153" s="2">
        <v>4.6399999999999997E-2</v>
      </c>
      <c r="H10153" s="2">
        <v>2.1299999999999999E-2</v>
      </c>
      <c r="I10153">
        <v>1132</v>
      </c>
    </row>
    <row r="10154" spans="1:9" x14ac:dyDescent="0.35">
      <c r="A10154" t="s">
        <v>228</v>
      </c>
      <c r="B10154" t="s">
        <v>228</v>
      </c>
      <c r="C10154" s="2">
        <v>0.79400000000000004</v>
      </c>
      <c r="D10154" s="2">
        <v>0.31730000000000003</v>
      </c>
      <c r="E10154" s="2">
        <v>9.2700000000000005E-2</v>
      </c>
      <c r="F10154" s="2">
        <v>8.4699999999999998E-2</v>
      </c>
      <c r="G10154" s="2">
        <v>3.9399999999999998E-2</v>
      </c>
      <c r="H10154" s="2">
        <v>2.01E-2</v>
      </c>
      <c r="I10154">
        <v>1372</v>
      </c>
    </row>
    <row r="10156" spans="1:9" x14ac:dyDescent="0.35">
      <c r="A10156" s="1" t="s">
        <v>2360</v>
      </c>
    </row>
    <row r="10157" spans="1:9" x14ac:dyDescent="0.35">
      <c r="A10157" t="s">
        <v>219</v>
      </c>
      <c r="B10157" t="s">
        <v>301</v>
      </c>
      <c r="C10157" t="s">
        <v>2346</v>
      </c>
      <c r="D10157" t="s">
        <v>2347</v>
      </c>
      <c r="E10157" t="s">
        <v>2348</v>
      </c>
      <c r="F10157" t="s">
        <v>2349</v>
      </c>
      <c r="G10157" t="s">
        <v>2350</v>
      </c>
      <c r="H10157" t="s">
        <v>277</v>
      </c>
      <c r="I10157" t="s">
        <v>226</v>
      </c>
    </row>
    <row r="10158" spans="1:9" x14ac:dyDescent="0.35">
      <c r="A10158" t="s">
        <v>227</v>
      </c>
      <c r="B10158" t="s">
        <v>346</v>
      </c>
      <c r="C10158" s="2">
        <v>0.7792</v>
      </c>
      <c r="D10158" s="2">
        <v>0.31359999999999999</v>
      </c>
      <c r="E10158" s="2">
        <v>9.1600000000000001E-2</v>
      </c>
      <c r="F10158" s="2">
        <v>8.3699999999999997E-2</v>
      </c>
      <c r="G10158" s="2">
        <v>4.4699999999999997E-2</v>
      </c>
      <c r="H10158" s="2">
        <v>2.1000000000000001E-2</v>
      </c>
      <c r="I10158">
        <v>609</v>
      </c>
    </row>
    <row r="10159" spans="1:9" x14ac:dyDescent="0.35">
      <c r="A10159" t="s">
        <v>227</v>
      </c>
      <c r="B10159" t="s">
        <v>347</v>
      </c>
      <c r="C10159" s="2">
        <v>0.87229999999999996</v>
      </c>
      <c r="D10159" s="2">
        <v>0.3614</v>
      </c>
      <c r="E10159" s="2">
        <v>0.1014</v>
      </c>
      <c r="F10159" s="2">
        <v>8.09E-2</v>
      </c>
      <c r="G10159" s="2">
        <v>1.1999999999999999E-3</v>
      </c>
      <c r="H10159" s="2">
        <v>2.46E-2</v>
      </c>
      <c r="I10159">
        <v>369</v>
      </c>
    </row>
    <row r="10160" spans="1:9" x14ac:dyDescent="0.35">
      <c r="A10160" t="s">
        <v>227</v>
      </c>
      <c r="B10160" t="s">
        <v>348</v>
      </c>
      <c r="C10160" s="2">
        <v>0.86539999999999995</v>
      </c>
      <c r="D10160" s="2">
        <v>0.32250000000000001</v>
      </c>
      <c r="E10160" s="2">
        <v>9.7000000000000003E-2</v>
      </c>
      <c r="F10160" s="2">
        <v>9.35E-2</v>
      </c>
      <c r="G10160" s="2">
        <v>1.9199999999999998E-2</v>
      </c>
      <c r="H10160" s="2">
        <v>1.11E-2</v>
      </c>
      <c r="I10160">
        <v>394</v>
      </c>
    </row>
    <row r="10161" spans="1:9" x14ac:dyDescent="0.35">
      <c r="A10161" t="s">
        <v>228</v>
      </c>
      <c r="B10161" t="s">
        <v>228</v>
      </c>
      <c r="C10161" s="2">
        <v>0.79400000000000004</v>
      </c>
      <c r="D10161" s="2">
        <v>0.31730000000000003</v>
      </c>
      <c r="E10161" s="2">
        <v>9.2700000000000005E-2</v>
      </c>
      <c r="F10161" s="2">
        <v>8.4699999999999998E-2</v>
      </c>
      <c r="G10161" s="2">
        <v>3.9399999999999998E-2</v>
      </c>
      <c r="H10161" s="2">
        <v>2.01E-2</v>
      </c>
      <c r="I10161">
        <v>1372</v>
      </c>
    </row>
    <row r="10163" spans="1:9" x14ac:dyDescent="0.35">
      <c r="A10163" s="1" t="s">
        <v>2361</v>
      </c>
    </row>
    <row r="10164" spans="1:9" x14ac:dyDescent="0.35">
      <c r="A10164" t="s">
        <v>219</v>
      </c>
      <c r="B10164" t="s">
        <v>301</v>
      </c>
      <c r="C10164" t="s">
        <v>2346</v>
      </c>
      <c r="D10164" t="s">
        <v>2347</v>
      </c>
      <c r="E10164" t="s">
        <v>2348</v>
      </c>
      <c r="F10164" t="s">
        <v>2349</v>
      </c>
      <c r="G10164" t="s">
        <v>2350</v>
      </c>
      <c r="H10164" t="s">
        <v>277</v>
      </c>
      <c r="I10164" t="s">
        <v>226</v>
      </c>
    </row>
    <row r="10165" spans="1:9" x14ac:dyDescent="0.35">
      <c r="A10165" t="s">
        <v>227</v>
      </c>
      <c r="B10165" t="s">
        <v>251</v>
      </c>
      <c r="C10165" s="2">
        <v>0.81530000000000002</v>
      </c>
      <c r="D10165" s="2">
        <v>0.30549999999999999</v>
      </c>
      <c r="E10165" s="2">
        <v>8.5199999999999998E-2</v>
      </c>
      <c r="F10165" s="2">
        <v>5.9200000000000003E-2</v>
      </c>
      <c r="G10165" s="2">
        <v>2.6700000000000002E-2</v>
      </c>
      <c r="H10165" s="2">
        <v>2.01E-2</v>
      </c>
      <c r="I10165">
        <v>973</v>
      </c>
    </row>
    <row r="10166" spans="1:9" x14ac:dyDescent="0.35">
      <c r="A10166" t="s">
        <v>227</v>
      </c>
      <c r="B10166" t="s">
        <v>252</v>
      </c>
      <c r="C10166" s="2">
        <v>0.73780000000000001</v>
      </c>
      <c r="D10166" s="2">
        <v>0.31440000000000001</v>
      </c>
      <c r="E10166" s="2">
        <v>0.11070000000000001</v>
      </c>
      <c r="F10166" s="2">
        <v>0.11749999999999999</v>
      </c>
      <c r="G10166" s="2">
        <v>7.8700000000000006E-2</v>
      </c>
      <c r="H10166" s="2">
        <v>2.5100000000000001E-2</v>
      </c>
      <c r="I10166">
        <v>308</v>
      </c>
    </row>
    <row r="10167" spans="1:9" x14ac:dyDescent="0.35">
      <c r="A10167" t="s">
        <v>227</v>
      </c>
      <c r="B10167" t="s">
        <v>253</v>
      </c>
      <c r="C10167" s="2">
        <v>0.76959999999999995</v>
      </c>
      <c r="D10167" s="2">
        <v>0.46550000000000002</v>
      </c>
      <c r="E10167" s="2">
        <v>0.1094</v>
      </c>
      <c r="F10167" s="2">
        <v>0.2495</v>
      </c>
      <c r="G10167" s="2">
        <v>2.9399999999999999E-2</v>
      </c>
      <c r="I10167">
        <v>86</v>
      </c>
    </row>
    <row r="10168" spans="1:9" x14ac:dyDescent="0.35">
      <c r="A10168" s="3" t="s">
        <v>227</v>
      </c>
      <c r="B10168" s="3" t="s">
        <v>254</v>
      </c>
      <c r="C10168" s="4">
        <v>1</v>
      </c>
      <c r="D10168" s="4">
        <v>0.29549999999999998</v>
      </c>
      <c r="E10168" s="5"/>
      <c r="F10168" s="5"/>
      <c r="G10168" s="5"/>
      <c r="H10168" s="5"/>
      <c r="I10168" s="5" t="s">
        <v>327</v>
      </c>
    </row>
    <row r="10169" spans="1:9" x14ac:dyDescent="0.35">
      <c r="A10169" t="s">
        <v>228</v>
      </c>
      <c r="B10169" t="s">
        <v>228</v>
      </c>
      <c r="C10169" s="2">
        <v>0.79400000000000004</v>
      </c>
      <c r="D10169" s="2">
        <v>0.31730000000000003</v>
      </c>
      <c r="E10169" s="2">
        <v>9.2700000000000005E-2</v>
      </c>
      <c r="F10169" s="2">
        <v>8.4699999999999998E-2</v>
      </c>
      <c r="G10169" s="2">
        <v>3.9399999999999998E-2</v>
      </c>
      <c r="H10169" s="2">
        <v>2.01E-2</v>
      </c>
      <c r="I10169">
        <v>1372</v>
      </c>
    </row>
    <row r="10171" spans="1:9" x14ac:dyDescent="0.35">
      <c r="A10171" s="1" t="s">
        <v>2362</v>
      </c>
    </row>
    <row r="10172" spans="1:9" x14ac:dyDescent="0.35">
      <c r="A10172" t="s">
        <v>219</v>
      </c>
      <c r="B10172" t="s">
        <v>301</v>
      </c>
      <c r="C10172" t="s">
        <v>2346</v>
      </c>
      <c r="D10172" t="s">
        <v>2347</v>
      </c>
      <c r="E10172" t="s">
        <v>2348</v>
      </c>
      <c r="F10172" t="s">
        <v>2349</v>
      </c>
      <c r="G10172" t="s">
        <v>2350</v>
      </c>
      <c r="H10172" t="s">
        <v>277</v>
      </c>
      <c r="I10172" t="s">
        <v>226</v>
      </c>
    </row>
    <row r="10173" spans="1:9" x14ac:dyDescent="0.35">
      <c r="A10173" t="s">
        <v>227</v>
      </c>
      <c r="B10173" t="s">
        <v>1335</v>
      </c>
      <c r="C10173" s="2">
        <v>0.80200000000000005</v>
      </c>
      <c r="D10173" s="2">
        <v>0.32119999999999999</v>
      </c>
      <c r="E10173" s="2">
        <v>8.3199999999999996E-2</v>
      </c>
      <c r="F10173" s="2">
        <v>8.0600000000000005E-2</v>
      </c>
      <c r="G10173" s="2">
        <v>4.5499999999999999E-2</v>
      </c>
      <c r="H10173" s="2">
        <v>1.83E-2</v>
      </c>
      <c r="I10173">
        <v>347</v>
      </c>
    </row>
    <row r="10174" spans="1:9" x14ac:dyDescent="0.35">
      <c r="A10174" s="3" t="s">
        <v>227</v>
      </c>
      <c r="B10174" s="3" t="s">
        <v>1336</v>
      </c>
      <c r="C10174" s="5"/>
      <c r="D10174" s="4">
        <v>1</v>
      </c>
      <c r="E10174" s="5"/>
      <c r="F10174" s="5"/>
      <c r="G10174" s="5"/>
      <c r="H10174" s="5"/>
      <c r="I10174" s="5" t="s">
        <v>323</v>
      </c>
    </row>
    <row r="10175" spans="1:9" x14ac:dyDescent="0.35">
      <c r="A10175" t="s">
        <v>227</v>
      </c>
      <c r="B10175" t="s">
        <v>1337</v>
      </c>
      <c r="C10175" s="2">
        <v>0.79349999999999998</v>
      </c>
      <c r="D10175" s="2">
        <v>0.31369999999999998</v>
      </c>
      <c r="E10175" s="2">
        <v>9.6500000000000002E-2</v>
      </c>
      <c r="F10175" s="2">
        <v>8.6499999999999994E-2</v>
      </c>
      <c r="G10175" s="2">
        <v>3.73E-2</v>
      </c>
      <c r="H10175" s="2">
        <v>2.07E-2</v>
      </c>
      <c r="I10175">
        <v>1024</v>
      </c>
    </row>
    <row r="10176" spans="1:9" x14ac:dyDescent="0.35">
      <c r="A10176" t="s">
        <v>228</v>
      </c>
      <c r="B10176" t="s">
        <v>228</v>
      </c>
      <c r="C10176" s="2">
        <v>0.79400000000000004</v>
      </c>
      <c r="D10176" s="2">
        <v>0.31730000000000003</v>
      </c>
      <c r="E10176" s="2">
        <v>9.2700000000000005E-2</v>
      </c>
      <c r="F10176" s="2">
        <v>8.4699999999999998E-2</v>
      </c>
      <c r="G10176" s="2">
        <v>3.9399999999999998E-2</v>
      </c>
      <c r="H10176" s="2">
        <v>2.01E-2</v>
      </c>
      <c r="I10176">
        <v>1372</v>
      </c>
    </row>
    <row r="10178" spans="1:10" x14ac:dyDescent="0.35">
      <c r="A10178" s="1" t="s">
        <v>2363</v>
      </c>
    </row>
    <row r="10179" spans="1:10" x14ac:dyDescent="0.35">
      <c r="A10179" t="s">
        <v>219</v>
      </c>
      <c r="B10179" t="s">
        <v>301</v>
      </c>
      <c r="C10179" t="s">
        <v>2346</v>
      </c>
      <c r="D10179" t="s">
        <v>2347</v>
      </c>
      <c r="E10179" t="s">
        <v>2348</v>
      </c>
      <c r="F10179" t="s">
        <v>2349</v>
      </c>
      <c r="G10179" t="s">
        <v>2350</v>
      </c>
      <c r="H10179" t="s">
        <v>277</v>
      </c>
      <c r="I10179" t="s">
        <v>226</v>
      </c>
    </row>
    <row r="10180" spans="1:10" x14ac:dyDescent="0.35">
      <c r="A10180" s="3" t="s">
        <v>227</v>
      </c>
      <c r="B10180" s="3" t="s">
        <v>1339</v>
      </c>
      <c r="C10180" s="4">
        <v>0.4405</v>
      </c>
      <c r="D10180" s="4">
        <v>0.46589999999999998</v>
      </c>
      <c r="E10180" s="4">
        <v>0.121</v>
      </c>
      <c r="F10180" s="4">
        <v>0.2122</v>
      </c>
      <c r="G10180" s="4">
        <v>0.12330000000000001</v>
      </c>
      <c r="H10180" s="5"/>
      <c r="I10180" s="5" t="s">
        <v>423</v>
      </c>
    </row>
    <row r="10181" spans="1:10" x14ac:dyDescent="0.35">
      <c r="A10181" t="s">
        <v>227</v>
      </c>
      <c r="B10181" t="s">
        <v>1340</v>
      </c>
      <c r="C10181" s="2">
        <v>0.67530000000000001</v>
      </c>
      <c r="D10181" s="2">
        <v>0.37740000000000001</v>
      </c>
      <c r="E10181" s="2">
        <v>8.7099999999999997E-2</v>
      </c>
      <c r="F10181" s="2">
        <v>0.14499999999999999</v>
      </c>
      <c r="G10181" s="2">
        <v>8.5099999999999995E-2</v>
      </c>
      <c r="H10181" s="2">
        <v>1.89E-2</v>
      </c>
      <c r="I10181">
        <v>303</v>
      </c>
    </row>
    <row r="10182" spans="1:10" x14ac:dyDescent="0.35">
      <c r="A10182" t="s">
        <v>227</v>
      </c>
      <c r="B10182" t="s">
        <v>1341</v>
      </c>
      <c r="C10182" s="2">
        <v>0.84640000000000004</v>
      </c>
      <c r="D10182" s="2">
        <v>0.309</v>
      </c>
      <c r="E10182" s="2">
        <v>9.9500000000000005E-2</v>
      </c>
      <c r="F10182" s="2">
        <v>8.09E-2</v>
      </c>
      <c r="G10182" s="2">
        <v>3.2599999999999997E-2</v>
      </c>
      <c r="H10182" s="2">
        <v>1.77E-2</v>
      </c>
      <c r="I10182">
        <v>675</v>
      </c>
    </row>
    <row r="10183" spans="1:10" x14ac:dyDescent="0.35">
      <c r="A10183" t="s">
        <v>227</v>
      </c>
      <c r="B10183" t="s">
        <v>1342</v>
      </c>
      <c r="C10183" s="2">
        <v>0.81230000000000002</v>
      </c>
      <c r="D10183" s="2">
        <v>0.2727</v>
      </c>
      <c r="E10183" s="2">
        <v>8.1900000000000001E-2</v>
      </c>
      <c r="F10183" s="2">
        <v>3.2500000000000001E-2</v>
      </c>
      <c r="G10183" s="2">
        <v>8.6999999999999994E-3</v>
      </c>
      <c r="H10183" s="2">
        <v>2.7199999999999998E-2</v>
      </c>
      <c r="I10183">
        <v>380</v>
      </c>
    </row>
    <row r="10184" spans="1:10" x14ac:dyDescent="0.35">
      <c r="A10184" t="s">
        <v>228</v>
      </c>
      <c r="B10184" t="s">
        <v>228</v>
      </c>
      <c r="C10184" s="2">
        <v>0.79400000000000004</v>
      </c>
      <c r="D10184" s="2">
        <v>0.31730000000000003</v>
      </c>
      <c r="E10184" s="2">
        <v>9.2700000000000005E-2</v>
      </c>
      <c r="F10184" s="2">
        <v>8.4699999999999998E-2</v>
      </c>
      <c r="G10184" s="2">
        <v>3.9399999999999998E-2</v>
      </c>
      <c r="H10184" s="2">
        <v>2.01E-2</v>
      </c>
      <c r="I10184">
        <v>1372</v>
      </c>
    </row>
    <row r="10186" spans="1:10" x14ac:dyDescent="0.35">
      <c r="A10186" s="1" t="s">
        <v>2364</v>
      </c>
    </row>
    <row r="10187" spans="1:10" x14ac:dyDescent="0.35">
      <c r="A10187" t="s">
        <v>219</v>
      </c>
      <c r="B10187" t="s">
        <v>301</v>
      </c>
      <c r="C10187" t="s">
        <v>325</v>
      </c>
      <c r="D10187" t="s">
        <v>2346</v>
      </c>
      <c r="E10187" t="s">
        <v>2347</v>
      </c>
      <c r="F10187" t="s">
        <v>2348</v>
      </c>
      <c r="G10187" t="s">
        <v>2349</v>
      </c>
      <c r="H10187" t="s">
        <v>2350</v>
      </c>
      <c r="I10187" t="s">
        <v>277</v>
      </c>
      <c r="J10187" t="s">
        <v>226</v>
      </c>
    </row>
    <row r="10188" spans="1:10" x14ac:dyDescent="0.35">
      <c r="A10188" s="3" t="s">
        <v>227</v>
      </c>
      <c r="B10188" s="3" t="s">
        <v>1335</v>
      </c>
      <c r="C10188" s="3" t="s">
        <v>1339</v>
      </c>
      <c r="D10188" s="4">
        <v>0.86119999999999997</v>
      </c>
      <c r="E10188" s="4">
        <v>0.45590000000000003</v>
      </c>
      <c r="F10188" s="4">
        <v>0.43159999999999998</v>
      </c>
      <c r="G10188" s="4">
        <v>0.43159999999999998</v>
      </c>
      <c r="H10188" s="4">
        <v>0.1145</v>
      </c>
      <c r="I10188" s="5"/>
      <c r="J10188" s="5" t="s">
        <v>366</v>
      </c>
    </row>
    <row r="10189" spans="1:10" x14ac:dyDescent="0.35">
      <c r="A10189" t="s">
        <v>227</v>
      </c>
      <c r="B10189" t="s">
        <v>1335</v>
      </c>
      <c r="C10189" t="s">
        <v>1340</v>
      </c>
      <c r="D10189" s="2">
        <v>0.80200000000000005</v>
      </c>
      <c r="E10189" s="2">
        <v>0.26190000000000002</v>
      </c>
      <c r="F10189" s="2">
        <v>9.4399999999999998E-2</v>
      </c>
      <c r="G10189" s="2">
        <v>0.1361</v>
      </c>
      <c r="H10189" s="2">
        <v>0.1056</v>
      </c>
      <c r="I10189" s="2">
        <v>4.53E-2</v>
      </c>
      <c r="J10189">
        <v>81</v>
      </c>
    </row>
    <row r="10190" spans="1:10" x14ac:dyDescent="0.35">
      <c r="A10190" t="s">
        <v>227</v>
      </c>
      <c r="B10190" t="s">
        <v>1335</v>
      </c>
      <c r="C10190" t="s">
        <v>1341</v>
      </c>
      <c r="D10190" s="2">
        <v>0.83489999999999998</v>
      </c>
      <c r="E10190" s="2">
        <v>0.30759999999999998</v>
      </c>
      <c r="F10190" s="2">
        <v>9.4200000000000006E-2</v>
      </c>
      <c r="G10190" s="2">
        <v>0.08</v>
      </c>
      <c r="H10190" s="2">
        <v>2.92E-2</v>
      </c>
      <c r="I10190" s="2">
        <v>1.5100000000000001E-2</v>
      </c>
      <c r="J10190">
        <v>192</v>
      </c>
    </row>
    <row r="10191" spans="1:10" x14ac:dyDescent="0.35">
      <c r="A10191" t="s">
        <v>227</v>
      </c>
      <c r="B10191" t="s">
        <v>1335</v>
      </c>
      <c r="C10191" t="s">
        <v>1342</v>
      </c>
      <c r="D10191" s="2">
        <v>0.70279999999999998</v>
      </c>
      <c r="E10191" s="2">
        <v>0.40250000000000002</v>
      </c>
      <c r="F10191" s="2">
        <v>1.14E-2</v>
      </c>
      <c r="G10191" s="2">
        <v>1.1999999999999999E-3</v>
      </c>
      <c r="H10191" s="2">
        <v>3.1399999999999997E-2</v>
      </c>
      <c r="I10191" s="2">
        <v>4.7000000000000002E-3</v>
      </c>
      <c r="J10191">
        <v>67</v>
      </c>
    </row>
    <row r="10192" spans="1:10" x14ac:dyDescent="0.35">
      <c r="A10192" s="3" t="s">
        <v>227</v>
      </c>
      <c r="B10192" s="3" t="s">
        <v>1336</v>
      </c>
      <c r="C10192" s="3" t="s">
        <v>1341</v>
      </c>
      <c r="D10192" s="5"/>
      <c r="E10192" s="4">
        <v>1</v>
      </c>
      <c r="F10192" s="5"/>
      <c r="G10192" s="5"/>
      <c r="H10192" s="5"/>
      <c r="I10192" s="5"/>
      <c r="J10192" s="5" t="s">
        <v>323</v>
      </c>
    </row>
    <row r="10193" spans="1:10" x14ac:dyDescent="0.35">
      <c r="A10193" s="3" t="s">
        <v>227</v>
      </c>
      <c r="B10193" s="3" t="s">
        <v>1337</v>
      </c>
      <c r="C10193" s="3" t="s">
        <v>1339</v>
      </c>
      <c r="D10193" s="4">
        <v>0.2767</v>
      </c>
      <c r="E10193" s="4">
        <v>0.4698</v>
      </c>
      <c r="F10193" s="5"/>
      <c r="G10193" s="4">
        <v>0.1268</v>
      </c>
      <c r="H10193" s="4">
        <v>0.1268</v>
      </c>
      <c r="I10193" s="5"/>
      <c r="J10193" s="5" t="s">
        <v>366</v>
      </c>
    </row>
    <row r="10194" spans="1:10" x14ac:dyDescent="0.35">
      <c r="A10194" t="s">
        <v>227</v>
      </c>
      <c r="B10194" t="s">
        <v>1337</v>
      </c>
      <c r="C10194" t="s">
        <v>1340</v>
      </c>
      <c r="D10194" s="2">
        <v>0.63680000000000003</v>
      </c>
      <c r="E10194" s="2">
        <v>0.41239999999999999</v>
      </c>
      <c r="F10194" s="2">
        <v>8.4900000000000003E-2</v>
      </c>
      <c r="G10194" s="2">
        <v>0.1477</v>
      </c>
      <c r="H10194" s="2">
        <v>7.8899999999999998E-2</v>
      </c>
      <c r="I10194" s="2">
        <v>1.0800000000000001E-2</v>
      </c>
      <c r="J10194">
        <v>222</v>
      </c>
    </row>
    <row r="10195" spans="1:10" x14ac:dyDescent="0.35">
      <c r="A10195" t="s">
        <v>227</v>
      </c>
      <c r="B10195" t="s">
        <v>1337</v>
      </c>
      <c r="C10195" t="s">
        <v>1341</v>
      </c>
      <c r="D10195" s="2">
        <v>0.85699999999999998</v>
      </c>
      <c r="E10195" s="2">
        <v>0.30520000000000003</v>
      </c>
      <c r="F10195" s="2">
        <v>0.10249999999999999</v>
      </c>
      <c r="G10195" s="2">
        <v>8.1799999999999998E-2</v>
      </c>
      <c r="H10195" s="2">
        <v>3.4299999999999997E-2</v>
      </c>
      <c r="I10195" s="2">
        <v>1.9E-2</v>
      </c>
      <c r="J10195">
        <v>482</v>
      </c>
    </row>
    <row r="10196" spans="1:10" x14ac:dyDescent="0.35">
      <c r="A10196" t="s">
        <v>227</v>
      </c>
      <c r="B10196" t="s">
        <v>1337</v>
      </c>
      <c r="C10196" t="s">
        <v>1342</v>
      </c>
      <c r="D10196" s="2">
        <v>0.84279999999999999</v>
      </c>
      <c r="E10196" s="2">
        <v>0.2366</v>
      </c>
      <c r="F10196" s="2">
        <v>0.10150000000000001</v>
      </c>
      <c r="G10196" s="2">
        <v>4.1200000000000001E-2</v>
      </c>
      <c r="H10196" s="2">
        <v>2.3E-3</v>
      </c>
      <c r="I10196" s="2">
        <v>3.3500000000000002E-2</v>
      </c>
      <c r="J10196">
        <v>313</v>
      </c>
    </row>
    <row r="10197" spans="1:10" x14ac:dyDescent="0.35">
      <c r="A10197" t="s">
        <v>228</v>
      </c>
      <c r="B10197" t="s">
        <v>228</v>
      </c>
      <c r="C10197" t="s">
        <v>228</v>
      </c>
      <c r="D10197" s="2">
        <v>0.79400000000000004</v>
      </c>
      <c r="E10197" s="2">
        <v>0.31730000000000003</v>
      </c>
      <c r="F10197" s="2">
        <v>9.2700000000000005E-2</v>
      </c>
      <c r="G10197" s="2">
        <v>8.4699999999999998E-2</v>
      </c>
      <c r="H10197" s="2">
        <v>3.9399999999999998E-2</v>
      </c>
      <c r="I10197" s="2">
        <v>2.01E-2</v>
      </c>
      <c r="J10197">
        <v>1372</v>
      </c>
    </row>
    <row r="10199" spans="1:10" x14ac:dyDescent="0.35">
      <c r="A10199" s="1" t="s">
        <v>2365</v>
      </c>
    </row>
    <row r="10200" spans="1:10" x14ac:dyDescent="0.35">
      <c r="A10200" t="s">
        <v>219</v>
      </c>
      <c r="B10200" t="s">
        <v>2366</v>
      </c>
      <c r="C10200" t="s">
        <v>2367</v>
      </c>
      <c r="D10200" t="s">
        <v>2368</v>
      </c>
      <c r="E10200" t="s">
        <v>2369</v>
      </c>
      <c r="F10200" t="s">
        <v>2370</v>
      </c>
      <c r="G10200" t="s">
        <v>2371</v>
      </c>
      <c r="H10200" t="s">
        <v>277</v>
      </c>
      <c r="I10200" t="s">
        <v>226</v>
      </c>
    </row>
    <row r="10201" spans="1:10" x14ac:dyDescent="0.35">
      <c r="A10201" t="s">
        <v>227</v>
      </c>
      <c r="B10201" s="2">
        <v>0.50619999999999998</v>
      </c>
      <c r="C10201" s="2">
        <v>0.23180000000000001</v>
      </c>
      <c r="D10201" s="2">
        <v>8.8099999999999998E-2</v>
      </c>
      <c r="E10201" s="2">
        <v>7.0099999999999996E-2</v>
      </c>
      <c r="F10201" s="2">
        <v>5.3699999999999998E-2</v>
      </c>
      <c r="G10201" s="2">
        <v>4.0300000000000002E-2</v>
      </c>
      <c r="H10201" s="2">
        <v>9.7000000000000003E-3</v>
      </c>
      <c r="I10201">
        <v>2813</v>
      </c>
    </row>
    <row r="10202" spans="1:10" x14ac:dyDescent="0.35">
      <c r="A10202" t="s">
        <v>228</v>
      </c>
      <c r="B10202" s="2">
        <v>0.50619999999999998</v>
      </c>
      <c r="C10202" s="2">
        <v>0.23180000000000001</v>
      </c>
      <c r="D10202" s="2">
        <v>8.8099999999999998E-2</v>
      </c>
      <c r="E10202" s="2">
        <v>7.0099999999999996E-2</v>
      </c>
      <c r="F10202" s="2">
        <v>5.3699999999999998E-2</v>
      </c>
      <c r="G10202" s="2">
        <v>4.0300000000000002E-2</v>
      </c>
      <c r="H10202" s="2">
        <v>9.7000000000000003E-3</v>
      </c>
      <c r="I10202">
        <v>2813</v>
      </c>
    </row>
    <row r="10204" spans="1:10" x14ac:dyDescent="0.35">
      <c r="A10204" s="1" t="s">
        <v>2372</v>
      </c>
    </row>
    <row r="10205" spans="1:10" x14ac:dyDescent="0.35">
      <c r="A10205" t="s">
        <v>219</v>
      </c>
      <c r="B10205" t="s">
        <v>301</v>
      </c>
      <c r="C10205" t="s">
        <v>2366</v>
      </c>
      <c r="D10205" t="s">
        <v>2367</v>
      </c>
      <c r="E10205" t="s">
        <v>2368</v>
      </c>
      <c r="F10205" t="s">
        <v>2369</v>
      </c>
      <c r="G10205" t="s">
        <v>2370</v>
      </c>
      <c r="H10205" t="s">
        <v>2371</v>
      </c>
      <c r="I10205" t="s">
        <v>277</v>
      </c>
      <c r="J10205" t="s">
        <v>226</v>
      </c>
    </row>
    <row r="10206" spans="1:10" x14ac:dyDescent="0.35">
      <c r="A10206" t="s">
        <v>227</v>
      </c>
      <c r="B10206" t="s">
        <v>238</v>
      </c>
      <c r="C10206" s="2">
        <v>0.43719999999999998</v>
      </c>
      <c r="D10206" s="2">
        <v>0.2382</v>
      </c>
      <c r="E10206" s="2">
        <v>0.1134</v>
      </c>
      <c r="F10206" s="2">
        <v>8.2900000000000001E-2</v>
      </c>
      <c r="G10206" s="2">
        <v>6.6100000000000006E-2</v>
      </c>
      <c r="H10206" s="2">
        <v>5.3600000000000002E-2</v>
      </c>
      <c r="I10206" s="2">
        <v>8.6E-3</v>
      </c>
      <c r="J10206">
        <v>1005</v>
      </c>
    </row>
    <row r="10207" spans="1:10" x14ac:dyDescent="0.35">
      <c r="A10207" t="s">
        <v>227</v>
      </c>
      <c r="B10207" t="s">
        <v>237</v>
      </c>
      <c r="C10207" s="2">
        <v>0.54649999999999999</v>
      </c>
      <c r="D10207" s="2">
        <v>0.22800000000000001</v>
      </c>
      <c r="E10207" s="2">
        <v>7.3400000000000007E-2</v>
      </c>
      <c r="F10207" s="2">
        <v>6.2600000000000003E-2</v>
      </c>
      <c r="G10207" s="2">
        <v>4.65E-2</v>
      </c>
      <c r="H10207" s="2">
        <v>3.2599999999999997E-2</v>
      </c>
      <c r="I10207" s="2">
        <v>1.03E-2</v>
      </c>
      <c r="J10207">
        <v>1808</v>
      </c>
    </row>
    <row r="10208" spans="1:10" x14ac:dyDescent="0.35">
      <c r="A10208" t="s">
        <v>228</v>
      </c>
      <c r="B10208" t="s">
        <v>228</v>
      </c>
      <c r="C10208" s="2">
        <v>0.50619999999999998</v>
      </c>
      <c r="D10208" s="2">
        <v>0.23180000000000001</v>
      </c>
      <c r="E10208" s="2">
        <v>8.8099999999999998E-2</v>
      </c>
      <c r="F10208" s="2">
        <v>7.0099999999999996E-2</v>
      </c>
      <c r="G10208" s="2">
        <v>5.3699999999999998E-2</v>
      </c>
      <c r="H10208" s="2">
        <v>4.0300000000000002E-2</v>
      </c>
      <c r="I10208" s="2">
        <v>9.7000000000000003E-3</v>
      </c>
      <c r="J10208">
        <v>2813</v>
      </c>
    </row>
    <row r="10210" spans="1:10" x14ac:dyDescent="0.35">
      <c r="A10210" s="1" t="s">
        <v>2373</v>
      </c>
    </row>
    <row r="10211" spans="1:10" x14ac:dyDescent="0.35">
      <c r="A10211" t="s">
        <v>219</v>
      </c>
      <c r="B10211" t="s">
        <v>301</v>
      </c>
      <c r="C10211" t="s">
        <v>2366</v>
      </c>
      <c r="D10211" t="s">
        <v>2367</v>
      </c>
      <c r="E10211" t="s">
        <v>2368</v>
      </c>
      <c r="F10211" t="s">
        <v>2369</v>
      </c>
      <c r="G10211" t="s">
        <v>2370</v>
      </c>
      <c r="H10211" t="s">
        <v>2371</v>
      </c>
      <c r="I10211" t="s">
        <v>277</v>
      </c>
      <c r="J10211" t="s">
        <v>226</v>
      </c>
    </row>
    <row r="10212" spans="1:10" x14ac:dyDescent="0.35">
      <c r="A10212" t="s">
        <v>227</v>
      </c>
      <c r="B10212" t="s">
        <v>235</v>
      </c>
      <c r="C10212" s="2">
        <v>0.49530000000000002</v>
      </c>
      <c r="D10212" s="2">
        <v>0.22919999999999999</v>
      </c>
      <c r="E10212" s="2">
        <v>0.11890000000000001</v>
      </c>
      <c r="F10212" s="2">
        <v>5.8500000000000003E-2</v>
      </c>
      <c r="G10212" s="2">
        <v>4.1200000000000001E-2</v>
      </c>
      <c r="H10212" s="2">
        <v>4.6800000000000001E-2</v>
      </c>
      <c r="I10212" s="2">
        <v>1.0200000000000001E-2</v>
      </c>
      <c r="J10212">
        <v>992</v>
      </c>
    </row>
    <row r="10213" spans="1:10" x14ac:dyDescent="0.35">
      <c r="A10213" t="s">
        <v>227</v>
      </c>
      <c r="B10213" t="s">
        <v>234</v>
      </c>
      <c r="C10213" s="2">
        <v>0.51080000000000003</v>
      </c>
      <c r="D10213" s="2">
        <v>0.23280000000000001</v>
      </c>
      <c r="E10213" s="2">
        <v>7.5300000000000006E-2</v>
      </c>
      <c r="F10213" s="2">
        <v>7.4999999999999997E-2</v>
      </c>
      <c r="G10213" s="2">
        <v>5.8999999999999997E-2</v>
      </c>
      <c r="H10213" s="2">
        <v>3.7600000000000001E-2</v>
      </c>
      <c r="I10213" s="2">
        <v>9.4999999999999998E-3</v>
      </c>
      <c r="J10213">
        <v>1821</v>
      </c>
    </row>
    <row r="10214" spans="1:10" x14ac:dyDescent="0.35">
      <c r="A10214" t="s">
        <v>228</v>
      </c>
      <c r="B10214" t="s">
        <v>228</v>
      </c>
      <c r="C10214" s="2">
        <v>0.50619999999999998</v>
      </c>
      <c r="D10214" s="2">
        <v>0.23180000000000001</v>
      </c>
      <c r="E10214" s="2">
        <v>8.8099999999999998E-2</v>
      </c>
      <c r="F10214" s="2">
        <v>7.0099999999999996E-2</v>
      </c>
      <c r="G10214" s="2">
        <v>5.3699999999999998E-2</v>
      </c>
      <c r="H10214" s="2">
        <v>4.0300000000000002E-2</v>
      </c>
      <c r="I10214" s="2">
        <v>9.7000000000000003E-3</v>
      </c>
      <c r="J10214">
        <v>2813</v>
      </c>
    </row>
    <row r="10216" spans="1:10" x14ac:dyDescent="0.35">
      <c r="A10216" s="1" t="s">
        <v>2374</v>
      </c>
    </row>
    <row r="10217" spans="1:10" x14ac:dyDescent="0.35">
      <c r="A10217" t="s">
        <v>219</v>
      </c>
      <c r="B10217" t="s">
        <v>301</v>
      </c>
      <c r="C10217" t="s">
        <v>2366</v>
      </c>
      <c r="D10217" t="s">
        <v>2367</v>
      </c>
      <c r="E10217" t="s">
        <v>2368</v>
      </c>
      <c r="F10217" t="s">
        <v>2369</v>
      </c>
      <c r="G10217" t="s">
        <v>2370</v>
      </c>
      <c r="H10217" t="s">
        <v>2371</v>
      </c>
      <c r="I10217" t="s">
        <v>277</v>
      </c>
      <c r="J10217" t="s">
        <v>226</v>
      </c>
    </row>
    <row r="10218" spans="1:10" x14ac:dyDescent="0.35">
      <c r="A10218" t="s">
        <v>227</v>
      </c>
      <c r="B10218" t="s">
        <v>240</v>
      </c>
      <c r="C10218" s="2">
        <v>0.48139999999999999</v>
      </c>
      <c r="D10218" s="2">
        <v>0.2404</v>
      </c>
      <c r="E10218" s="2">
        <v>8.1799999999999998E-2</v>
      </c>
      <c r="F10218" s="2">
        <v>7.8899999999999998E-2</v>
      </c>
      <c r="G10218" s="2">
        <v>6.1100000000000002E-2</v>
      </c>
      <c r="H10218" s="2">
        <v>4.5900000000000003E-2</v>
      </c>
      <c r="I10218" s="2">
        <v>1.0500000000000001E-2</v>
      </c>
      <c r="J10218">
        <v>1756</v>
      </c>
    </row>
    <row r="10219" spans="1:10" x14ac:dyDescent="0.35">
      <c r="A10219" t="s">
        <v>227</v>
      </c>
      <c r="B10219" t="s">
        <v>241</v>
      </c>
      <c r="C10219" s="2">
        <v>0.58309999999999995</v>
      </c>
      <c r="D10219" s="2">
        <v>0.20499999999999999</v>
      </c>
      <c r="E10219" s="2">
        <v>8.3799999999999999E-2</v>
      </c>
      <c r="F10219" s="2">
        <v>5.3600000000000002E-2</v>
      </c>
      <c r="G10219" s="2">
        <v>3.9899999999999998E-2</v>
      </c>
      <c r="H10219" s="2">
        <v>2.4799999999999999E-2</v>
      </c>
      <c r="I10219" s="2">
        <v>9.7999999999999997E-3</v>
      </c>
      <c r="J10219">
        <v>891</v>
      </c>
    </row>
    <row r="10220" spans="1:10" x14ac:dyDescent="0.35">
      <c r="A10220" t="s">
        <v>227</v>
      </c>
      <c r="B10220" t="s">
        <v>242</v>
      </c>
      <c r="C10220" s="2">
        <v>0.40389999999999998</v>
      </c>
      <c r="D10220" s="2">
        <v>0.26769999999999999</v>
      </c>
      <c r="E10220" s="2">
        <v>0.16880000000000001</v>
      </c>
      <c r="F10220" s="2">
        <v>5.8700000000000002E-2</v>
      </c>
      <c r="G10220" s="2">
        <v>4.41E-2</v>
      </c>
      <c r="H10220" s="2">
        <v>5.5E-2</v>
      </c>
      <c r="I10220" s="2">
        <v>1.8E-3</v>
      </c>
      <c r="J10220">
        <v>166</v>
      </c>
    </row>
    <row r="10221" spans="1:10" x14ac:dyDescent="0.35">
      <c r="A10221" t="s">
        <v>228</v>
      </c>
      <c r="B10221" t="s">
        <v>228</v>
      </c>
      <c r="C10221" s="2">
        <v>0.50619999999999998</v>
      </c>
      <c r="D10221" s="2">
        <v>0.23180000000000001</v>
      </c>
      <c r="E10221" s="2">
        <v>8.8099999999999998E-2</v>
      </c>
      <c r="F10221" s="2">
        <v>7.0099999999999996E-2</v>
      </c>
      <c r="G10221" s="2">
        <v>5.3699999999999998E-2</v>
      </c>
      <c r="H10221" s="2">
        <v>4.0300000000000002E-2</v>
      </c>
      <c r="I10221" s="2">
        <v>9.7000000000000003E-3</v>
      </c>
      <c r="J10221">
        <v>2813</v>
      </c>
    </row>
    <row r="10223" spans="1:10" x14ac:dyDescent="0.35">
      <c r="A10223" s="1" t="s">
        <v>2375</v>
      </c>
    </row>
    <row r="10224" spans="1:10" x14ac:dyDescent="0.35">
      <c r="A10224" t="s">
        <v>219</v>
      </c>
      <c r="B10224" t="s">
        <v>301</v>
      </c>
      <c r="C10224" t="s">
        <v>2366</v>
      </c>
      <c r="D10224" t="s">
        <v>2367</v>
      </c>
      <c r="E10224" t="s">
        <v>2368</v>
      </c>
      <c r="F10224" t="s">
        <v>2369</v>
      </c>
      <c r="G10224" t="s">
        <v>2370</v>
      </c>
      <c r="H10224" t="s">
        <v>2371</v>
      </c>
      <c r="I10224" t="s">
        <v>277</v>
      </c>
      <c r="J10224" t="s">
        <v>226</v>
      </c>
    </row>
    <row r="10225" spans="1:10" x14ac:dyDescent="0.35">
      <c r="A10225" t="s">
        <v>227</v>
      </c>
      <c r="B10225" t="s">
        <v>334</v>
      </c>
      <c r="C10225" s="2">
        <v>0.46050000000000002</v>
      </c>
      <c r="D10225" s="2">
        <v>0.2152</v>
      </c>
      <c r="E10225" s="2">
        <v>0.1053</v>
      </c>
      <c r="F10225" s="2">
        <v>0.1019</v>
      </c>
      <c r="G10225" s="2">
        <v>6.0299999999999999E-2</v>
      </c>
      <c r="H10225" s="2">
        <v>5.45E-2</v>
      </c>
      <c r="I10225" s="2">
        <v>2.3999999999999998E-3</v>
      </c>
      <c r="J10225">
        <v>625</v>
      </c>
    </row>
    <row r="10226" spans="1:10" x14ac:dyDescent="0.35">
      <c r="A10226" t="s">
        <v>227</v>
      </c>
      <c r="B10226" t="s">
        <v>335</v>
      </c>
      <c r="C10226" s="2">
        <v>0.59740000000000004</v>
      </c>
      <c r="D10226" s="2">
        <v>0.20369999999999999</v>
      </c>
      <c r="E10226" s="2">
        <v>6.0600000000000001E-2</v>
      </c>
      <c r="F10226" s="2">
        <v>5.3400000000000003E-2</v>
      </c>
      <c r="G10226" s="2">
        <v>4.5199999999999997E-2</v>
      </c>
      <c r="H10226" s="2">
        <v>2.69E-2</v>
      </c>
      <c r="I10226" s="2">
        <v>1.2699999999999999E-2</v>
      </c>
      <c r="J10226">
        <v>628</v>
      </c>
    </row>
    <row r="10227" spans="1:10" x14ac:dyDescent="0.35">
      <c r="A10227" t="s">
        <v>227</v>
      </c>
      <c r="B10227" t="s">
        <v>336</v>
      </c>
      <c r="C10227" s="2">
        <v>0.47739999999999999</v>
      </c>
      <c r="D10227" s="2">
        <v>0.21629999999999999</v>
      </c>
      <c r="E10227" s="2">
        <v>0.11559999999999999</v>
      </c>
      <c r="F10227" s="2">
        <v>6.7100000000000007E-2</v>
      </c>
      <c r="G10227" s="2">
        <v>6.7400000000000002E-2</v>
      </c>
      <c r="H10227" s="2">
        <v>4.4499999999999998E-2</v>
      </c>
      <c r="I10227" s="2">
        <v>1.1599999999999999E-2</v>
      </c>
      <c r="J10227">
        <v>621</v>
      </c>
    </row>
    <row r="10228" spans="1:10" x14ac:dyDescent="0.35">
      <c r="A10228" t="s">
        <v>227</v>
      </c>
      <c r="B10228" t="s">
        <v>337</v>
      </c>
      <c r="C10228" s="2">
        <v>0.44640000000000002</v>
      </c>
      <c r="D10228" s="2">
        <v>0.28560000000000002</v>
      </c>
      <c r="E10228" s="2">
        <v>9.0200000000000002E-2</v>
      </c>
      <c r="F10228" s="2">
        <v>6.9099999999999995E-2</v>
      </c>
      <c r="G10228" s="2">
        <v>5.3900000000000003E-2</v>
      </c>
      <c r="H10228" s="2">
        <v>4.5400000000000003E-2</v>
      </c>
      <c r="I10228" s="2">
        <v>9.2999999999999992E-3</v>
      </c>
      <c r="J10228">
        <v>602</v>
      </c>
    </row>
    <row r="10229" spans="1:10" x14ac:dyDescent="0.35">
      <c r="A10229" t="s">
        <v>228</v>
      </c>
      <c r="B10229" t="s">
        <v>228</v>
      </c>
      <c r="C10229" s="2">
        <v>0.50619999999999998</v>
      </c>
      <c r="D10229" s="2">
        <v>0.23180000000000001</v>
      </c>
      <c r="E10229" s="2">
        <v>8.8099999999999998E-2</v>
      </c>
      <c r="F10229" s="2">
        <v>7.0099999999999996E-2</v>
      </c>
      <c r="G10229" s="2">
        <v>5.3699999999999998E-2</v>
      </c>
      <c r="H10229" s="2">
        <v>4.0300000000000002E-2</v>
      </c>
      <c r="I10229" s="2">
        <v>9.7000000000000003E-3</v>
      </c>
      <c r="J10229">
        <v>2476</v>
      </c>
    </row>
    <row r="10231" spans="1:10" x14ac:dyDescent="0.35">
      <c r="A10231" s="1" t="s">
        <v>2376</v>
      </c>
    </row>
    <row r="10232" spans="1:10" x14ac:dyDescent="0.35">
      <c r="A10232" t="s">
        <v>219</v>
      </c>
      <c r="B10232" t="s">
        <v>301</v>
      </c>
      <c r="C10232" t="s">
        <v>2366</v>
      </c>
      <c r="D10232" t="s">
        <v>2367</v>
      </c>
      <c r="E10232" t="s">
        <v>2368</v>
      </c>
      <c r="F10232" t="s">
        <v>2369</v>
      </c>
      <c r="G10232" t="s">
        <v>2370</v>
      </c>
      <c r="H10232" t="s">
        <v>2371</v>
      </c>
      <c r="I10232" t="s">
        <v>277</v>
      </c>
      <c r="J10232" t="s">
        <v>226</v>
      </c>
    </row>
    <row r="10233" spans="1:10" x14ac:dyDescent="0.35">
      <c r="A10233" t="s">
        <v>227</v>
      </c>
      <c r="B10233" t="s">
        <v>263</v>
      </c>
      <c r="C10233" s="2">
        <v>0.52390000000000003</v>
      </c>
      <c r="D10233" s="2">
        <v>0.2364</v>
      </c>
      <c r="E10233" s="2">
        <v>9.1600000000000001E-2</v>
      </c>
      <c r="F10233" s="2">
        <v>7.0499999999999993E-2</v>
      </c>
      <c r="G10233" s="2">
        <v>3.4500000000000003E-2</v>
      </c>
      <c r="H10233" s="2">
        <v>3.8100000000000002E-2</v>
      </c>
      <c r="I10233" s="2">
        <v>5.1000000000000004E-3</v>
      </c>
      <c r="J10233">
        <v>589</v>
      </c>
    </row>
    <row r="10234" spans="1:10" x14ac:dyDescent="0.35">
      <c r="A10234" t="s">
        <v>227</v>
      </c>
      <c r="B10234" t="s">
        <v>262</v>
      </c>
      <c r="C10234" s="2">
        <v>0.50039999999999996</v>
      </c>
      <c r="D10234" s="2">
        <v>0.2157</v>
      </c>
      <c r="E10234" s="2">
        <v>0.1016</v>
      </c>
      <c r="F10234" s="2">
        <v>6.9699999999999998E-2</v>
      </c>
      <c r="G10234" s="2">
        <v>6.4500000000000002E-2</v>
      </c>
      <c r="H10234" s="2">
        <v>3.78E-2</v>
      </c>
      <c r="I10234" s="2">
        <v>1.04E-2</v>
      </c>
      <c r="J10234">
        <v>1160</v>
      </c>
    </row>
    <row r="10235" spans="1:10" x14ac:dyDescent="0.35">
      <c r="A10235" t="s">
        <v>227</v>
      </c>
      <c r="B10235" t="s">
        <v>261</v>
      </c>
      <c r="C10235" s="2">
        <v>0.50270000000000004</v>
      </c>
      <c r="D10235" s="2">
        <v>0.24410000000000001</v>
      </c>
      <c r="E10235" s="2">
        <v>7.51E-2</v>
      </c>
      <c r="F10235" s="2">
        <v>7.0499999999999993E-2</v>
      </c>
      <c r="G10235" s="2">
        <v>5.2499999999999998E-2</v>
      </c>
      <c r="H10235" s="2">
        <v>4.3700000000000003E-2</v>
      </c>
      <c r="I10235" s="2">
        <v>1.14E-2</v>
      </c>
      <c r="J10235">
        <v>1062</v>
      </c>
    </row>
    <row r="10236" spans="1:10" x14ac:dyDescent="0.35">
      <c r="A10236" s="3" t="s">
        <v>227</v>
      </c>
      <c r="B10236" s="3" t="s">
        <v>232</v>
      </c>
      <c r="C10236" s="4">
        <v>0.5</v>
      </c>
      <c r="D10236" s="5"/>
      <c r="E10236" s="5"/>
      <c r="F10236" s="5"/>
      <c r="G10236" s="4">
        <v>0.5</v>
      </c>
      <c r="H10236" s="5"/>
      <c r="I10236" s="5"/>
      <c r="J10236" s="5" t="s">
        <v>434</v>
      </c>
    </row>
    <row r="10237" spans="1:10" x14ac:dyDescent="0.35">
      <c r="A10237" t="s">
        <v>228</v>
      </c>
      <c r="B10237" t="s">
        <v>228</v>
      </c>
      <c r="C10237" s="2">
        <v>0.50619999999999998</v>
      </c>
      <c r="D10237" s="2">
        <v>0.23180000000000001</v>
      </c>
      <c r="E10237" s="2">
        <v>8.8099999999999998E-2</v>
      </c>
      <c r="F10237" s="2">
        <v>7.0099999999999996E-2</v>
      </c>
      <c r="G10237" s="2">
        <v>5.3699999999999998E-2</v>
      </c>
      <c r="H10237" s="2">
        <v>4.0300000000000002E-2</v>
      </c>
      <c r="I10237" s="2">
        <v>9.7000000000000003E-3</v>
      </c>
      <c r="J10237">
        <v>2813</v>
      </c>
    </row>
    <row r="10239" spans="1:10" x14ac:dyDescent="0.35">
      <c r="A10239" s="1" t="s">
        <v>2377</v>
      </c>
    </row>
    <row r="10240" spans="1:10" x14ac:dyDescent="0.35">
      <c r="A10240" t="s">
        <v>219</v>
      </c>
      <c r="B10240" t="s">
        <v>301</v>
      </c>
      <c r="C10240" t="s">
        <v>2366</v>
      </c>
      <c r="D10240" t="s">
        <v>2367</v>
      </c>
      <c r="E10240" t="s">
        <v>2368</v>
      </c>
      <c r="F10240" t="s">
        <v>2369</v>
      </c>
      <c r="G10240" t="s">
        <v>2370</v>
      </c>
      <c r="H10240" t="s">
        <v>2371</v>
      </c>
      <c r="I10240" t="s">
        <v>277</v>
      </c>
      <c r="J10240" t="s">
        <v>226</v>
      </c>
    </row>
    <row r="10241" spans="1:10" x14ac:dyDescent="0.35">
      <c r="A10241" t="s">
        <v>227</v>
      </c>
      <c r="B10241" t="s">
        <v>248</v>
      </c>
      <c r="C10241" s="2">
        <v>0.50260000000000005</v>
      </c>
      <c r="D10241" s="2">
        <v>0.1893</v>
      </c>
      <c r="E10241" s="2">
        <v>9.2700000000000005E-2</v>
      </c>
      <c r="F10241" s="2">
        <v>7.4700000000000003E-2</v>
      </c>
      <c r="G10241" s="2">
        <v>8.4000000000000005E-2</v>
      </c>
      <c r="H10241" s="2">
        <v>4.1599999999999998E-2</v>
      </c>
      <c r="I10241" s="2">
        <v>1.52E-2</v>
      </c>
      <c r="J10241">
        <v>796</v>
      </c>
    </row>
    <row r="10242" spans="1:10" x14ac:dyDescent="0.35">
      <c r="A10242" t="s">
        <v>227</v>
      </c>
      <c r="B10242" t="s">
        <v>249</v>
      </c>
      <c r="C10242" s="2">
        <v>0.42599999999999999</v>
      </c>
      <c r="D10242" s="2">
        <v>0.254</v>
      </c>
      <c r="E10242" s="2">
        <v>0.1145</v>
      </c>
      <c r="F10242" s="2">
        <v>9.1999999999999998E-2</v>
      </c>
      <c r="G10242" s="2">
        <v>4.8300000000000003E-2</v>
      </c>
      <c r="H10242" s="2">
        <v>6.1600000000000002E-2</v>
      </c>
      <c r="I10242" s="2">
        <v>3.5999999999999999E-3</v>
      </c>
      <c r="J10242">
        <v>541</v>
      </c>
    </row>
    <row r="10243" spans="1:10" x14ac:dyDescent="0.35">
      <c r="A10243" t="s">
        <v>227</v>
      </c>
      <c r="B10243" t="s">
        <v>247</v>
      </c>
      <c r="C10243" s="2">
        <v>0.53739999999999999</v>
      </c>
      <c r="D10243" s="2">
        <v>0.24560000000000001</v>
      </c>
      <c r="E10243" s="2">
        <v>7.6200000000000004E-2</v>
      </c>
      <c r="F10243" s="2">
        <v>5.9799999999999999E-2</v>
      </c>
      <c r="G10243" s="2">
        <v>0.04</v>
      </c>
      <c r="H10243" s="2">
        <v>3.1899999999999998E-2</v>
      </c>
      <c r="I10243" s="2">
        <v>9.1000000000000004E-3</v>
      </c>
      <c r="J10243">
        <v>1476</v>
      </c>
    </row>
    <row r="10244" spans="1:10" x14ac:dyDescent="0.35">
      <c r="A10244" t="s">
        <v>228</v>
      </c>
      <c r="B10244" t="s">
        <v>228</v>
      </c>
      <c r="C10244" s="2">
        <v>0.50619999999999998</v>
      </c>
      <c r="D10244" s="2">
        <v>0.23180000000000001</v>
      </c>
      <c r="E10244" s="2">
        <v>8.8099999999999998E-2</v>
      </c>
      <c r="F10244" s="2">
        <v>7.0099999999999996E-2</v>
      </c>
      <c r="G10244" s="2">
        <v>5.3699999999999998E-2</v>
      </c>
      <c r="H10244" s="2">
        <v>4.0300000000000002E-2</v>
      </c>
      <c r="I10244" s="2">
        <v>9.7000000000000003E-3</v>
      </c>
      <c r="J10244">
        <v>2813</v>
      </c>
    </row>
    <row r="10246" spans="1:10" x14ac:dyDescent="0.35">
      <c r="A10246" s="1" t="s">
        <v>2378</v>
      </c>
    </row>
    <row r="10247" spans="1:10" x14ac:dyDescent="0.35">
      <c r="A10247" t="s">
        <v>219</v>
      </c>
      <c r="B10247" t="s">
        <v>301</v>
      </c>
      <c r="C10247" t="s">
        <v>2366</v>
      </c>
      <c r="D10247" t="s">
        <v>2367</v>
      </c>
      <c r="E10247" t="s">
        <v>2368</v>
      </c>
      <c r="F10247" t="s">
        <v>2369</v>
      </c>
      <c r="G10247" t="s">
        <v>2370</v>
      </c>
      <c r="H10247" t="s">
        <v>2371</v>
      </c>
      <c r="I10247" t="s">
        <v>277</v>
      </c>
      <c r="J10247" t="s">
        <v>226</v>
      </c>
    </row>
    <row r="10248" spans="1:10" x14ac:dyDescent="0.35">
      <c r="A10248" t="s">
        <v>227</v>
      </c>
      <c r="B10248" t="s">
        <v>245</v>
      </c>
      <c r="C10248" s="2">
        <v>0.46729999999999999</v>
      </c>
      <c r="D10248" s="2">
        <v>0.2712</v>
      </c>
      <c r="E10248" s="2">
        <v>0.1033</v>
      </c>
      <c r="F10248" s="2">
        <v>6.4100000000000004E-2</v>
      </c>
      <c r="G10248" s="2">
        <v>4.8500000000000001E-2</v>
      </c>
      <c r="H10248" s="2">
        <v>4.07E-2</v>
      </c>
      <c r="I10248" s="2">
        <v>4.8999999999999998E-3</v>
      </c>
      <c r="J10248">
        <v>783</v>
      </c>
    </row>
    <row r="10249" spans="1:10" x14ac:dyDescent="0.35">
      <c r="A10249" t="s">
        <v>227</v>
      </c>
      <c r="B10249" t="s">
        <v>244</v>
      </c>
      <c r="C10249" s="2">
        <v>0.52170000000000005</v>
      </c>
      <c r="D10249" s="2">
        <v>0.21609999999999999</v>
      </c>
      <c r="E10249" s="2">
        <v>8.2100000000000006E-2</v>
      </c>
      <c r="F10249" s="2">
        <v>7.2499999999999995E-2</v>
      </c>
      <c r="G10249" s="2">
        <v>5.5800000000000002E-2</v>
      </c>
      <c r="H10249" s="2">
        <v>4.02E-2</v>
      </c>
      <c r="I10249" s="2">
        <v>1.1599999999999999E-2</v>
      </c>
      <c r="J10249">
        <v>2030</v>
      </c>
    </row>
    <row r="10250" spans="1:10" x14ac:dyDescent="0.35">
      <c r="A10250" t="s">
        <v>228</v>
      </c>
      <c r="B10250" t="s">
        <v>228</v>
      </c>
      <c r="C10250" s="2">
        <v>0.50619999999999998</v>
      </c>
      <c r="D10250" s="2">
        <v>0.23180000000000001</v>
      </c>
      <c r="E10250" s="2">
        <v>8.8099999999999998E-2</v>
      </c>
      <c r="F10250" s="2">
        <v>7.0099999999999996E-2</v>
      </c>
      <c r="G10250" s="2">
        <v>5.3699999999999998E-2</v>
      </c>
      <c r="H10250" s="2">
        <v>4.0300000000000002E-2</v>
      </c>
      <c r="I10250" s="2">
        <v>9.7000000000000003E-3</v>
      </c>
      <c r="J10250">
        <v>2813</v>
      </c>
    </row>
    <row r="10252" spans="1:10" x14ac:dyDescent="0.35">
      <c r="A10252" s="1" t="s">
        <v>2379</v>
      </c>
    </row>
    <row r="10253" spans="1:10" x14ac:dyDescent="0.35">
      <c r="A10253" t="s">
        <v>219</v>
      </c>
      <c r="B10253" t="s">
        <v>301</v>
      </c>
      <c r="C10253" t="s">
        <v>2366</v>
      </c>
      <c r="D10253" t="s">
        <v>2367</v>
      </c>
      <c r="E10253" t="s">
        <v>2368</v>
      </c>
      <c r="F10253" t="s">
        <v>2369</v>
      </c>
      <c r="G10253" t="s">
        <v>2370</v>
      </c>
      <c r="H10253" t="s">
        <v>2371</v>
      </c>
      <c r="I10253" t="s">
        <v>277</v>
      </c>
      <c r="J10253" t="s">
        <v>226</v>
      </c>
    </row>
    <row r="10254" spans="1:10" x14ac:dyDescent="0.35">
      <c r="A10254" t="s">
        <v>227</v>
      </c>
      <c r="B10254" t="s">
        <v>259</v>
      </c>
      <c r="C10254" s="2">
        <v>0.27139999999999997</v>
      </c>
      <c r="D10254" s="2">
        <v>0.3322</v>
      </c>
      <c r="E10254" s="2">
        <v>0.20200000000000001</v>
      </c>
      <c r="F10254" s="2">
        <v>9.64E-2</v>
      </c>
      <c r="G10254" s="2">
        <v>7.51E-2</v>
      </c>
      <c r="H10254" s="2">
        <v>1.8700000000000001E-2</v>
      </c>
      <c r="I10254" s="2">
        <v>4.1000000000000003E-3</v>
      </c>
      <c r="J10254">
        <v>69</v>
      </c>
    </row>
    <row r="10255" spans="1:10" x14ac:dyDescent="0.35">
      <c r="A10255" t="s">
        <v>227</v>
      </c>
      <c r="B10255" t="s">
        <v>257</v>
      </c>
      <c r="C10255" s="2">
        <v>0.14169999999999999</v>
      </c>
      <c r="D10255" s="2">
        <v>0.31030000000000002</v>
      </c>
      <c r="E10255" s="2">
        <v>0.22370000000000001</v>
      </c>
      <c r="F10255" s="2">
        <v>0.12180000000000001</v>
      </c>
      <c r="G10255" s="2">
        <v>0.1384</v>
      </c>
      <c r="H10255" s="2">
        <v>5.8099999999999999E-2</v>
      </c>
      <c r="I10255" s="2">
        <v>6.0000000000000001E-3</v>
      </c>
      <c r="J10255">
        <v>405</v>
      </c>
    </row>
    <row r="10256" spans="1:10" x14ac:dyDescent="0.35">
      <c r="A10256" t="s">
        <v>227</v>
      </c>
      <c r="B10256" t="s">
        <v>256</v>
      </c>
      <c r="C10256" s="2">
        <v>0.628</v>
      </c>
      <c r="D10256" s="2">
        <v>0.18509999999999999</v>
      </c>
      <c r="E10256" s="2">
        <v>5.1799999999999999E-2</v>
      </c>
      <c r="F10256" s="2">
        <v>5.6500000000000002E-2</v>
      </c>
      <c r="G10256" s="2">
        <v>3.0800000000000001E-2</v>
      </c>
      <c r="H10256" s="2">
        <v>3.5499999999999997E-2</v>
      </c>
      <c r="I10256" s="2">
        <v>1.24E-2</v>
      </c>
      <c r="J10256">
        <v>1803</v>
      </c>
    </row>
    <row r="10257" spans="1:10" x14ac:dyDescent="0.35">
      <c r="A10257" s="3" t="s">
        <v>227</v>
      </c>
      <c r="B10257" s="3" t="s">
        <v>232</v>
      </c>
      <c r="C10257" s="4">
        <v>0.72889999999999999</v>
      </c>
      <c r="D10257" s="4">
        <v>6.8099999999999994E-2</v>
      </c>
      <c r="E10257" s="4">
        <v>0.12509999999999999</v>
      </c>
      <c r="F10257" s="5"/>
      <c r="G10257" s="4">
        <v>7.7899999999999997E-2</v>
      </c>
      <c r="H10257" s="5"/>
      <c r="I10257" s="5"/>
      <c r="J10257" s="5" t="s">
        <v>307</v>
      </c>
    </row>
    <row r="10258" spans="1:10" x14ac:dyDescent="0.35">
      <c r="A10258" t="s">
        <v>227</v>
      </c>
      <c r="B10258" t="s">
        <v>258</v>
      </c>
      <c r="C10258" s="2">
        <v>0.39889999999999998</v>
      </c>
      <c r="D10258" s="2">
        <v>0.34279999999999999</v>
      </c>
      <c r="E10258" s="2">
        <v>8.3199999999999996E-2</v>
      </c>
      <c r="F10258" s="2">
        <v>7.0300000000000001E-2</v>
      </c>
      <c r="G10258" s="2">
        <v>5.74E-2</v>
      </c>
      <c r="H10258" s="2">
        <v>4.48E-2</v>
      </c>
      <c r="I10258" s="2">
        <v>2.5000000000000001E-3</v>
      </c>
      <c r="J10258">
        <v>525</v>
      </c>
    </row>
    <row r="10259" spans="1:10" x14ac:dyDescent="0.35">
      <c r="A10259" t="s">
        <v>228</v>
      </c>
      <c r="B10259" t="s">
        <v>228</v>
      </c>
      <c r="C10259" s="2">
        <v>0.50619999999999998</v>
      </c>
      <c r="D10259" s="2">
        <v>0.23180000000000001</v>
      </c>
      <c r="E10259" s="2">
        <v>8.8099999999999998E-2</v>
      </c>
      <c r="F10259" s="2">
        <v>7.0099999999999996E-2</v>
      </c>
      <c r="G10259" s="2">
        <v>5.3699999999999998E-2</v>
      </c>
      <c r="H10259" s="2">
        <v>4.0300000000000002E-2</v>
      </c>
      <c r="I10259" s="2">
        <v>9.7000000000000003E-3</v>
      </c>
      <c r="J10259">
        <v>2813</v>
      </c>
    </row>
    <row r="10261" spans="1:10" x14ac:dyDescent="0.35">
      <c r="A10261" s="1" t="s">
        <v>2380</v>
      </c>
    </row>
    <row r="10262" spans="1:10" x14ac:dyDescent="0.35">
      <c r="A10262" t="s">
        <v>219</v>
      </c>
      <c r="B10262" t="s">
        <v>301</v>
      </c>
      <c r="C10262" t="s">
        <v>2366</v>
      </c>
      <c r="D10262" t="s">
        <v>2367</v>
      </c>
      <c r="E10262" t="s">
        <v>2368</v>
      </c>
      <c r="F10262" t="s">
        <v>2369</v>
      </c>
      <c r="G10262" t="s">
        <v>2370</v>
      </c>
      <c r="H10262" t="s">
        <v>2371</v>
      </c>
      <c r="I10262" t="s">
        <v>277</v>
      </c>
      <c r="J10262" t="s">
        <v>226</v>
      </c>
    </row>
    <row r="10263" spans="1:10" x14ac:dyDescent="0.35">
      <c r="A10263" t="s">
        <v>227</v>
      </c>
      <c r="B10263" t="s">
        <v>343</v>
      </c>
      <c r="C10263" s="2">
        <v>0.14169999999999999</v>
      </c>
      <c r="D10263" s="2">
        <v>0.31030000000000002</v>
      </c>
      <c r="E10263" s="2">
        <v>0.22370000000000001</v>
      </c>
      <c r="F10263" s="2">
        <v>0.12180000000000001</v>
      </c>
      <c r="G10263" s="2">
        <v>0.1384</v>
      </c>
      <c r="H10263" s="2">
        <v>5.8099999999999999E-2</v>
      </c>
      <c r="I10263" s="2">
        <v>6.0000000000000001E-3</v>
      </c>
      <c r="J10263">
        <v>405</v>
      </c>
    </row>
    <row r="10264" spans="1:10" x14ac:dyDescent="0.35">
      <c r="A10264" t="s">
        <v>227</v>
      </c>
      <c r="B10264" t="s">
        <v>344</v>
      </c>
      <c r="C10264" s="2">
        <v>0.58040000000000003</v>
      </c>
      <c r="D10264" s="2">
        <v>0.21579999999999999</v>
      </c>
      <c r="E10264" s="2">
        <v>6.0600000000000001E-2</v>
      </c>
      <c r="F10264" s="2">
        <v>5.96E-2</v>
      </c>
      <c r="G10264" s="2">
        <v>3.6499999999999998E-2</v>
      </c>
      <c r="H10264" s="2">
        <v>3.6700000000000003E-2</v>
      </c>
      <c r="I10264" s="2">
        <v>1.0500000000000001E-2</v>
      </c>
      <c r="J10264">
        <v>2408</v>
      </c>
    </row>
    <row r="10265" spans="1:10" x14ac:dyDescent="0.35">
      <c r="A10265" t="s">
        <v>228</v>
      </c>
      <c r="B10265" t="s">
        <v>228</v>
      </c>
      <c r="C10265" s="2">
        <v>0.50619999999999998</v>
      </c>
      <c r="D10265" s="2">
        <v>0.23180000000000001</v>
      </c>
      <c r="E10265" s="2">
        <v>8.8099999999999998E-2</v>
      </c>
      <c r="F10265" s="2">
        <v>7.0099999999999996E-2</v>
      </c>
      <c r="G10265" s="2">
        <v>5.3699999999999998E-2</v>
      </c>
      <c r="H10265" s="2">
        <v>4.0300000000000002E-2</v>
      </c>
      <c r="I10265" s="2">
        <v>9.7000000000000003E-3</v>
      </c>
      <c r="J10265">
        <v>2813</v>
      </c>
    </row>
    <row r="10267" spans="1:10" x14ac:dyDescent="0.35">
      <c r="A10267" s="1" t="s">
        <v>2381</v>
      </c>
    </row>
    <row r="10268" spans="1:10" x14ac:dyDescent="0.35">
      <c r="A10268" t="s">
        <v>219</v>
      </c>
      <c r="B10268" t="s">
        <v>301</v>
      </c>
      <c r="C10268" t="s">
        <v>2366</v>
      </c>
      <c r="D10268" t="s">
        <v>2367</v>
      </c>
      <c r="E10268" t="s">
        <v>2368</v>
      </c>
      <c r="F10268" t="s">
        <v>2369</v>
      </c>
      <c r="G10268" t="s">
        <v>2370</v>
      </c>
      <c r="H10268" t="s">
        <v>2371</v>
      </c>
      <c r="I10268" t="s">
        <v>277</v>
      </c>
      <c r="J10268" t="s">
        <v>226</v>
      </c>
    </row>
    <row r="10269" spans="1:10" x14ac:dyDescent="0.35">
      <c r="A10269" t="s">
        <v>227</v>
      </c>
      <c r="B10269" t="s">
        <v>346</v>
      </c>
      <c r="C10269" s="2">
        <v>0.54759999999999998</v>
      </c>
      <c r="D10269" s="2">
        <v>0.21099999999999999</v>
      </c>
      <c r="E10269" s="2">
        <v>7.8399999999999997E-2</v>
      </c>
      <c r="F10269" s="2">
        <v>6.7699999999999996E-2</v>
      </c>
      <c r="G10269" s="2">
        <v>4.82E-2</v>
      </c>
      <c r="H10269" s="2">
        <v>3.78E-2</v>
      </c>
      <c r="I10269" s="2">
        <v>9.4999999999999998E-3</v>
      </c>
      <c r="J10269">
        <v>1463</v>
      </c>
    </row>
    <row r="10270" spans="1:10" x14ac:dyDescent="0.35">
      <c r="A10270" t="s">
        <v>227</v>
      </c>
      <c r="B10270" t="s">
        <v>347</v>
      </c>
      <c r="C10270" s="2">
        <v>0.1628</v>
      </c>
      <c r="D10270" s="2">
        <v>0.27610000000000001</v>
      </c>
      <c r="E10270" s="2">
        <v>0.22839999999999999</v>
      </c>
      <c r="F10270" s="2">
        <v>9.4600000000000004E-2</v>
      </c>
      <c r="G10270" s="2">
        <v>0.14380000000000001</v>
      </c>
      <c r="H10270" s="2">
        <v>7.6600000000000001E-2</v>
      </c>
      <c r="I10270" s="2">
        <v>1.77E-2</v>
      </c>
      <c r="J10270">
        <v>585</v>
      </c>
    </row>
    <row r="10271" spans="1:10" x14ac:dyDescent="0.35">
      <c r="A10271" t="s">
        <v>227</v>
      </c>
      <c r="B10271" t="s">
        <v>348</v>
      </c>
      <c r="C10271" s="2">
        <v>0.26240000000000002</v>
      </c>
      <c r="D10271" s="2">
        <v>0.4032</v>
      </c>
      <c r="E10271" s="2">
        <v>0.123</v>
      </c>
      <c r="F10271" s="2">
        <v>8.2900000000000001E-2</v>
      </c>
      <c r="G10271" s="2">
        <v>7.0000000000000007E-2</v>
      </c>
      <c r="H10271" s="2">
        <v>4.9799999999999997E-2</v>
      </c>
      <c r="I10271" s="2">
        <v>8.6999999999999994E-3</v>
      </c>
      <c r="J10271">
        <v>765</v>
      </c>
    </row>
    <row r="10272" spans="1:10" x14ac:dyDescent="0.35">
      <c r="A10272" t="s">
        <v>228</v>
      </c>
      <c r="B10272" t="s">
        <v>228</v>
      </c>
      <c r="C10272" s="2">
        <v>0.50619999999999998</v>
      </c>
      <c r="D10272" s="2">
        <v>0.23180000000000001</v>
      </c>
      <c r="E10272" s="2">
        <v>8.8099999999999998E-2</v>
      </c>
      <c r="F10272" s="2">
        <v>7.0099999999999996E-2</v>
      </c>
      <c r="G10272" s="2">
        <v>5.3699999999999998E-2</v>
      </c>
      <c r="H10272" s="2">
        <v>4.0300000000000002E-2</v>
      </c>
      <c r="I10272" s="2">
        <v>9.7000000000000003E-3</v>
      </c>
      <c r="J10272">
        <v>2813</v>
      </c>
    </row>
    <row r="10274" spans="1:10" x14ac:dyDescent="0.35">
      <c r="A10274" s="1" t="s">
        <v>2382</v>
      </c>
    </row>
    <row r="10275" spans="1:10" x14ac:dyDescent="0.35">
      <c r="A10275" t="s">
        <v>219</v>
      </c>
      <c r="B10275" t="s">
        <v>301</v>
      </c>
      <c r="C10275" t="s">
        <v>2366</v>
      </c>
      <c r="D10275" t="s">
        <v>2367</v>
      </c>
      <c r="E10275" t="s">
        <v>2368</v>
      </c>
      <c r="F10275" t="s">
        <v>2369</v>
      </c>
      <c r="G10275" t="s">
        <v>2370</v>
      </c>
      <c r="H10275" t="s">
        <v>2371</v>
      </c>
      <c r="I10275" t="s">
        <v>277</v>
      </c>
      <c r="J10275" t="s">
        <v>226</v>
      </c>
    </row>
    <row r="10276" spans="1:10" x14ac:dyDescent="0.35">
      <c r="A10276" t="s">
        <v>227</v>
      </c>
      <c r="B10276" t="s">
        <v>251</v>
      </c>
      <c r="C10276" s="2">
        <v>0.52170000000000005</v>
      </c>
      <c r="D10276" s="2">
        <v>0.21609999999999999</v>
      </c>
      <c r="E10276" s="2">
        <v>8.2100000000000006E-2</v>
      </c>
      <c r="F10276" s="2">
        <v>7.2499999999999995E-2</v>
      </c>
      <c r="G10276" s="2">
        <v>5.5800000000000002E-2</v>
      </c>
      <c r="H10276" s="2">
        <v>4.02E-2</v>
      </c>
      <c r="I10276" s="2">
        <v>1.1599999999999999E-2</v>
      </c>
      <c r="J10276">
        <v>2030</v>
      </c>
    </row>
    <row r="10277" spans="1:10" x14ac:dyDescent="0.35">
      <c r="A10277" t="s">
        <v>227</v>
      </c>
      <c r="B10277" t="s">
        <v>252</v>
      </c>
      <c r="C10277" s="2">
        <v>0.48</v>
      </c>
      <c r="D10277" s="2">
        <v>0.28420000000000001</v>
      </c>
      <c r="E10277" s="2">
        <v>0.10009999999999999</v>
      </c>
      <c r="F10277" s="2">
        <v>4.8399999999999999E-2</v>
      </c>
      <c r="G10277" s="2">
        <v>4.1300000000000003E-2</v>
      </c>
      <c r="H10277" s="2">
        <v>4.1000000000000002E-2</v>
      </c>
      <c r="I10277" s="2">
        <v>5.1000000000000004E-3</v>
      </c>
      <c r="J10277">
        <v>621</v>
      </c>
    </row>
    <row r="10278" spans="1:10" x14ac:dyDescent="0.35">
      <c r="A10278" t="s">
        <v>227</v>
      </c>
      <c r="B10278" t="s">
        <v>253</v>
      </c>
      <c r="C10278" s="2">
        <v>0.4138</v>
      </c>
      <c r="D10278" s="2">
        <v>0.222</v>
      </c>
      <c r="E10278" s="2">
        <v>0.1045</v>
      </c>
      <c r="F10278" s="2">
        <v>0.13519999999999999</v>
      </c>
      <c r="G10278" s="2">
        <v>8.1900000000000001E-2</v>
      </c>
      <c r="H10278" s="2">
        <v>4.0500000000000001E-2</v>
      </c>
      <c r="I10278" s="2">
        <v>2E-3</v>
      </c>
      <c r="J10278">
        <v>153</v>
      </c>
    </row>
    <row r="10279" spans="1:10" x14ac:dyDescent="0.35">
      <c r="A10279" s="3" t="s">
        <v>227</v>
      </c>
      <c r="B10279" s="3" t="s">
        <v>254</v>
      </c>
      <c r="C10279" s="4">
        <v>0.40560000000000002</v>
      </c>
      <c r="D10279" s="4">
        <v>6.1199999999999997E-2</v>
      </c>
      <c r="E10279" s="4">
        <v>0.47520000000000001</v>
      </c>
      <c r="F10279" s="5"/>
      <c r="G10279" s="5"/>
      <c r="H10279" s="5"/>
      <c r="I10279" s="4">
        <v>5.8000000000000003E-2</v>
      </c>
      <c r="J10279" s="5" t="s">
        <v>515</v>
      </c>
    </row>
    <row r="10280" spans="1:10" x14ac:dyDescent="0.35">
      <c r="A10280" t="s">
        <v>228</v>
      </c>
      <c r="B10280" t="s">
        <v>228</v>
      </c>
      <c r="C10280" s="2">
        <v>0.50619999999999998</v>
      </c>
      <c r="D10280" s="2">
        <v>0.23180000000000001</v>
      </c>
      <c r="E10280" s="2">
        <v>8.8099999999999998E-2</v>
      </c>
      <c r="F10280" s="2">
        <v>7.0099999999999996E-2</v>
      </c>
      <c r="G10280" s="2">
        <v>5.3699999999999998E-2</v>
      </c>
      <c r="H10280" s="2">
        <v>4.0300000000000002E-2</v>
      </c>
      <c r="I10280" s="2">
        <v>9.7000000000000003E-3</v>
      </c>
      <c r="J10280">
        <v>2813</v>
      </c>
    </row>
    <row r="10282" spans="1:10" x14ac:dyDescent="0.35">
      <c r="A10282" s="1" t="s">
        <v>2383</v>
      </c>
    </row>
    <row r="10283" spans="1:10" x14ac:dyDescent="0.35">
      <c r="A10283" t="s">
        <v>219</v>
      </c>
      <c r="B10283" t="s">
        <v>301</v>
      </c>
      <c r="C10283" t="s">
        <v>2366</v>
      </c>
      <c r="D10283" t="s">
        <v>2367</v>
      </c>
      <c r="E10283" t="s">
        <v>2368</v>
      </c>
      <c r="F10283" t="s">
        <v>2369</v>
      </c>
      <c r="G10283" t="s">
        <v>2370</v>
      </c>
      <c r="H10283" t="s">
        <v>2371</v>
      </c>
      <c r="I10283" t="s">
        <v>277</v>
      </c>
      <c r="J10283" t="s">
        <v>226</v>
      </c>
    </row>
    <row r="10284" spans="1:10" x14ac:dyDescent="0.35">
      <c r="A10284" t="s">
        <v>227</v>
      </c>
      <c r="B10284" t="s">
        <v>1335</v>
      </c>
      <c r="C10284" s="2">
        <v>0.56420000000000003</v>
      </c>
      <c r="D10284" s="2">
        <v>0.223</v>
      </c>
      <c r="E10284" s="2">
        <v>5.8299999999999998E-2</v>
      </c>
      <c r="F10284" s="2">
        <v>5.8599999999999999E-2</v>
      </c>
      <c r="G10284" s="2">
        <v>4.8399999999999999E-2</v>
      </c>
      <c r="H10284" s="2">
        <v>3.9100000000000003E-2</v>
      </c>
      <c r="I10284" s="2">
        <v>8.3999999999999995E-3</v>
      </c>
      <c r="J10284">
        <v>848</v>
      </c>
    </row>
    <row r="10285" spans="1:10" x14ac:dyDescent="0.35">
      <c r="A10285" s="3" t="s">
        <v>227</v>
      </c>
      <c r="B10285" s="3" t="s">
        <v>1336</v>
      </c>
      <c r="C10285" s="5"/>
      <c r="D10285" s="4">
        <v>0.59340000000000004</v>
      </c>
      <c r="E10285" s="5"/>
      <c r="F10285" s="5"/>
      <c r="G10285" s="4">
        <v>0.40660000000000002</v>
      </c>
      <c r="H10285" s="5"/>
      <c r="I10285" s="5"/>
      <c r="J10285" s="5" t="s">
        <v>434</v>
      </c>
    </row>
    <row r="10286" spans="1:10" x14ac:dyDescent="0.35">
      <c r="A10286" t="s">
        <v>227</v>
      </c>
      <c r="B10286" t="s">
        <v>1337</v>
      </c>
      <c r="C10286" s="2">
        <v>0.4783</v>
      </c>
      <c r="D10286" s="2">
        <v>0.23530000000000001</v>
      </c>
      <c r="E10286" s="2">
        <v>0.10340000000000001</v>
      </c>
      <c r="F10286" s="2">
        <v>7.6100000000000001E-2</v>
      </c>
      <c r="G10286" s="2">
        <v>5.5599999999999997E-2</v>
      </c>
      <c r="H10286" s="2">
        <v>4.1000000000000002E-2</v>
      </c>
      <c r="I10286" s="2">
        <v>1.04E-2</v>
      </c>
      <c r="J10286">
        <v>1963</v>
      </c>
    </row>
    <row r="10287" spans="1:10" x14ac:dyDescent="0.35">
      <c r="A10287" t="s">
        <v>228</v>
      </c>
      <c r="B10287" t="s">
        <v>228</v>
      </c>
      <c r="C10287" s="2">
        <v>0.50619999999999998</v>
      </c>
      <c r="D10287" s="2">
        <v>0.23180000000000001</v>
      </c>
      <c r="E10287" s="2">
        <v>8.8099999999999998E-2</v>
      </c>
      <c r="F10287" s="2">
        <v>7.0099999999999996E-2</v>
      </c>
      <c r="G10287" s="2">
        <v>5.3699999999999998E-2</v>
      </c>
      <c r="H10287" s="2">
        <v>4.0300000000000002E-2</v>
      </c>
      <c r="I10287" s="2">
        <v>9.7000000000000003E-3</v>
      </c>
      <c r="J10287">
        <v>2813</v>
      </c>
    </row>
    <row r="10289" spans="1:11" x14ac:dyDescent="0.35">
      <c r="A10289" s="1" t="s">
        <v>2384</v>
      </c>
    </row>
    <row r="10290" spans="1:11" x14ac:dyDescent="0.35">
      <c r="A10290" t="s">
        <v>219</v>
      </c>
      <c r="B10290" t="s">
        <v>301</v>
      </c>
      <c r="C10290" t="s">
        <v>2366</v>
      </c>
      <c r="D10290" t="s">
        <v>2367</v>
      </c>
      <c r="E10290" t="s">
        <v>2368</v>
      </c>
      <c r="F10290" t="s">
        <v>2369</v>
      </c>
      <c r="G10290" t="s">
        <v>2370</v>
      </c>
      <c r="H10290" t="s">
        <v>2371</v>
      </c>
      <c r="I10290" t="s">
        <v>277</v>
      </c>
      <c r="J10290" t="s">
        <v>226</v>
      </c>
    </row>
    <row r="10291" spans="1:11" x14ac:dyDescent="0.35">
      <c r="A10291" t="s">
        <v>227</v>
      </c>
      <c r="B10291" t="s">
        <v>1339</v>
      </c>
      <c r="C10291" s="2">
        <v>0.55100000000000005</v>
      </c>
      <c r="D10291" s="2">
        <v>0.1734</v>
      </c>
      <c r="E10291" s="2">
        <v>0.13400000000000001</v>
      </c>
      <c r="F10291" s="2">
        <v>7.4499999999999997E-2</v>
      </c>
      <c r="G10291" s="2">
        <v>4.1000000000000003E-3</v>
      </c>
      <c r="H10291" s="2">
        <v>5.4300000000000001E-2</v>
      </c>
      <c r="I10291" s="2">
        <v>8.6999999999999994E-3</v>
      </c>
      <c r="J10291">
        <v>51</v>
      </c>
    </row>
    <row r="10292" spans="1:11" x14ac:dyDescent="0.35">
      <c r="A10292" t="s">
        <v>227</v>
      </c>
      <c r="B10292" t="s">
        <v>1340</v>
      </c>
      <c r="C10292" s="2">
        <v>0.50980000000000003</v>
      </c>
      <c r="D10292" s="2">
        <v>0.2437</v>
      </c>
      <c r="E10292" s="2">
        <v>9.5799999999999996E-2</v>
      </c>
      <c r="F10292" s="2">
        <v>6.5100000000000005E-2</v>
      </c>
      <c r="G10292" s="2">
        <v>3.6299999999999999E-2</v>
      </c>
      <c r="H10292" s="2">
        <v>3.0300000000000001E-2</v>
      </c>
      <c r="I10292" s="2">
        <v>1.9E-2</v>
      </c>
      <c r="J10292">
        <v>729</v>
      </c>
    </row>
    <row r="10293" spans="1:11" x14ac:dyDescent="0.35">
      <c r="A10293" t="s">
        <v>227</v>
      </c>
      <c r="B10293" t="s">
        <v>1341</v>
      </c>
      <c r="C10293" s="2">
        <v>0.51949999999999996</v>
      </c>
      <c r="D10293" s="2">
        <v>0.24310000000000001</v>
      </c>
      <c r="E10293" s="2">
        <v>6.7799999999999999E-2</v>
      </c>
      <c r="F10293" s="2">
        <v>7.1199999999999999E-2</v>
      </c>
      <c r="G10293" s="2">
        <v>5.2299999999999999E-2</v>
      </c>
      <c r="H10293" s="2">
        <v>4.3299999999999998E-2</v>
      </c>
      <c r="I10293" s="2">
        <v>2.8E-3</v>
      </c>
      <c r="J10293">
        <v>1344</v>
      </c>
    </row>
    <row r="10294" spans="1:11" x14ac:dyDescent="0.35">
      <c r="A10294" t="s">
        <v>227</v>
      </c>
      <c r="B10294" t="s">
        <v>1342</v>
      </c>
      <c r="C10294" s="2">
        <v>0.46960000000000002</v>
      </c>
      <c r="D10294" s="2">
        <v>0.2009</v>
      </c>
      <c r="E10294" s="2">
        <v>0.1198</v>
      </c>
      <c r="F10294" s="2">
        <v>7.2499999999999995E-2</v>
      </c>
      <c r="G10294" s="2">
        <v>7.9299999999999995E-2</v>
      </c>
      <c r="H10294" s="2">
        <v>4.2700000000000002E-2</v>
      </c>
      <c r="I10294" s="2">
        <v>1.52E-2</v>
      </c>
      <c r="J10294">
        <v>689</v>
      </c>
    </row>
    <row r="10295" spans="1:11" x14ac:dyDescent="0.35">
      <c r="A10295" t="s">
        <v>228</v>
      </c>
      <c r="B10295" t="s">
        <v>228</v>
      </c>
      <c r="C10295" s="2">
        <v>0.50619999999999998</v>
      </c>
      <c r="D10295" s="2">
        <v>0.23180000000000001</v>
      </c>
      <c r="E10295" s="2">
        <v>8.8099999999999998E-2</v>
      </c>
      <c r="F10295" s="2">
        <v>7.0099999999999996E-2</v>
      </c>
      <c r="G10295" s="2">
        <v>5.3699999999999998E-2</v>
      </c>
      <c r="H10295" s="2">
        <v>4.0300000000000002E-2</v>
      </c>
      <c r="I10295" s="2">
        <v>9.7000000000000003E-3</v>
      </c>
      <c r="J10295">
        <v>2813</v>
      </c>
    </row>
    <row r="10297" spans="1:11" x14ac:dyDescent="0.35">
      <c r="A10297" s="1" t="s">
        <v>2385</v>
      </c>
    </row>
    <row r="10298" spans="1:11" x14ac:dyDescent="0.35">
      <c r="A10298" t="s">
        <v>219</v>
      </c>
      <c r="B10298" t="s">
        <v>301</v>
      </c>
      <c r="C10298" t="s">
        <v>325</v>
      </c>
      <c r="D10298" t="s">
        <v>2366</v>
      </c>
      <c r="E10298" t="s">
        <v>2367</v>
      </c>
      <c r="F10298" t="s">
        <v>2368</v>
      </c>
      <c r="G10298" t="s">
        <v>2369</v>
      </c>
      <c r="H10298" t="s">
        <v>2370</v>
      </c>
      <c r="I10298" t="s">
        <v>2371</v>
      </c>
      <c r="J10298" t="s">
        <v>277</v>
      </c>
      <c r="K10298" t="s">
        <v>226</v>
      </c>
    </row>
    <row r="10299" spans="1:11" x14ac:dyDescent="0.35">
      <c r="A10299" s="3" t="s">
        <v>227</v>
      </c>
      <c r="B10299" s="3" t="s">
        <v>1335</v>
      </c>
      <c r="C10299" s="3" t="s">
        <v>1339</v>
      </c>
      <c r="D10299" s="4">
        <v>0.39090000000000003</v>
      </c>
      <c r="E10299" s="4">
        <v>0.33179999999999998</v>
      </c>
      <c r="F10299" s="5"/>
      <c r="G10299" s="4">
        <v>0.2034</v>
      </c>
      <c r="H10299" s="5"/>
      <c r="I10299" s="4">
        <v>6.2199999999999998E-2</v>
      </c>
      <c r="J10299" s="4">
        <v>1.17E-2</v>
      </c>
      <c r="K10299" s="5" t="s">
        <v>427</v>
      </c>
    </row>
    <row r="10300" spans="1:11" x14ac:dyDescent="0.35">
      <c r="A10300" t="s">
        <v>227</v>
      </c>
      <c r="B10300" t="s">
        <v>1335</v>
      </c>
      <c r="C10300" t="s">
        <v>1340</v>
      </c>
      <c r="D10300" s="2">
        <v>0.53990000000000005</v>
      </c>
      <c r="E10300" s="2">
        <v>0.2356</v>
      </c>
      <c r="F10300" s="2">
        <v>6.7900000000000002E-2</v>
      </c>
      <c r="G10300" s="2">
        <v>4.8000000000000001E-2</v>
      </c>
      <c r="H10300" s="2">
        <v>4.1300000000000003E-2</v>
      </c>
      <c r="I10300" s="2">
        <v>4.5900000000000003E-2</v>
      </c>
      <c r="J10300" s="2">
        <v>2.1399999999999999E-2</v>
      </c>
      <c r="K10300">
        <v>252</v>
      </c>
    </row>
    <row r="10301" spans="1:11" x14ac:dyDescent="0.35">
      <c r="A10301" t="s">
        <v>227</v>
      </c>
      <c r="B10301" t="s">
        <v>1335</v>
      </c>
      <c r="C10301" t="s">
        <v>1341</v>
      </c>
      <c r="D10301" s="2">
        <v>0.55000000000000004</v>
      </c>
      <c r="E10301" s="2">
        <v>0.23899999999999999</v>
      </c>
      <c r="F10301" s="2">
        <v>4.7899999999999998E-2</v>
      </c>
      <c r="G10301" s="2">
        <v>7.5200000000000003E-2</v>
      </c>
      <c r="H10301" s="2">
        <v>4.5900000000000003E-2</v>
      </c>
      <c r="I10301" s="2">
        <v>3.6999999999999998E-2</v>
      </c>
      <c r="J10301" s="2">
        <v>5.0000000000000001E-3</v>
      </c>
      <c r="K10301">
        <v>419</v>
      </c>
    </row>
    <row r="10302" spans="1:11" x14ac:dyDescent="0.35">
      <c r="A10302" t="s">
        <v>227</v>
      </c>
      <c r="B10302" t="s">
        <v>1335</v>
      </c>
      <c r="C10302" t="s">
        <v>1342</v>
      </c>
      <c r="D10302" s="2">
        <v>0.65680000000000005</v>
      </c>
      <c r="E10302" s="2">
        <v>0.14910000000000001</v>
      </c>
      <c r="F10302" s="2">
        <v>8.09E-2</v>
      </c>
      <c r="G10302" s="2">
        <v>9.4000000000000004E-3</v>
      </c>
      <c r="H10302" s="2">
        <v>7.0699999999999999E-2</v>
      </c>
      <c r="I10302" s="2">
        <v>3.3000000000000002E-2</v>
      </c>
      <c r="K10302">
        <v>157</v>
      </c>
    </row>
    <row r="10303" spans="1:11" x14ac:dyDescent="0.35">
      <c r="A10303" s="3" t="s">
        <v>227</v>
      </c>
      <c r="B10303" s="3" t="s">
        <v>1336</v>
      </c>
      <c r="C10303" s="3" t="s">
        <v>1341</v>
      </c>
      <c r="D10303" s="5"/>
      <c r="E10303" s="4">
        <v>0.59340000000000004</v>
      </c>
      <c r="F10303" s="5"/>
      <c r="G10303" s="5"/>
      <c r="H10303" s="4">
        <v>0.40660000000000002</v>
      </c>
      <c r="I10303" s="5"/>
      <c r="J10303" s="5"/>
      <c r="K10303" s="5" t="s">
        <v>434</v>
      </c>
    </row>
    <row r="10304" spans="1:11" x14ac:dyDescent="0.35">
      <c r="A10304" t="s">
        <v>227</v>
      </c>
      <c r="B10304" t="s">
        <v>1337</v>
      </c>
      <c r="C10304" t="s">
        <v>1339</v>
      </c>
      <c r="D10304" s="2">
        <v>0.64339999999999997</v>
      </c>
      <c r="E10304" s="2">
        <v>8.1900000000000001E-2</v>
      </c>
      <c r="F10304" s="2">
        <v>0.2114</v>
      </c>
      <c r="H10304" s="2">
        <v>6.4999999999999997E-3</v>
      </c>
      <c r="I10304" s="2">
        <v>4.9700000000000001E-2</v>
      </c>
      <c r="J10304" s="2">
        <v>7.1000000000000004E-3</v>
      </c>
      <c r="K10304">
        <v>31</v>
      </c>
    </row>
    <row r="10305" spans="1:23" x14ac:dyDescent="0.35">
      <c r="A10305" t="s">
        <v>227</v>
      </c>
      <c r="B10305" t="s">
        <v>1337</v>
      </c>
      <c r="C10305" t="s">
        <v>1340</v>
      </c>
      <c r="D10305" s="2">
        <v>0.49270000000000003</v>
      </c>
      <c r="E10305" s="2">
        <v>0.24840000000000001</v>
      </c>
      <c r="F10305" s="2">
        <v>0.1116</v>
      </c>
      <c r="G10305" s="2">
        <v>7.4800000000000005E-2</v>
      </c>
      <c r="H10305" s="2">
        <v>3.3599999999999998E-2</v>
      </c>
      <c r="I10305" s="2">
        <v>2.1399999999999999E-2</v>
      </c>
      <c r="J10305" s="2">
        <v>1.7600000000000001E-2</v>
      </c>
      <c r="K10305">
        <v>477</v>
      </c>
    </row>
    <row r="10306" spans="1:23" x14ac:dyDescent="0.35">
      <c r="A10306" t="s">
        <v>227</v>
      </c>
      <c r="B10306" t="s">
        <v>1337</v>
      </c>
      <c r="C10306" t="s">
        <v>1341</v>
      </c>
      <c r="D10306" s="2">
        <v>0.50590000000000002</v>
      </c>
      <c r="E10306" s="2">
        <v>0.24349999999999999</v>
      </c>
      <c r="F10306" s="2">
        <v>7.8700000000000006E-2</v>
      </c>
      <c r="G10306" s="2">
        <v>6.93E-2</v>
      </c>
      <c r="H10306" s="2">
        <v>5.3999999999999999E-2</v>
      </c>
      <c r="I10306" s="2">
        <v>4.6899999999999997E-2</v>
      </c>
      <c r="J10306" s="2">
        <v>1.6999999999999999E-3</v>
      </c>
      <c r="K10306">
        <v>923</v>
      </c>
    </row>
    <row r="10307" spans="1:23" x14ac:dyDescent="0.35">
      <c r="A10307" t="s">
        <v>227</v>
      </c>
      <c r="B10307" t="s">
        <v>1337</v>
      </c>
      <c r="C10307" t="s">
        <v>1342</v>
      </c>
      <c r="D10307" s="2">
        <v>0.39779999999999999</v>
      </c>
      <c r="E10307" s="2">
        <v>0.22070000000000001</v>
      </c>
      <c r="F10307" s="2">
        <v>0.1348</v>
      </c>
      <c r="G10307" s="2">
        <v>9.6799999999999997E-2</v>
      </c>
      <c r="H10307" s="2">
        <v>8.2500000000000004E-2</v>
      </c>
      <c r="I10307" s="2">
        <v>4.6399999999999997E-2</v>
      </c>
      <c r="J10307" s="2">
        <v>2.1000000000000001E-2</v>
      </c>
      <c r="K10307">
        <v>532</v>
      </c>
    </row>
    <row r="10308" spans="1:23" x14ac:dyDescent="0.35">
      <c r="A10308" t="s">
        <v>228</v>
      </c>
      <c r="B10308" t="s">
        <v>228</v>
      </c>
      <c r="C10308" t="s">
        <v>228</v>
      </c>
      <c r="D10308" s="2">
        <v>0.50619999999999998</v>
      </c>
      <c r="E10308" s="2">
        <v>0.23180000000000001</v>
      </c>
      <c r="F10308" s="2">
        <v>8.8099999999999998E-2</v>
      </c>
      <c r="G10308" s="2">
        <v>7.0099999999999996E-2</v>
      </c>
      <c r="H10308" s="2">
        <v>5.3699999999999998E-2</v>
      </c>
      <c r="I10308" s="2">
        <v>4.0300000000000002E-2</v>
      </c>
      <c r="J10308" s="2">
        <v>9.7000000000000003E-3</v>
      </c>
      <c r="K10308">
        <v>2813</v>
      </c>
    </row>
    <row r="10310" spans="1:23" x14ac:dyDescent="0.35">
      <c r="A10310" s="1" t="s">
        <v>2386</v>
      </c>
    </row>
    <row r="10311" spans="1:23" x14ac:dyDescent="0.35">
      <c r="A10311" t="s">
        <v>219</v>
      </c>
      <c r="B10311" t="s">
        <v>2387</v>
      </c>
      <c r="C10311" t="s">
        <v>2388</v>
      </c>
      <c r="D10311" t="s">
        <v>2389</v>
      </c>
      <c r="E10311" t="s">
        <v>2390</v>
      </c>
      <c r="F10311" t="s">
        <v>2391</v>
      </c>
      <c r="G10311" t="s">
        <v>2392</v>
      </c>
      <c r="H10311" t="s">
        <v>277</v>
      </c>
      <c r="I10311" t="s">
        <v>2393</v>
      </c>
      <c r="J10311" t="s">
        <v>2394</v>
      </c>
      <c r="K10311" t="s">
        <v>2395</v>
      </c>
      <c r="L10311" t="s">
        <v>2396</v>
      </c>
      <c r="M10311" t="s">
        <v>2397</v>
      </c>
      <c r="N10311" t="s">
        <v>2398</v>
      </c>
      <c r="O10311" t="s">
        <v>2399</v>
      </c>
      <c r="P10311" t="s">
        <v>2400</v>
      </c>
      <c r="Q10311" t="s">
        <v>2401</v>
      </c>
      <c r="R10311" t="s">
        <v>318</v>
      </c>
      <c r="S10311" t="s">
        <v>2402</v>
      </c>
      <c r="T10311" t="s">
        <v>2403</v>
      </c>
      <c r="U10311" t="s">
        <v>282</v>
      </c>
      <c r="V10311" t="s">
        <v>226</v>
      </c>
    </row>
    <row r="10312" spans="1:23" x14ac:dyDescent="0.35">
      <c r="A10312" t="s">
        <v>227</v>
      </c>
      <c r="B10312" s="2">
        <v>0.42699999999999999</v>
      </c>
      <c r="C10312" s="2">
        <v>0.3271</v>
      </c>
      <c r="D10312" s="2">
        <v>9.3799999999999994E-2</v>
      </c>
      <c r="E10312" s="2">
        <v>8.3500000000000005E-2</v>
      </c>
      <c r="F10312" s="2">
        <v>6.6000000000000003E-2</v>
      </c>
      <c r="G10312" s="2">
        <v>5.57E-2</v>
      </c>
      <c r="H10312" s="2">
        <v>1.43E-2</v>
      </c>
      <c r="I10312" s="2">
        <v>1.0999999999999999E-2</v>
      </c>
      <c r="J10312" s="2">
        <v>1.0500000000000001E-2</v>
      </c>
      <c r="K10312" s="2">
        <v>8.8999999999999999E-3</v>
      </c>
      <c r="L10312" s="2">
        <v>7.1999999999999998E-3</v>
      </c>
      <c r="M10312" s="2">
        <v>6.3E-3</v>
      </c>
      <c r="N10312" s="2">
        <v>5.4000000000000003E-3</v>
      </c>
      <c r="O10312" s="2">
        <v>3.8999999999999998E-3</v>
      </c>
      <c r="P10312" s="2">
        <v>2.3999999999999998E-3</v>
      </c>
      <c r="Q10312" s="2">
        <v>2.0999999999999999E-3</v>
      </c>
      <c r="R10312" s="2">
        <v>1.9E-3</v>
      </c>
      <c r="S10312" s="2">
        <v>1.9E-3</v>
      </c>
      <c r="T10312" s="2">
        <v>1.8E-3</v>
      </c>
      <c r="U10312" s="2">
        <v>1.2999999999999999E-3</v>
      </c>
      <c r="V10312">
        <v>2812</v>
      </c>
    </row>
    <row r="10313" spans="1:23" x14ac:dyDescent="0.35">
      <c r="A10313" t="s">
        <v>228</v>
      </c>
      <c r="B10313" s="2">
        <v>0.42699999999999999</v>
      </c>
      <c r="C10313" s="2">
        <v>0.3271</v>
      </c>
      <c r="D10313" s="2">
        <v>9.3799999999999994E-2</v>
      </c>
      <c r="E10313" s="2">
        <v>8.3500000000000005E-2</v>
      </c>
      <c r="F10313" s="2">
        <v>6.6000000000000003E-2</v>
      </c>
      <c r="G10313" s="2">
        <v>5.57E-2</v>
      </c>
      <c r="H10313" s="2">
        <v>1.43E-2</v>
      </c>
      <c r="I10313" s="2">
        <v>1.0999999999999999E-2</v>
      </c>
      <c r="J10313" s="2">
        <v>1.0500000000000001E-2</v>
      </c>
      <c r="K10313" s="2">
        <v>8.8999999999999999E-3</v>
      </c>
      <c r="L10313" s="2">
        <v>7.1999999999999998E-3</v>
      </c>
      <c r="M10313" s="2">
        <v>6.3E-3</v>
      </c>
      <c r="N10313" s="2">
        <v>5.4000000000000003E-3</v>
      </c>
      <c r="O10313" s="2">
        <v>3.8999999999999998E-3</v>
      </c>
      <c r="P10313" s="2">
        <v>2.3999999999999998E-3</v>
      </c>
      <c r="Q10313" s="2">
        <v>2.0999999999999999E-3</v>
      </c>
      <c r="R10313" s="2">
        <v>1.9E-3</v>
      </c>
      <c r="S10313" s="2">
        <v>1.9E-3</v>
      </c>
      <c r="T10313" s="2">
        <v>1.8E-3</v>
      </c>
      <c r="U10313" s="2">
        <v>1.2999999999999999E-3</v>
      </c>
      <c r="V10313">
        <v>2812</v>
      </c>
    </row>
    <row r="10315" spans="1:23" x14ac:dyDescent="0.35">
      <c r="A10315" s="1" t="s">
        <v>2404</v>
      </c>
    </row>
    <row r="10316" spans="1:23" x14ac:dyDescent="0.35">
      <c r="A10316" t="s">
        <v>219</v>
      </c>
      <c r="B10316" t="s">
        <v>301</v>
      </c>
      <c r="C10316" t="s">
        <v>2387</v>
      </c>
      <c r="D10316" t="s">
        <v>2388</v>
      </c>
      <c r="E10316" t="s">
        <v>2389</v>
      </c>
      <c r="F10316" t="s">
        <v>2390</v>
      </c>
      <c r="G10316" t="s">
        <v>2391</v>
      </c>
      <c r="H10316" t="s">
        <v>2392</v>
      </c>
      <c r="I10316" t="s">
        <v>277</v>
      </c>
      <c r="J10316" t="s">
        <v>2393</v>
      </c>
      <c r="K10316" t="s">
        <v>2394</v>
      </c>
      <c r="L10316" t="s">
        <v>2395</v>
      </c>
      <c r="M10316" t="s">
        <v>2396</v>
      </c>
      <c r="N10316" t="s">
        <v>2397</v>
      </c>
      <c r="O10316" t="s">
        <v>2398</v>
      </c>
      <c r="P10316" t="s">
        <v>2399</v>
      </c>
      <c r="Q10316" t="s">
        <v>2400</v>
      </c>
      <c r="R10316" t="s">
        <v>2401</v>
      </c>
      <c r="S10316" t="s">
        <v>318</v>
      </c>
      <c r="T10316" t="s">
        <v>2402</v>
      </c>
      <c r="U10316" t="s">
        <v>2403</v>
      </c>
      <c r="V10316" t="s">
        <v>282</v>
      </c>
      <c r="W10316" t="s">
        <v>226</v>
      </c>
    </row>
    <row r="10317" spans="1:23" x14ac:dyDescent="0.35">
      <c r="A10317" t="s">
        <v>227</v>
      </c>
      <c r="B10317" t="s">
        <v>238</v>
      </c>
      <c r="C10317" s="2">
        <v>0.42080000000000001</v>
      </c>
      <c r="D10317" s="2">
        <v>0.25240000000000001</v>
      </c>
      <c r="E10317" s="2">
        <v>0.13</v>
      </c>
      <c r="F10317" s="2">
        <v>0.1298</v>
      </c>
      <c r="G10317" s="2">
        <v>9.2200000000000004E-2</v>
      </c>
      <c r="H10317" s="2">
        <v>5.2699999999999997E-2</v>
      </c>
      <c r="I10317" s="2">
        <v>1.6500000000000001E-2</v>
      </c>
      <c r="J10317" s="2">
        <v>2.18E-2</v>
      </c>
      <c r="K10317" s="2">
        <v>8.0999999999999996E-3</v>
      </c>
      <c r="L10317" s="2">
        <v>1.7000000000000001E-2</v>
      </c>
      <c r="M10317" s="2">
        <v>5.0000000000000001E-3</v>
      </c>
      <c r="N10317" s="2">
        <v>1.43E-2</v>
      </c>
      <c r="O10317" s="2">
        <v>8.6999999999999994E-3</v>
      </c>
      <c r="P10317" s="2">
        <v>6.8999999999999999E-3</v>
      </c>
      <c r="Q10317" s="2">
        <v>6.6E-3</v>
      </c>
      <c r="R10317" s="2">
        <v>3.8E-3</v>
      </c>
      <c r="S10317" s="2">
        <v>1E-3</v>
      </c>
      <c r="T10317" s="2">
        <v>5.9999999999999995E-4</v>
      </c>
      <c r="U10317" s="2">
        <v>1.1000000000000001E-3</v>
      </c>
      <c r="V10317" s="2">
        <v>2.3E-3</v>
      </c>
      <c r="W10317">
        <v>1005</v>
      </c>
    </row>
    <row r="10318" spans="1:23" x14ac:dyDescent="0.35">
      <c r="A10318" t="s">
        <v>227</v>
      </c>
      <c r="B10318" t="s">
        <v>237</v>
      </c>
      <c r="C10318" s="2">
        <v>0.43070000000000003</v>
      </c>
      <c r="D10318" s="2">
        <v>0.37069999999999997</v>
      </c>
      <c r="E10318" s="2">
        <v>7.2599999999999998E-2</v>
      </c>
      <c r="F10318" s="2">
        <v>5.6500000000000002E-2</v>
      </c>
      <c r="G10318" s="2">
        <v>5.0599999999999999E-2</v>
      </c>
      <c r="H10318" s="2">
        <v>5.7500000000000002E-2</v>
      </c>
      <c r="I10318" s="2">
        <v>1.2999999999999999E-2</v>
      </c>
      <c r="J10318" s="2">
        <v>4.7999999999999996E-3</v>
      </c>
      <c r="K10318" s="2">
        <v>1.1900000000000001E-2</v>
      </c>
      <c r="L10318" s="2">
        <v>4.1999999999999997E-3</v>
      </c>
      <c r="M10318" s="2">
        <v>8.5000000000000006E-3</v>
      </c>
      <c r="N10318" s="2">
        <v>1.6000000000000001E-3</v>
      </c>
      <c r="O10318" s="2">
        <v>3.5999999999999999E-3</v>
      </c>
      <c r="P10318" s="2">
        <v>2.2000000000000001E-3</v>
      </c>
      <c r="R10318" s="2">
        <v>1E-3</v>
      </c>
      <c r="S10318" s="2">
        <v>2.3E-3</v>
      </c>
      <c r="T10318" s="2">
        <v>2.7000000000000001E-3</v>
      </c>
      <c r="U10318" s="2">
        <v>2.2000000000000001E-3</v>
      </c>
      <c r="V10318" s="2">
        <v>8.0000000000000004E-4</v>
      </c>
      <c r="W10318">
        <v>1807</v>
      </c>
    </row>
    <row r="10319" spans="1:23" x14ac:dyDescent="0.35">
      <c r="A10319" t="s">
        <v>228</v>
      </c>
      <c r="B10319" t="s">
        <v>228</v>
      </c>
      <c r="C10319" s="2">
        <v>0.42699999999999999</v>
      </c>
      <c r="D10319" s="2">
        <v>0.3271</v>
      </c>
      <c r="E10319" s="2">
        <v>9.3799999999999994E-2</v>
      </c>
      <c r="F10319" s="2">
        <v>8.3500000000000005E-2</v>
      </c>
      <c r="G10319" s="2">
        <v>6.6000000000000003E-2</v>
      </c>
      <c r="H10319" s="2">
        <v>5.57E-2</v>
      </c>
      <c r="I10319" s="2">
        <v>1.43E-2</v>
      </c>
      <c r="J10319" s="2">
        <v>1.0999999999999999E-2</v>
      </c>
      <c r="K10319" s="2">
        <v>1.0500000000000001E-2</v>
      </c>
      <c r="L10319" s="2">
        <v>8.8999999999999999E-3</v>
      </c>
      <c r="M10319" s="2">
        <v>7.1999999999999998E-3</v>
      </c>
      <c r="N10319" s="2">
        <v>6.3E-3</v>
      </c>
      <c r="O10319" s="2">
        <v>5.4000000000000003E-3</v>
      </c>
      <c r="P10319" s="2">
        <v>3.8999999999999998E-3</v>
      </c>
      <c r="Q10319" s="2">
        <v>2.3999999999999998E-3</v>
      </c>
      <c r="R10319" s="2">
        <v>2.0999999999999999E-3</v>
      </c>
      <c r="S10319" s="2">
        <v>1.9E-3</v>
      </c>
      <c r="T10319" s="2">
        <v>1.9E-3</v>
      </c>
      <c r="U10319" s="2">
        <v>1.8E-3</v>
      </c>
      <c r="V10319" s="2">
        <v>1.2999999999999999E-3</v>
      </c>
      <c r="W10319">
        <v>2812</v>
      </c>
    </row>
    <row r="10321" spans="1:23" x14ac:dyDescent="0.35">
      <c r="A10321" s="1" t="s">
        <v>2405</v>
      </c>
    </row>
    <row r="10322" spans="1:23" x14ac:dyDescent="0.35">
      <c r="A10322" t="s">
        <v>219</v>
      </c>
      <c r="B10322" t="s">
        <v>301</v>
      </c>
      <c r="C10322" t="s">
        <v>2387</v>
      </c>
      <c r="D10322" t="s">
        <v>2388</v>
      </c>
      <c r="E10322" t="s">
        <v>2389</v>
      </c>
      <c r="F10322" t="s">
        <v>2390</v>
      </c>
      <c r="G10322" t="s">
        <v>2391</v>
      </c>
      <c r="H10322" t="s">
        <v>2392</v>
      </c>
      <c r="I10322" t="s">
        <v>277</v>
      </c>
      <c r="J10322" t="s">
        <v>2393</v>
      </c>
      <c r="K10322" t="s">
        <v>2394</v>
      </c>
      <c r="L10322" t="s">
        <v>2395</v>
      </c>
      <c r="M10322" t="s">
        <v>2396</v>
      </c>
      <c r="N10322" t="s">
        <v>2397</v>
      </c>
      <c r="O10322" t="s">
        <v>2398</v>
      </c>
      <c r="P10322" t="s">
        <v>2399</v>
      </c>
      <c r="Q10322" t="s">
        <v>2400</v>
      </c>
      <c r="R10322" t="s">
        <v>2401</v>
      </c>
      <c r="S10322" t="s">
        <v>318</v>
      </c>
      <c r="T10322" t="s">
        <v>2402</v>
      </c>
      <c r="U10322" t="s">
        <v>2403</v>
      </c>
      <c r="V10322" t="s">
        <v>282</v>
      </c>
      <c r="W10322" t="s">
        <v>226</v>
      </c>
    </row>
    <row r="10323" spans="1:23" x14ac:dyDescent="0.35">
      <c r="A10323" t="s">
        <v>227</v>
      </c>
      <c r="B10323" t="s">
        <v>235</v>
      </c>
      <c r="C10323" s="2">
        <v>0.44090000000000001</v>
      </c>
      <c r="D10323" s="2">
        <v>0.29620000000000002</v>
      </c>
      <c r="E10323" s="2">
        <v>7.6399999999999996E-2</v>
      </c>
      <c r="F10323" s="2">
        <v>6.8599999999999994E-2</v>
      </c>
      <c r="G10323" s="2">
        <v>8.1799999999999998E-2</v>
      </c>
      <c r="H10323" s="2">
        <v>4.7600000000000003E-2</v>
      </c>
      <c r="I10323" s="2">
        <v>1.8700000000000001E-2</v>
      </c>
      <c r="J10323" s="2">
        <v>6.6E-3</v>
      </c>
      <c r="K10323" s="2">
        <v>6.1000000000000004E-3</v>
      </c>
      <c r="L10323" s="2">
        <v>1.77E-2</v>
      </c>
      <c r="M10323" s="2">
        <v>1.3100000000000001E-2</v>
      </c>
      <c r="N10323" s="2">
        <v>3.7000000000000002E-3</v>
      </c>
      <c r="O10323" s="2">
        <v>3.7000000000000002E-3</v>
      </c>
      <c r="P10323" s="2">
        <v>1.9E-3</v>
      </c>
      <c r="Q10323" s="2">
        <v>5.1000000000000004E-3</v>
      </c>
      <c r="R10323" s="2">
        <v>2.8E-3</v>
      </c>
      <c r="S10323" s="2">
        <v>4.3E-3</v>
      </c>
      <c r="T10323" s="2">
        <v>5.7000000000000002E-3</v>
      </c>
      <c r="U10323" s="2">
        <v>1.4E-3</v>
      </c>
      <c r="V10323" s="2">
        <v>6.9999999999999999E-4</v>
      </c>
      <c r="W10323">
        <v>992</v>
      </c>
    </row>
    <row r="10324" spans="1:23" x14ac:dyDescent="0.35">
      <c r="A10324" t="s">
        <v>227</v>
      </c>
      <c r="B10324" t="s">
        <v>234</v>
      </c>
      <c r="C10324" s="2">
        <v>0.42120000000000002</v>
      </c>
      <c r="D10324" s="2">
        <v>0.34</v>
      </c>
      <c r="E10324" s="2">
        <v>0.10100000000000001</v>
      </c>
      <c r="F10324" s="2">
        <v>8.9800000000000005E-2</v>
      </c>
      <c r="G10324" s="2">
        <v>5.9299999999999999E-2</v>
      </c>
      <c r="H10324" s="2">
        <v>5.9200000000000003E-2</v>
      </c>
      <c r="I10324" s="2">
        <v>1.2500000000000001E-2</v>
      </c>
      <c r="J10324" s="2">
        <v>1.29E-2</v>
      </c>
      <c r="K10324" s="2">
        <v>1.24E-2</v>
      </c>
      <c r="L10324" s="2">
        <v>5.1999999999999998E-3</v>
      </c>
      <c r="M10324" s="2">
        <v>4.7000000000000002E-3</v>
      </c>
      <c r="N10324" s="2">
        <v>7.4000000000000003E-3</v>
      </c>
      <c r="O10324" s="2">
        <v>6.1999999999999998E-3</v>
      </c>
      <c r="P10324" s="2">
        <v>4.7999999999999996E-3</v>
      </c>
      <c r="Q10324" s="2">
        <v>1.2999999999999999E-3</v>
      </c>
      <c r="R10324" s="2">
        <v>1.8E-3</v>
      </c>
      <c r="S10324" s="2">
        <v>8.0000000000000004E-4</v>
      </c>
      <c r="T10324" s="2">
        <v>2.9999999999999997E-4</v>
      </c>
      <c r="U10324" s="2">
        <v>1.9E-3</v>
      </c>
      <c r="V10324" s="2">
        <v>1.6000000000000001E-3</v>
      </c>
      <c r="W10324">
        <v>1820</v>
      </c>
    </row>
    <row r="10325" spans="1:23" x14ac:dyDescent="0.35">
      <c r="A10325" t="s">
        <v>228</v>
      </c>
      <c r="B10325" t="s">
        <v>228</v>
      </c>
      <c r="C10325" s="2">
        <v>0.42699999999999999</v>
      </c>
      <c r="D10325" s="2">
        <v>0.3271</v>
      </c>
      <c r="E10325" s="2">
        <v>9.3799999999999994E-2</v>
      </c>
      <c r="F10325" s="2">
        <v>8.3500000000000005E-2</v>
      </c>
      <c r="G10325" s="2">
        <v>6.6000000000000003E-2</v>
      </c>
      <c r="H10325" s="2">
        <v>5.57E-2</v>
      </c>
      <c r="I10325" s="2">
        <v>1.43E-2</v>
      </c>
      <c r="J10325" s="2">
        <v>1.0999999999999999E-2</v>
      </c>
      <c r="K10325" s="2">
        <v>1.0500000000000001E-2</v>
      </c>
      <c r="L10325" s="2">
        <v>8.8999999999999999E-3</v>
      </c>
      <c r="M10325" s="2">
        <v>7.1999999999999998E-3</v>
      </c>
      <c r="N10325" s="2">
        <v>6.3E-3</v>
      </c>
      <c r="O10325" s="2">
        <v>5.4000000000000003E-3</v>
      </c>
      <c r="P10325" s="2">
        <v>3.8999999999999998E-3</v>
      </c>
      <c r="Q10325" s="2">
        <v>2.3999999999999998E-3</v>
      </c>
      <c r="R10325" s="2">
        <v>2.0999999999999999E-3</v>
      </c>
      <c r="S10325" s="2">
        <v>1.9E-3</v>
      </c>
      <c r="T10325" s="2">
        <v>1.9E-3</v>
      </c>
      <c r="U10325" s="2">
        <v>1.8E-3</v>
      </c>
      <c r="V10325" s="2">
        <v>1.2999999999999999E-3</v>
      </c>
      <c r="W10325">
        <v>2812</v>
      </c>
    </row>
    <row r="10327" spans="1:23" x14ac:dyDescent="0.35">
      <c r="A10327" s="1" t="s">
        <v>2406</v>
      </c>
    </row>
    <row r="10328" spans="1:23" x14ac:dyDescent="0.35">
      <c r="A10328" t="s">
        <v>219</v>
      </c>
      <c r="B10328" t="s">
        <v>301</v>
      </c>
      <c r="C10328" t="s">
        <v>2387</v>
      </c>
      <c r="D10328" t="s">
        <v>2388</v>
      </c>
      <c r="E10328" t="s">
        <v>2389</v>
      </c>
      <c r="F10328" t="s">
        <v>2390</v>
      </c>
      <c r="G10328" t="s">
        <v>2391</v>
      </c>
      <c r="H10328" t="s">
        <v>2392</v>
      </c>
      <c r="I10328" t="s">
        <v>277</v>
      </c>
      <c r="J10328" t="s">
        <v>2393</v>
      </c>
      <c r="K10328" t="s">
        <v>2394</v>
      </c>
      <c r="L10328" t="s">
        <v>2395</v>
      </c>
      <c r="M10328" t="s">
        <v>2396</v>
      </c>
      <c r="N10328" t="s">
        <v>2397</v>
      </c>
      <c r="O10328" t="s">
        <v>2398</v>
      </c>
      <c r="P10328" t="s">
        <v>2399</v>
      </c>
      <c r="Q10328" t="s">
        <v>2400</v>
      </c>
      <c r="R10328" t="s">
        <v>2401</v>
      </c>
      <c r="S10328" t="s">
        <v>318</v>
      </c>
      <c r="T10328" t="s">
        <v>2402</v>
      </c>
      <c r="U10328" t="s">
        <v>2403</v>
      </c>
      <c r="V10328" t="s">
        <v>282</v>
      </c>
      <c r="W10328" t="s">
        <v>226</v>
      </c>
    </row>
    <row r="10329" spans="1:23" x14ac:dyDescent="0.35">
      <c r="A10329" t="s">
        <v>227</v>
      </c>
      <c r="B10329" t="s">
        <v>240</v>
      </c>
      <c r="C10329" s="2">
        <v>0.43190000000000001</v>
      </c>
      <c r="D10329" s="2">
        <v>0.34139999999999998</v>
      </c>
      <c r="E10329" s="2">
        <v>7.7799999999999994E-2</v>
      </c>
      <c r="F10329" s="2">
        <v>7.7499999999999999E-2</v>
      </c>
      <c r="G10329" s="2">
        <v>6.1899999999999997E-2</v>
      </c>
      <c r="H10329" s="2">
        <v>5.4199999999999998E-2</v>
      </c>
      <c r="I10329" s="2">
        <v>1.8700000000000001E-2</v>
      </c>
      <c r="J10329" s="2">
        <v>8.6999999999999994E-3</v>
      </c>
      <c r="K10329" s="2">
        <v>1.14E-2</v>
      </c>
      <c r="L10329" s="2">
        <v>4.7000000000000002E-3</v>
      </c>
      <c r="M10329" s="2">
        <v>3.5000000000000001E-3</v>
      </c>
      <c r="N10329" s="2">
        <v>7.1999999999999998E-3</v>
      </c>
      <c r="O10329" s="2">
        <v>5.5999999999999999E-3</v>
      </c>
      <c r="P10329" s="2">
        <v>5.0000000000000001E-3</v>
      </c>
      <c r="Q10329" s="2">
        <v>2.7000000000000001E-3</v>
      </c>
      <c r="R10329" s="2">
        <v>1.5E-3</v>
      </c>
      <c r="S10329" s="2">
        <v>2.8999999999999998E-3</v>
      </c>
      <c r="T10329" s="2">
        <v>4.0000000000000002E-4</v>
      </c>
      <c r="U10329" s="2">
        <v>1.1000000000000001E-3</v>
      </c>
      <c r="V10329" s="2">
        <v>2.0999999999999999E-3</v>
      </c>
      <c r="W10329">
        <v>1755</v>
      </c>
    </row>
    <row r="10330" spans="1:23" x14ac:dyDescent="0.35">
      <c r="A10330" t="s">
        <v>227</v>
      </c>
      <c r="B10330" t="s">
        <v>241</v>
      </c>
      <c r="C10330" s="2">
        <v>0.40889999999999999</v>
      </c>
      <c r="D10330" s="2">
        <v>0.32179999999999997</v>
      </c>
      <c r="E10330" s="2">
        <v>0.12920000000000001</v>
      </c>
      <c r="F10330" s="2">
        <v>0.1009</v>
      </c>
      <c r="G10330" s="2">
        <v>6.5100000000000005E-2</v>
      </c>
      <c r="H10330" s="2">
        <v>5.2900000000000003E-2</v>
      </c>
      <c r="I10330" s="2">
        <v>8.0000000000000002E-3</v>
      </c>
      <c r="J10330" s="2">
        <v>1.43E-2</v>
      </c>
      <c r="K10330" s="2">
        <v>5.8999999999999999E-3</v>
      </c>
      <c r="L10330" s="2">
        <v>1.1599999999999999E-2</v>
      </c>
      <c r="M10330" s="2">
        <v>7.9000000000000008E-3</v>
      </c>
      <c r="N10330" s="2">
        <v>5.7999999999999996E-3</v>
      </c>
      <c r="O10330" s="2">
        <v>5.7000000000000002E-3</v>
      </c>
      <c r="P10330" s="2">
        <v>2.3999999999999998E-3</v>
      </c>
      <c r="R10330" s="2">
        <v>1.4E-3</v>
      </c>
      <c r="U10330" s="2">
        <v>3.5999999999999999E-3</v>
      </c>
      <c r="W10330">
        <v>891</v>
      </c>
    </row>
    <row r="10331" spans="1:23" x14ac:dyDescent="0.35">
      <c r="A10331" t="s">
        <v>227</v>
      </c>
      <c r="B10331" t="s">
        <v>242</v>
      </c>
      <c r="C10331" s="2">
        <v>0.46010000000000001</v>
      </c>
      <c r="D10331" s="2">
        <v>0.2127</v>
      </c>
      <c r="E10331" s="2">
        <v>9.0700000000000003E-2</v>
      </c>
      <c r="F10331" s="2">
        <v>6.4600000000000005E-2</v>
      </c>
      <c r="G10331" s="2">
        <v>0.1084</v>
      </c>
      <c r="H10331" s="2">
        <v>8.3199999999999996E-2</v>
      </c>
      <c r="I10331" s="2">
        <v>4.0000000000000002E-4</v>
      </c>
      <c r="J10331" s="2">
        <v>1.8800000000000001E-2</v>
      </c>
      <c r="K10331" s="2">
        <v>2.2100000000000002E-2</v>
      </c>
      <c r="L10331" s="2">
        <v>3.73E-2</v>
      </c>
      <c r="M10331" s="2">
        <v>4.02E-2</v>
      </c>
      <c r="O10331" s="2">
        <v>2.5000000000000001E-3</v>
      </c>
      <c r="Q10331" s="2">
        <v>1.0800000000000001E-2</v>
      </c>
      <c r="R10331" s="2">
        <v>1.0800000000000001E-2</v>
      </c>
      <c r="T10331" s="2">
        <v>2.53E-2</v>
      </c>
      <c r="W10331">
        <v>166</v>
      </c>
    </row>
    <row r="10332" spans="1:23" x14ac:dyDescent="0.35">
      <c r="A10332" t="s">
        <v>228</v>
      </c>
      <c r="B10332" t="s">
        <v>228</v>
      </c>
      <c r="C10332" s="2">
        <v>0.42699999999999999</v>
      </c>
      <c r="D10332" s="2">
        <v>0.3271</v>
      </c>
      <c r="E10332" s="2">
        <v>9.3799999999999994E-2</v>
      </c>
      <c r="F10332" s="2">
        <v>8.3500000000000005E-2</v>
      </c>
      <c r="G10332" s="2">
        <v>6.6000000000000003E-2</v>
      </c>
      <c r="H10332" s="2">
        <v>5.57E-2</v>
      </c>
      <c r="I10332" s="2">
        <v>1.43E-2</v>
      </c>
      <c r="J10332" s="2">
        <v>1.0999999999999999E-2</v>
      </c>
      <c r="K10332" s="2">
        <v>1.0500000000000001E-2</v>
      </c>
      <c r="L10332" s="2">
        <v>8.8999999999999999E-3</v>
      </c>
      <c r="M10332" s="2">
        <v>7.1999999999999998E-3</v>
      </c>
      <c r="N10332" s="2">
        <v>6.3E-3</v>
      </c>
      <c r="O10332" s="2">
        <v>5.4000000000000003E-3</v>
      </c>
      <c r="P10332" s="2">
        <v>3.8999999999999998E-3</v>
      </c>
      <c r="Q10332" s="2">
        <v>2.3999999999999998E-3</v>
      </c>
      <c r="R10332" s="2">
        <v>2.0999999999999999E-3</v>
      </c>
      <c r="S10332" s="2">
        <v>1.9E-3</v>
      </c>
      <c r="T10332" s="2">
        <v>1.9E-3</v>
      </c>
      <c r="U10332" s="2">
        <v>1.8E-3</v>
      </c>
      <c r="V10332" s="2">
        <v>1.2999999999999999E-3</v>
      </c>
      <c r="W10332">
        <v>2812</v>
      </c>
    </row>
    <row r="10334" spans="1:23" x14ac:dyDescent="0.35">
      <c r="A10334" s="1" t="s">
        <v>2407</v>
      </c>
    </row>
    <row r="10335" spans="1:23" x14ac:dyDescent="0.35">
      <c r="A10335" t="s">
        <v>219</v>
      </c>
      <c r="B10335" t="s">
        <v>301</v>
      </c>
      <c r="C10335" t="s">
        <v>2387</v>
      </c>
      <c r="D10335" t="s">
        <v>2388</v>
      </c>
      <c r="E10335" t="s">
        <v>2389</v>
      </c>
      <c r="F10335" t="s">
        <v>2390</v>
      </c>
      <c r="G10335" t="s">
        <v>2391</v>
      </c>
      <c r="H10335" t="s">
        <v>2392</v>
      </c>
      <c r="I10335" t="s">
        <v>277</v>
      </c>
      <c r="J10335" t="s">
        <v>2393</v>
      </c>
      <c r="K10335" t="s">
        <v>2394</v>
      </c>
      <c r="L10335" t="s">
        <v>2395</v>
      </c>
      <c r="M10335" t="s">
        <v>2396</v>
      </c>
      <c r="N10335" t="s">
        <v>2397</v>
      </c>
      <c r="O10335" t="s">
        <v>2398</v>
      </c>
      <c r="P10335" t="s">
        <v>2399</v>
      </c>
      <c r="Q10335" t="s">
        <v>2400</v>
      </c>
      <c r="R10335" t="s">
        <v>2401</v>
      </c>
      <c r="S10335" t="s">
        <v>318</v>
      </c>
      <c r="T10335" t="s">
        <v>2402</v>
      </c>
      <c r="U10335" t="s">
        <v>2403</v>
      </c>
      <c r="V10335" t="s">
        <v>282</v>
      </c>
      <c r="W10335" t="s">
        <v>226</v>
      </c>
    </row>
    <row r="10336" spans="1:23" x14ac:dyDescent="0.35">
      <c r="A10336" t="s">
        <v>227</v>
      </c>
      <c r="B10336" t="s">
        <v>334</v>
      </c>
      <c r="C10336" s="2">
        <v>0.40620000000000001</v>
      </c>
      <c r="D10336" s="2">
        <v>0.2495</v>
      </c>
      <c r="E10336" s="2">
        <v>0.12820000000000001</v>
      </c>
      <c r="F10336" s="2">
        <v>0.12809999999999999</v>
      </c>
      <c r="G10336" s="2">
        <v>8.2199999999999995E-2</v>
      </c>
      <c r="H10336" s="2">
        <v>7.2300000000000003E-2</v>
      </c>
      <c r="I10336" s="2">
        <v>3.5299999999999998E-2</v>
      </c>
      <c r="J10336" s="2">
        <v>1.6199999999999999E-2</v>
      </c>
      <c r="K10336" s="2">
        <v>1.7399999999999999E-2</v>
      </c>
      <c r="L10336" s="2">
        <v>3.2300000000000002E-2</v>
      </c>
      <c r="M10336" s="2">
        <v>1.41E-2</v>
      </c>
      <c r="N10336" s="2">
        <v>1.01E-2</v>
      </c>
      <c r="O10336" s="2">
        <v>5.8999999999999999E-3</v>
      </c>
      <c r="P10336" s="2">
        <v>4.7000000000000002E-3</v>
      </c>
      <c r="Q10336" s="2">
        <v>3.8E-3</v>
      </c>
      <c r="R10336" s="2">
        <v>4.5999999999999999E-3</v>
      </c>
      <c r="S10336" s="2">
        <v>8.0000000000000004E-4</v>
      </c>
      <c r="T10336" s="2">
        <v>7.9000000000000008E-3</v>
      </c>
      <c r="U10336" s="2">
        <v>2.2000000000000001E-3</v>
      </c>
      <c r="V10336" s="2">
        <v>1E-3</v>
      </c>
      <c r="W10336">
        <v>625</v>
      </c>
    </row>
    <row r="10337" spans="1:23" x14ac:dyDescent="0.35">
      <c r="A10337" t="s">
        <v>227</v>
      </c>
      <c r="B10337" t="s">
        <v>335</v>
      </c>
      <c r="C10337" s="2">
        <v>0.4592</v>
      </c>
      <c r="D10337" s="2">
        <v>0.40610000000000002</v>
      </c>
      <c r="E10337" s="2">
        <v>0.06</v>
      </c>
      <c r="F10337" s="2">
        <v>5.21E-2</v>
      </c>
      <c r="G10337" s="2">
        <v>3.44E-2</v>
      </c>
      <c r="H10337" s="2">
        <v>3.15E-2</v>
      </c>
      <c r="I10337" s="2">
        <v>8.2000000000000007E-3</v>
      </c>
      <c r="J10337" s="2">
        <v>3.0000000000000001E-3</v>
      </c>
      <c r="K10337" s="2">
        <v>8.6E-3</v>
      </c>
      <c r="L10337" s="2">
        <v>1E-4</v>
      </c>
      <c r="M10337" s="2">
        <v>6.0000000000000001E-3</v>
      </c>
      <c r="N10337" s="2">
        <v>3.7000000000000002E-3</v>
      </c>
      <c r="O10337" s="2">
        <v>3.7000000000000002E-3</v>
      </c>
      <c r="Q10337" s="2">
        <v>2.3999999999999998E-3</v>
      </c>
      <c r="R10337" s="2">
        <v>6.9999999999999999E-4</v>
      </c>
      <c r="S10337" s="2">
        <v>1E-3</v>
      </c>
      <c r="U10337" s="2">
        <v>5.9999999999999995E-4</v>
      </c>
      <c r="W10337">
        <v>627</v>
      </c>
    </row>
    <row r="10338" spans="1:23" x14ac:dyDescent="0.35">
      <c r="A10338" t="s">
        <v>227</v>
      </c>
      <c r="B10338" t="s">
        <v>336</v>
      </c>
      <c r="C10338" s="2">
        <v>0.43490000000000001</v>
      </c>
      <c r="D10338" s="2">
        <v>0.27579999999999999</v>
      </c>
      <c r="E10338" s="2">
        <v>0.1069</v>
      </c>
      <c r="F10338" s="2">
        <v>8.5900000000000004E-2</v>
      </c>
      <c r="G10338" s="2">
        <v>0.1169</v>
      </c>
      <c r="H10338" s="2">
        <v>5.0200000000000002E-2</v>
      </c>
      <c r="I10338" s="2">
        <v>6.6E-3</v>
      </c>
      <c r="J10338" s="2">
        <v>1.4200000000000001E-2</v>
      </c>
      <c r="K10338" s="2">
        <v>6.0000000000000001E-3</v>
      </c>
      <c r="L10338" s="2">
        <v>5.4999999999999997E-3</v>
      </c>
      <c r="M10338" s="2">
        <v>6.1000000000000004E-3</v>
      </c>
      <c r="N10338" s="2">
        <v>9.7999999999999997E-3</v>
      </c>
      <c r="O10338" s="2">
        <v>1.12E-2</v>
      </c>
      <c r="P10338" s="2">
        <v>6.1000000000000004E-3</v>
      </c>
      <c r="Q10338" s="2">
        <v>1.4E-3</v>
      </c>
      <c r="R10338" s="2">
        <v>2.0000000000000001E-4</v>
      </c>
      <c r="S10338" s="2">
        <v>5.4999999999999997E-3</v>
      </c>
      <c r="U10338" s="2">
        <v>6.9999999999999999E-4</v>
      </c>
      <c r="V10338" s="2">
        <v>5.0000000000000001E-4</v>
      </c>
      <c r="W10338">
        <v>621</v>
      </c>
    </row>
    <row r="10339" spans="1:23" x14ac:dyDescent="0.35">
      <c r="A10339" t="s">
        <v>227</v>
      </c>
      <c r="B10339" t="s">
        <v>337</v>
      </c>
      <c r="C10339" s="2">
        <v>0.4108</v>
      </c>
      <c r="D10339" s="2">
        <v>0.316</v>
      </c>
      <c r="E10339" s="2">
        <v>0.1067</v>
      </c>
      <c r="F10339" s="2">
        <v>9.2999999999999999E-2</v>
      </c>
      <c r="G10339" s="2">
        <v>6.8400000000000002E-2</v>
      </c>
      <c r="H10339" s="2">
        <v>6.83E-2</v>
      </c>
      <c r="I10339" s="2">
        <v>6.7000000000000002E-3</v>
      </c>
      <c r="J10339" s="2">
        <v>1.89E-2</v>
      </c>
      <c r="K10339" s="2">
        <v>7.0000000000000001E-3</v>
      </c>
      <c r="L10339" s="2">
        <v>4.7000000000000002E-3</v>
      </c>
      <c r="M10339" s="2">
        <v>5.1000000000000004E-3</v>
      </c>
      <c r="N10339" s="2">
        <v>1.1999999999999999E-3</v>
      </c>
      <c r="O10339" s="2">
        <v>2.5000000000000001E-3</v>
      </c>
      <c r="P10339" s="2">
        <v>2.5000000000000001E-3</v>
      </c>
      <c r="Q10339" s="2">
        <v>3.0999999999999999E-3</v>
      </c>
      <c r="R10339" s="2">
        <v>3.0000000000000001E-3</v>
      </c>
      <c r="S10339" s="2">
        <v>1.4E-3</v>
      </c>
      <c r="T10339" s="2">
        <v>1.1000000000000001E-3</v>
      </c>
      <c r="U10339" s="2">
        <v>4.7000000000000002E-3</v>
      </c>
      <c r="V10339" s="2">
        <v>3.0999999999999999E-3</v>
      </c>
      <c r="W10339">
        <v>602</v>
      </c>
    </row>
    <row r="10340" spans="1:23" x14ac:dyDescent="0.35">
      <c r="A10340" t="s">
        <v>228</v>
      </c>
      <c r="B10340" t="s">
        <v>228</v>
      </c>
      <c r="C10340" s="2">
        <v>0.42699999999999999</v>
      </c>
      <c r="D10340" s="2">
        <v>0.3271</v>
      </c>
      <c r="E10340" s="2">
        <v>9.3799999999999994E-2</v>
      </c>
      <c r="F10340" s="2">
        <v>8.3500000000000005E-2</v>
      </c>
      <c r="G10340" s="2">
        <v>6.6000000000000003E-2</v>
      </c>
      <c r="H10340" s="2">
        <v>5.57E-2</v>
      </c>
      <c r="I10340" s="2">
        <v>1.43E-2</v>
      </c>
      <c r="J10340" s="2">
        <v>1.0999999999999999E-2</v>
      </c>
      <c r="K10340" s="2">
        <v>1.0500000000000001E-2</v>
      </c>
      <c r="L10340" s="2">
        <v>8.8999999999999999E-3</v>
      </c>
      <c r="M10340" s="2">
        <v>7.1999999999999998E-3</v>
      </c>
      <c r="N10340" s="2">
        <v>6.3E-3</v>
      </c>
      <c r="O10340" s="2">
        <v>5.4000000000000003E-3</v>
      </c>
      <c r="P10340" s="2">
        <v>3.8999999999999998E-3</v>
      </c>
      <c r="Q10340" s="2">
        <v>2.3999999999999998E-3</v>
      </c>
      <c r="R10340" s="2">
        <v>2.0999999999999999E-3</v>
      </c>
      <c r="S10340" s="2">
        <v>1.9E-3</v>
      </c>
      <c r="T10340" s="2">
        <v>1.9E-3</v>
      </c>
      <c r="U10340" s="2">
        <v>1.8E-3</v>
      </c>
      <c r="V10340" s="2">
        <v>1.2999999999999999E-3</v>
      </c>
      <c r="W10340">
        <v>2475</v>
      </c>
    </row>
    <row r="10342" spans="1:23" x14ac:dyDescent="0.35">
      <c r="A10342" s="1" t="s">
        <v>2408</v>
      </c>
    </row>
    <row r="10343" spans="1:23" x14ac:dyDescent="0.35">
      <c r="A10343" t="s">
        <v>219</v>
      </c>
      <c r="B10343" t="s">
        <v>301</v>
      </c>
      <c r="C10343" t="s">
        <v>2387</v>
      </c>
      <c r="D10343" t="s">
        <v>2388</v>
      </c>
      <c r="E10343" t="s">
        <v>2389</v>
      </c>
      <c r="F10343" t="s">
        <v>2390</v>
      </c>
      <c r="G10343" t="s">
        <v>2391</v>
      </c>
      <c r="H10343" t="s">
        <v>2392</v>
      </c>
      <c r="I10343" t="s">
        <v>277</v>
      </c>
      <c r="J10343" t="s">
        <v>2393</v>
      </c>
      <c r="K10343" t="s">
        <v>2394</v>
      </c>
      <c r="L10343" t="s">
        <v>2395</v>
      </c>
      <c r="M10343" t="s">
        <v>2396</v>
      </c>
      <c r="N10343" t="s">
        <v>2397</v>
      </c>
      <c r="O10343" t="s">
        <v>2398</v>
      </c>
      <c r="P10343" t="s">
        <v>2399</v>
      </c>
      <c r="Q10343" t="s">
        <v>2400</v>
      </c>
      <c r="R10343" t="s">
        <v>2401</v>
      </c>
      <c r="S10343" t="s">
        <v>318</v>
      </c>
      <c r="T10343" t="s">
        <v>2402</v>
      </c>
      <c r="U10343" t="s">
        <v>2403</v>
      </c>
      <c r="V10343" t="s">
        <v>282</v>
      </c>
      <c r="W10343" t="s">
        <v>226</v>
      </c>
    </row>
    <row r="10344" spans="1:23" x14ac:dyDescent="0.35">
      <c r="A10344" t="s">
        <v>227</v>
      </c>
      <c r="B10344" t="s">
        <v>263</v>
      </c>
      <c r="C10344" s="2">
        <v>0.43890000000000001</v>
      </c>
      <c r="D10344" s="2">
        <v>0.31530000000000002</v>
      </c>
      <c r="E10344" s="2">
        <v>0.1056</v>
      </c>
      <c r="F10344" s="2">
        <v>8.3699999999999997E-2</v>
      </c>
      <c r="G10344" s="2">
        <v>7.85E-2</v>
      </c>
      <c r="H10344" s="2">
        <v>5.1999999999999998E-2</v>
      </c>
      <c r="I10344" s="2">
        <v>7.1000000000000004E-3</v>
      </c>
      <c r="J10344" s="2">
        <v>2.1000000000000001E-2</v>
      </c>
      <c r="K10344" s="2">
        <v>2.8999999999999998E-3</v>
      </c>
      <c r="L10344" s="2">
        <v>4.8999999999999998E-3</v>
      </c>
      <c r="M10344" s="2">
        <v>8.2000000000000007E-3</v>
      </c>
      <c r="N10344" s="2">
        <v>8.0000000000000002E-3</v>
      </c>
      <c r="O10344" s="2">
        <v>5.1999999999999998E-3</v>
      </c>
      <c r="P10344" s="2">
        <v>1.01E-2</v>
      </c>
      <c r="R10344" s="2">
        <v>2.8E-3</v>
      </c>
      <c r="S10344" s="2">
        <v>5.0000000000000001E-3</v>
      </c>
      <c r="U10344" s="2">
        <v>3.3999999999999998E-3</v>
      </c>
      <c r="V10344" s="2">
        <v>1E-3</v>
      </c>
      <c r="W10344">
        <v>588</v>
      </c>
    </row>
    <row r="10345" spans="1:23" x14ac:dyDescent="0.35">
      <c r="A10345" t="s">
        <v>227</v>
      </c>
      <c r="B10345" t="s">
        <v>262</v>
      </c>
      <c r="C10345" s="2">
        <v>0.40539999999999998</v>
      </c>
      <c r="D10345" s="2">
        <v>0.30869999999999997</v>
      </c>
      <c r="E10345" s="2">
        <v>0.11409999999999999</v>
      </c>
      <c r="F10345" s="2">
        <v>9.8799999999999999E-2</v>
      </c>
      <c r="G10345" s="2">
        <v>8.3799999999999999E-2</v>
      </c>
      <c r="H10345" s="2">
        <v>5.8900000000000001E-2</v>
      </c>
      <c r="I10345" s="2">
        <v>9.7000000000000003E-3</v>
      </c>
      <c r="J10345" s="2">
        <v>8.9999999999999993E-3</v>
      </c>
      <c r="K10345" s="2">
        <v>1.15E-2</v>
      </c>
      <c r="L10345" s="2">
        <v>1.2699999999999999E-2</v>
      </c>
      <c r="M10345" s="2">
        <v>4.5999999999999999E-3</v>
      </c>
      <c r="N10345" s="2">
        <v>8.2000000000000007E-3</v>
      </c>
      <c r="O10345" s="2">
        <v>5.5999999999999999E-3</v>
      </c>
      <c r="P10345" s="2">
        <v>2.8E-3</v>
      </c>
      <c r="Q10345" s="2">
        <v>4.1000000000000003E-3</v>
      </c>
      <c r="R10345" s="2">
        <v>1.4E-3</v>
      </c>
      <c r="S10345" s="2">
        <v>2.0000000000000001E-4</v>
      </c>
      <c r="U10345" s="2">
        <v>2.0999999999999999E-3</v>
      </c>
      <c r="V10345" s="2">
        <v>1E-4</v>
      </c>
      <c r="W10345">
        <v>1160</v>
      </c>
    </row>
    <row r="10346" spans="1:23" x14ac:dyDescent="0.35">
      <c r="A10346" t="s">
        <v>227</v>
      </c>
      <c r="B10346" t="s">
        <v>261</v>
      </c>
      <c r="C10346" s="2">
        <v>0.43969999999999998</v>
      </c>
      <c r="D10346" s="2">
        <v>0.3483</v>
      </c>
      <c r="E10346" s="2">
        <v>7.0699999999999999E-2</v>
      </c>
      <c r="F10346" s="2">
        <v>7.0499999999999993E-2</v>
      </c>
      <c r="G10346" s="2">
        <v>4.4600000000000001E-2</v>
      </c>
      <c r="H10346" s="2">
        <v>5.5E-2</v>
      </c>
      <c r="I10346" s="2">
        <v>2.18E-2</v>
      </c>
      <c r="J10346" s="2">
        <v>8.0000000000000002E-3</v>
      </c>
      <c r="K10346" s="2">
        <v>1.34E-2</v>
      </c>
      <c r="L10346" s="2">
        <v>7.6E-3</v>
      </c>
      <c r="M10346" s="2">
        <v>8.9999999999999993E-3</v>
      </c>
      <c r="N10346" s="2">
        <v>3.8E-3</v>
      </c>
      <c r="O10346" s="2">
        <v>5.4999999999999997E-3</v>
      </c>
      <c r="P10346" s="2">
        <v>1.9E-3</v>
      </c>
      <c r="Q10346" s="2">
        <v>2.2000000000000001E-3</v>
      </c>
      <c r="R10346" s="2">
        <v>2.3E-3</v>
      </c>
      <c r="S10346" s="2">
        <v>1.8E-3</v>
      </c>
      <c r="T10346" s="2">
        <v>4.4999999999999997E-3</v>
      </c>
      <c r="U10346" s="2">
        <v>6.9999999999999999E-4</v>
      </c>
      <c r="V10346" s="2">
        <v>2.5999999999999999E-3</v>
      </c>
      <c r="W10346">
        <v>1062</v>
      </c>
    </row>
    <row r="10347" spans="1:23" x14ac:dyDescent="0.35">
      <c r="A10347" s="3" t="s">
        <v>227</v>
      </c>
      <c r="B10347" s="3" t="s">
        <v>232</v>
      </c>
      <c r="C10347" s="4">
        <v>0.5</v>
      </c>
      <c r="D10347" s="4">
        <v>0.5</v>
      </c>
      <c r="E10347" s="5"/>
      <c r="F10347" s="5"/>
      <c r="G10347" s="5"/>
      <c r="H10347" s="5"/>
      <c r="I10347" s="5"/>
      <c r="J10347" s="5"/>
      <c r="K10347" s="5"/>
      <c r="L10347" s="5"/>
      <c r="M10347" s="5"/>
      <c r="N10347" s="5"/>
      <c r="O10347" s="5"/>
      <c r="P10347" s="5"/>
      <c r="Q10347" s="5"/>
      <c r="R10347" s="5"/>
      <c r="S10347" s="5"/>
      <c r="T10347" s="5"/>
      <c r="U10347" s="5"/>
      <c r="V10347" s="5"/>
      <c r="W10347" s="5" t="s">
        <v>434</v>
      </c>
    </row>
    <row r="10348" spans="1:23" x14ac:dyDescent="0.35">
      <c r="A10348" t="s">
        <v>228</v>
      </c>
      <c r="B10348" t="s">
        <v>228</v>
      </c>
      <c r="C10348" s="2">
        <v>0.42699999999999999</v>
      </c>
      <c r="D10348" s="2">
        <v>0.3271</v>
      </c>
      <c r="E10348" s="2">
        <v>9.3799999999999994E-2</v>
      </c>
      <c r="F10348" s="2">
        <v>8.3500000000000005E-2</v>
      </c>
      <c r="G10348" s="2">
        <v>6.6000000000000003E-2</v>
      </c>
      <c r="H10348" s="2">
        <v>5.57E-2</v>
      </c>
      <c r="I10348" s="2">
        <v>1.43E-2</v>
      </c>
      <c r="J10348" s="2">
        <v>1.0999999999999999E-2</v>
      </c>
      <c r="K10348" s="2">
        <v>1.0500000000000001E-2</v>
      </c>
      <c r="L10348" s="2">
        <v>8.8999999999999999E-3</v>
      </c>
      <c r="M10348" s="2">
        <v>7.1999999999999998E-3</v>
      </c>
      <c r="N10348" s="2">
        <v>6.3E-3</v>
      </c>
      <c r="O10348" s="2">
        <v>5.4000000000000003E-3</v>
      </c>
      <c r="P10348" s="2">
        <v>3.8999999999999998E-3</v>
      </c>
      <c r="Q10348" s="2">
        <v>2.3999999999999998E-3</v>
      </c>
      <c r="R10348" s="2">
        <v>2.0999999999999999E-3</v>
      </c>
      <c r="S10348" s="2">
        <v>1.9E-3</v>
      </c>
      <c r="T10348" s="2">
        <v>1.9E-3</v>
      </c>
      <c r="U10348" s="2">
        <v>1.8E-3</v>
      </c>
      <c r="V10348" s="2">
        <v>1.2999999999999999E-3</v>
      </c>
      <c r="W10348">
        <v>2812</v>
      </c>
    </row>
    <row r="10350" spans="1:23" x14ac:dyDescent="0.35">
      <c r="A10350" s="1" t="s">
        <v>2409</v>
      </c>
    </row>
    <row r="10351" spans="1:23" x14ac:dyDescent="0.35">
      <c r="A10351" t="s">
        <v>219</v>
      </c>
      <c r="B10351" t="s">
        <v>301</v>
      </c>
      <c r="C10351" t="s">
        <v>2387</v>
      </c>
      <c r="D10351" t="s">
        <v>2388</v>
      </c>
      <c r="E10351" t="s">
        <v>2389</v>
      </c>
      <c r="F10351" t="s">
        <v>2390</v>
      </c>
      <c r="G10351" t="s">
        <v>2391</v>
      </c>
      <c r="H10351" t="s">
        <v>2392</v>
      </c>
      <c r="I10351" t="s">
        <v>277</v>
      </c>
      <c r="J10351" t="s">
        <v>2393</v>
      </c>
      <c r="K10351" t="s">
        <v>2394</v>
      </c>
      <c r="L10351" t="s">
        <v>2395</v>
      </c>
      <c r="M10351" t="s">
        <v>2396</v>
      </c>
      <c r="N10351" t="s">
        <v>2397</v>
      </c>
      <c r="O10351" t="s">
        <v>2398</v>
      </c>
      <c r="P10351" t="s">
        <v>2399</v>
      </c>
      <c r="Q10351" t="s">
        <v>2400</v>
      </c>
      <c r="R10351" t="s">
        <v>2401</v>
      </c>
      <c r="S10351" t="s">
        <v>318</v>
      </c>
      <c r="T10351" t="s">
        <v>2402</v>
      </c>
      <c r="U10351" t="s">
        <v>2403</v>
      </c>
      <c r="V10351" t="s">
        <v>282</v>
      </c>
      <c r="W10351" t="s">
        <v>226</v>
      </c>
    </row>
    <row r="10352" spans="1:23" x14ac:dyDescent="0.35">
      <c r="A10352" t="s">
        <v>227</v>
      </c>
      <c r="B10352" t="s">
        <v>248</v>
      </c>
      <c r="C10352" s="2">
        <v>0.44729999999999998</v>
      </c>
      <c r="D10352" s="2">
        <v>0.28260000000000002</v>
      </c>
      <c r="E10352" s="2">
        <v>0.13739999999999999</v>
      </c>
      <c r="F10352" s="2">
        <v>0.1089</v>
      </c>
      <c r="G10352" s="2">
        <v>7.1400000000000005E-2</v>
      </c>
      <c r="H10352" s="2">
        <v>3.9E-2</v>
      </c>
      <c r="I10352" s="2">
        <v>1.0999999999999999E-2</v>
      </c>
      <c r="J10352" s="2">
        <v>2.1999999999999999E-2</v>
      </c>
      <c r="K10352" s="2">
        <v>7.0000000000000001E-3</v>
      </c>
      <c r="L10352" s="2">
        <v>1.3100000000000001E-2</v>
      </c>
      <c r="M10352" s="2">
        <v>8.3999999999999995E-3</v>
      </c>
      <c r="N10352" s="2">
        <v>8.8999999999999999E-3</v>
      </c>
      <c r="O10352" s="2">
        <v>7.3000000000000001E-3</v>
      </c>
      <c r="P10352" s="2">
        <v>3.0999999999999999E-3</v>
      </c>
      <c r="S10352" s="2">
        <v>4.0000000000000002E-4</v>
      </c>
      <c r="U10352" s="2">
        <v>1E-3</v>
      </c>
      <c r="V10352" s="2">
        <v>2.8999999999999998E-3</v>
      </c>
      <c r="W10352">
        <v>796</v>
      </c>
    </row>
    <row r="10353" spans="1:23" x14ac:dyDescent="0.35">
      <c r="A10353" t="s">
        <v>227</v>
      </c>
      <c r="B10353" t="s">
        <v>249</v>
      </c>
      <c r="C10353" s="2">
        <v>0.44159999999999999</v>
      </c>
      <c r="D10353" s="2">
        <v>0.31830000000000003</v>
      </c>
      <c r="E10353" s="2">
        <v>0.1081</v>
      </c>
      <c r="F10353" s="2">
        <v>0.10299999999999999</v>
      </c>
      <c r="G10353" s="2">
        <v>6.0400000000000002E-2</v>
      </c>
      <c r="H10353" s="2">
        <v>2.29E-2</v>
      </c>
      <c r="I10353" s="2">
        <v>6.8999999999999999E-3</v>
      </c>
      <c r="J10353" s="2">
        <v>2.8999999999999998E-3</v>
      </c>
      <c r="K10353" s="2">
        <v>8.3000000000000001E-3</v>
      </c>
      <c r="L10353" s="2">
        <v>9.7999999999999997E-3</v>
      </c>
      <c r="M10353" s="2">
        <v>3.0000000000000001E-3</v>
      </c>
      <c r="N10353" s="2">
        <v>9.2999999999999992E-3</v>
      </c>
      <c r="O10353" s="2">
        <v>5.5999999999999999E-3</v>
      </c>
      <c r="P10353" s="2">
        <v>4.8999999999999998E-3</v>
      </c>
      <c r="Q10353" s="2">
        <v>8.2000000000000007E-3</v>
      </c>
      <c r="R10353" s="2">
        <v>4.4999999999999997E-3</v>
      </c>
      <c r="S10353" s="2">
        <v>7.4000000000000003E-3</v>
      </c>
      <c r="T10353" s="2">
        <v>1.1999999999999999E-3</v>
      </c>
      <c r="U10353" s="2">
        <v>8.0000000000000004E-4</v>
      </c>
      <c r="V10353" s="2">
        <v>1E-3</v>
      </c>
      <c r="W10353">
        <v>541</v>
      </c>
    </row>
    <row r="10354" spans="1:23" x14ac:dyDescent="0.35">
      <c r="A10354" t="s">
        <v>227</v>
      </c>
      <c r="B10354" t="s">
        <v>247</v>
      </c>
      <c r="C10354" s="2">
        <v>0.41120000000000001</v>
      </c>
      <c r="D10354" s="2">
        <v>0.3533</v>
      </c>
      <c r="E10354" s="2">
        <v>6.59E-2</v>
      </c>
      <c r="F10354" s="2">
        <v>6.3299999999999995E-2</v>
      </c>
      <c r="G10354" s="2">
        <v>6.5199999999999994E-2</v>
      </c>
      <c r="H10354" s="2">
        <v>7.6399999999999996E-2</v>
      </c>
      <c r="I10354" s="2">
        <v>1.8700000000000001E-2</v>
      </c>
      <c r="J10354" s="2">
        <v>8.3999999999999995E-3</v>
      </c>
      <c r="K10354" s="2">
        <v>1.3100000000000001E-2</v>
      </c>
      <c r="L10354" s="2">
        <v>6.4000000000000003E-3</v>
      </c>
      <c r="M10354" s="2">
        <v>8.0999999999999996E-3</v>
      </c>
      <c r="N10354" s="2">
        <v>3.8999999999999998E-3</v>
      </c>
      <c r="O10354" s="2">
        <v>4.4000000000000003E-3</v>
      </c>
      <c r="P10354" s="2">
        <v>4.0000000000000001E-3</v>
      </c>
      <c r="Q10354" s="2">
        <v>1.6000000000000001E-3</v>
      </c>
      <c r="R10354" s="2">
        <v>2.3E-3</v>
      </c>
      <c r="S10354" s="2">
        <v>5.9999999999999995E-4</v>
      </c>
      <c r="T10354" s="2">
        <v>3.2000000000000002E-3</v>
      </c>
      <c r="U10354" s="2">
        <v>2.5999999999999999E-3</v>
      </c>
      <c r="V10354" s="2">
        <v>5.9999999999999995E-4</v>
      </c>
      <c r="W10354">
        <v>1475</v>
      </c>
    </row>
    <row r="10355" spans="1:23" x14ac:dyDescent="0.35">
      <c r="A10355" t="s">
        <v>228</v>
      </c>
      <c r="B10355" t="s">
        <v>228</v>
      </c>
      <c r="C10355" s="2">
        <v>0.42699999999999999</v>
      </c>
      <c r="D10355" s="2">
        <v>0.3271</v>
      </c>
      <c r="E10355" s="2">
        <v>9.3799999999999994E-2</v>
      </c>
      <c r="F10355" s="2">
        <v>8.3500000000000005E-2</v>
      </c>
      <c r="G10355" s="2">
        <v>6.6000000000000003E-2</v>
      </c>
      <c r="H10355" s="2">
        <v>5.57E-2</v>
      </c>
      <c r="I10355" s="2">
        <v>1.43E-2</v>
      </c>
      <c r="J10355" s="2">
        <v>1.0999999999999999E-2</v>
      </c>
      <c r="K10355" s="2">
        <v>1.0500000000000001E-2</v>
      </c>
      <c r="L10355" s="2">
        <v>8.8999999999999999E-3</v>
      </c>
      <c r="M10355" s="2">
        <v>7.1999999999999998E-3</v>
      </c>
      <c r="N10355" s="2">
        <v>6.3E-3</v>
      </c>
      <c r="O10355" s="2">
        <v>5.4000000000000003E-3</v>
      </c>
      <c r="P10355" s="2">
        <v>3.8999999999999998E-3</v>
      </c>
      <c r="Q10355" s="2">
        <v>2.3999999999999998E-3</v>
      </c>
      <c r="R10355" s="2">
        <v>2.0999999999999999E-3</v>
      </c>
      <c r="S10355" s="2">
        <v>1.9E-3</v>
      </c>
      <c r="T10355" s="2">
        <v>1.9E-3</v>
      </c>
      <c r="U10355" s="2">
        <v>1.8E-3</v>
      </c>
      <c r="V10355" s="2">
        <v>1.2999999999999999E-3</v>
      </c>
      <c r="W10355">
        <v>2812</v>
      </c>
    </row>
    <row r="10357" spans="1:23" x14ac:dyDescent="0.35">
      <c r="A10357" s="1" t="s">
        <v>2410</v>
      </c>
    </row>
    <row r="10358" spans="1:23" x14ac:dyDescent="0.35">
      <c r="A10358" t="s">
        <v>219</v>
      </c>
      <c r="B10358" t="s">
        <v>301</v>
      </c>
      <c r="C10358" t="s">
        <v>2387</v>
      </c>
      <c r="D10358" t="s">
        <v>2388</v>
      </c>
      <c r="E10358" t="s">
        <v>2389</v>
      </c>
      <c r="F10358" t="s">
        <v>2390</v>
      </c>
      <c r="G10358" t="s">
        <v>2391</v>
      </c>
      <c r="H10358" t="s">
        <v>2392</v>
      </c>
      <c r="I10358" t="s">
        <v>277</v>
      </c>
      <c r="J10358" t="s">
        <v>2393</v>
      </c>
      <c r="K10358" t="s">
        <v>2394</v>
      </c>
      <c r="L10358" t="s">
        <v>2395</v>
      </c>
      <c r="M10358" t="s">
        <v>2396</v>
      </c>
      <c r="N10358" t="s">
        <v>2397</v>
      </c>
      <c r="O10358" t="s">
        <v>2398</v>
      </c>
      <c r="P10358" t="s">
        <v>2399</v>
      </c>
      <c r="Q10358" t="s">
        <v>2400</v>
      </c>
      <c r="R10358" t="s">
        <v>2401</v>
      </c>
      <c r="S10358" t="s">
        <v>318</v>
      </c>
      <c r="T10358" t="s">
        <v>2402</v>
      </c>
      <c r="U10358" t="s">
        <v>2403</v>
      </c>
      <c r="V10358" t="s">
        <v>282</v>
      </c>
      <c r="W10358" t="s">
        <v>226</v>
      </c>
    </row>
    <row r="10359" spans="1:23" x14ac:dyDescent="0.35">
      <c r="A10359" t="s">
        <v>227</v>
      </c>
      <c r="B10359" t="s">
        <v>245</v>
      </c>
      <c r="C10359" s="2">
        <v>0.4118</v>
      </c>
      <c r="D10359" s="2">
        <v>0.3231</v>
      </c>
      <c r="E10359" s="2">
        <v>7.7399999999999997E-2</v>
      </c>
      <c r="F10359" s="2">
        <v>5.4699999999999999E-2</v>
      </c>
      <c r="G10359" s="2">
        <v>7.0999999999999994E-2</v>
      </c>
      <c r="H10359" s="2">
        <v>8.4400000000000003E-2</v>
      </c>
      <c r="I10359" s="2">
        <v>2.18E-2</v>
      </c>
      <c r="J10359" s="2">
        <v>1.43E-2</v>
      </c>
      <c r="K10359" s="2">
        <v>1.8700000000000001E-2</v>
      </c>
      <c r="L10359" s="2">
        <v>1.2200000000000001E-2</v>
      </c>
      <c r="M10359" s="2">
        <v>1.43E-2</v>
      </c>
      <c r="N10359" s="2">
        <v>5.0000000000000001E-3</v>
      </c>
      <c r="O10359" s="2">
        <v>6.7999999999999996E-3</v>
      </c>
      <c r="P10359" s="2">
        <v>5.4999999999999997E-3</v>
      </c>
      <c r="Q10359" s="2">
        <v>3.3E-3</v>
      </c>
      <c r="R10359" s="2">
        <v>5.0000000000000001E-3</v>
      </c>
      <c r="S10359" s="2">
        <v>4.3E-3</v>
      </c>
      <c r="T10359" s="2">
        <v>5.8999999999999999E-3</v>
      </c>
      <c r="U10359" s="2">
        <v>1E-3</v>
      </c>
      <c r="V10359" s="2">
        <v>4.0000000000000002E-4</v>
      </c>
      <c r="W10359">
        <v>782</v>
      </c>
    </row>
    <row r="10360" spans="1:23" x14ac:dyDescent="0.35">
      <c r="A10360" t="s">
        <v>227</v>
      </c>
      <c r="B10360" t="s">
        <v>244</v>
      </c>
      <c r="C10360" s="2">
        <v>0.433</v>
      </c>
      <c r="D10360" s="2">
        <v>0.32869999999999999</v>
      </c>
      <c r="E10360" s="2">
        <v>0.1002</v>
      </c>
      <c r="F10360" s="2">
        <v>9.4899999999999998E-2</v>
      </c>
      <c r="G10360" s="2">
        <v>6.4000000000000001E-2</v>
      </c>
      <c r="H10360" s="2">
        <v>4.4400000000000002E-2</v>
      </c>
      <c r="I10360" s="2">
        <v>1.14E-2</v>
      </c>
      <c r="J10360" s="2">
        <v>9.7999999999999997E-3</v>
      </c>
      <c r="K10360" s="2">
        <v>7.3000000000000001E-3</v>
      </c>
      <c r="L10360" s="2">
        <v>7.6E-3</v>
      </c>
      <c r="M10360" s="2">
        <v>4.4000000000000003E-3</v>
      </c>
      <c r="N10360" s="2">
        <v>6.7999999999999996E-3</v>
      </c>
      <c r="O10360" s="2">
        <v>4.8999999999999998E-3</v>
      </c>
      <c r="P10360" s="2">
        <v>3.3E-3</v>
      </c>
      <c r="Q10360" s="2">
        <v>2.0999999999999999E-3</v>
      </c>
      <c r="R10360" s="2">
        <v>8.9999999999999998E-4</v>
      </c>
      <c r="S10360" s="2">
        <v>8.9999999999999998E-4</v>
      </c>
      <c r="T10360" s="2">
        <v>2.9999999999999997E-4</v>
      </c>
      <c r="U10360" s="2">
        <v>2.0999999999999999E-3</v>
      </c>
      <c r="V10360" s="2">
        <v>1.6999999999999999E-3</v>
      </c>
      <c r="W10360">
        <v>2030</v>
      </c>
    </row>
    <row r="10361" spans="1:23" x14ac:dyDescent="0.35">
      <c r="A10361" t="s">
        <v>228</v>
      </c>
      <c r="B10361" t="s">
        <v>228</v>
      </c>
      <c r="C10361" s="2">
        <v>0.42699999999999999</v>
      </c>
      <c r="D10361" s="2">
        <v>0.3271</v>
      </c>
      <c r="E10361" s="2">
        <v>9.3799999999999994E-2</v>
      </c>
      <c r="F10361" s="2">
        <v>8.3500000000000005E-2</v>
      </c>
      <c r="G10361" s="2">
        <v>6.6000000000000003E-2</v>
      </c>
      <c r="H10361" s="2">
        <v>5.57E-2</v>
      </c>
      <c r="I10361" s="2">
        <v>1.43E-2</v>
      </c>
      <c r="J10361" s="2">
        <v>1.0999999999999999E-2</v>
      </c>
      <c r="K10361" s="2">
        <v>1.0500000000000001E-2</v>
      </c>
      <c r="L10361" s="2">
        <v>8.8999999999999999E-3</v>
      </c>
      <c r="M10361" s="2">
        <v>7.1999999999999998E-3</v>
      </c>
      <c r="N10361" s="2">
        <v>6.3E-3</v>
      </c>
      <c r="O10361" s="2">
        <v>5.4000000000000003E-3</v>
      </c>
      <c r="P10361" s="2">
        <v>3.8999999999999998E-3</v>
      </c>
      <c r="Q10361" s="2">
        <v>2.3999999999999998E-3</v>
      </c>
      <c r="R10361" s="2">
        <v>2.0999999999999999E-3</v>
      </c>
      <c r="S10361" s="2">
        <v>1.9E-3</v>
      </c>
      <c r="T10361" s="2">
        <v>1.9E-3</v>
      </c>
      <c r="U10361" s="2">
        <v>1.8E-3</v>
      </c>
      <c r="V10361" s="2">
        <v>1.2999999999999999E-3</v>
      </c>
      <c r="W10361">
        <v>2812</v>
      </c>
    </row>
    <row r="10363" spans="1:23" x14ac:dyDescent="0.35">
      <c r="A10363" s="1" t="s">
        <v>2411</v>
      </c>
    </row>
    <row r="10364" spans="1:23" x14ac:dyDescent="0.35">
      <c r="A10364" t="s">
        <v>219</v>
      </c>
      <c r="B10364" t="s">
        <v>301</v>
      </c>
      <c r="C10364" t="s">
        <v>2387</v>
      </c>
      <c r="D10364" t="s">
        <v>2388</v>
      </c>
      <c r="E10364" t="s">
        <v>2389</v>
      </c>
      <c r="F10364" t="s">
        <v>2390</v>
      </c>
      <c r="G10364" t="s">
        <v>2391</v>
      </c>
      <c r="H10364" t="s">
        <v>2392</v>
      </c>
      <c r="I10364" t="s">
        <v>277</v>
      </c>
      <c r="J10364" t="s">
        <v>2393</v>
      </c>
      <c r="K10364" t="s">
        <v>2394</v>
      </c>
      <c r="L10364" t="s">
        <v>2395</v>
      </c>
      <c r="M10364" t="s">
        <v>2396</v>
      </c>
      <c r="N10364" t="s">
        <v>2397</v>
      </c>
      <c r="O10364" t="s">
        <v>2398</v>
      </c>
      <c r="P10364" t="s">
        <v>2399</v>
      </c>
      <c r="Q10364" t="s">
        <v>2400</v>
      </c>
      <c r="R10364" t="s">
        <v>2401</v>
      </c>
      <c r="S10364" t="s">
        <v>318</v>
      </c>
      <c r="T10364" t="s">
        <v>2402</v>
      </c>
      <c r="U10364" t="s">
        <v>2403</v>
      </c>
      <c r="V10364" t="s">
        <v>282</v>
      </c>
      <c r="W10364" t="s">
        <v>226</v>
      </c>
    </row>
    <row r="10365" spans="1:23" x14ac:dyDescent="0.35">
      <c r="A10365" t="s">
        <v>227</v>
      </c>
      <c r="B10365" t="s">
        <v>259</v>
      </c>
      <c r="C10365" s="2">
        <v>0.32429999999999998</v>
      </c>
      <c r="D10365" s="2">
        <v>0.33950000000000002</v>
      </c>
      <c r="E10365" s="2">
        <v>0.1762</v>
      </c>
      <c r="F10365" s="2">
        <v>0.18629999999999999</v>
      </c>
      <c r="G10365" s="2">
        <v>4.7000000000000002E-3</v>
      </c>
      <c r="H10365" s="2">
        <v>0.11940000000000001</v>
      </c>
      <c r="J10365" s="2">
        <v>3.8100000000000002E-2</v>
      </c>
      <c r="K10365" s="2">
        <v>6.3E-3</v>
      </c>
      <c r="L10365" s="2">
        <v>5.8999999999999999E-3</v>
      </c>
      <c r="O10365" s="2">
        <v>9.1000000000000004E-3</v>
      </c>
      <c r="Q10365" s="2">
        <v>1.1299999999999999E-2</v>
      </c>
      <c r="S10365" s="2">
        <v>1.54E-2</v>
      </c>
      <c r="W10365">
        <v>69</v>
      </c>
    </row>
    <row r="10366" spans="1:23" x14ac:dyDescent="0.35">
      <c r="A10366" t="s">
        <v>227</v>
      </c>
      <c r="B10366" t="s">
        <v>257</v>
      </c>
      <c r="C10366" s="2">
        <v>0.45569999999999999</v>
      </c>
      <c r="D10366" s="2">
        <v>0.1313</v>
      </c>
      <c r="E10366" s="2">
        <v>0.1275</v>
      </c>
      <c r="F10366" s="2">
        <v>9.6100000000000005E-2</v>
      </c>
      <c r="G10366" s="2">
        <v>0.1454</v>
      </c>
      <c r="H10366" s="2">
        <v>6.0199999999999997E-2</v>
      </c>
      <c r="I10366" s="2">
        <v>1.06E-2</v>
      </c>
      <c r="J10366" s="2">
        <v>1.9400000000000001E-2</v>
      </c>
      <c r="K10366" s="2">
        <v>2.2100000000000002E-2</v>
      </c>
      <c r="L10366" s="2">
        <v>2.4899999999999999E-2</v>
      </c>
      <c r="M10366" s="2">
        <v>2.2599999999999999E-2</v>
      </c>
      <c r="N10366" s="2">
        <v>1.9400000000000001E-2</v>
      </c>
      <c r="O10366" s="2">
        <v>9.4999999999999998E-3</v>
      </c>
      <c r="P10366" s="2">
        <v>1.2800000000000001E-2</v>
      </c>
      <c r="R10366" s="2">
        <v>4.7000000000000002E-3</v>
      </c>
      <c r="S10366" s="2">
        <v>8.9999999999999998E-4</v>
      </c>
      <c r="T10366" s="2">
        <v>1.2999999999999999E-3</v>
      </c>
      <c r="U10366" s="2">
        <v>2E-3</v>
      </c>
      <c r="V10366" s="2">
        <v>3.8E-3</v>
      </c>
      <c r="W10366">
        <v>405</v>
      </c>
    </row>
    <row r="10367" spans="1:23" x14ac:dyDescent="0.35">
      <c r="A10367" t="s">
        <v>227</v>
      </c>
      <c r="B10367" t="s">
        <v>256</v>
      </c>
      <c r="C10367" s="2">
        <v>0.4239</v>
      </c>
      <c r="D10367" s="2">
        <v>0.3715</v>
      </c>
      <c r="E10367" s="2">
        <v>8.8999999999999996E-2</v>
      </c>
      <c r="F10367" s="2">
        <v>8.0600000000000005E-2</v>
      </c>
      <c r="G10367" s="2">
        <v>5.3199999999999997E-2</v>
      </c>
      <c r="H10367" s="2">
        <v>4.5900000000000003E-2</v>
      </c>
      <c r="I10367" s="2">
        <v>1.6199999999999999E-2</v>
      </c>
      <c r="J10367" s="2">
        <v>8.6999999999999994E-3</v>
      </c>
      <c r="K10367" s="2">
        <v>5.7000000000000002E-3</v>
      </c>
      <c r="L10367" s="2">
        <v>6.3E-3</v>
      </c>
      <c r="M10367" s="2">
        <v>4.7999999999999996E-3</v>
      </c>
      <c r="N10367" s="2">
        <v>2.8E-3</v>
      </c>
      <c r="O10367" s="2">
        <v>2.7000000000000001E-3</v>
      </c>
      <c r="P10367" s="2">
        <v>1.8E-3</v>
      </c>
      <c r="Q10367" s="2">
        <v>2.2000000000000001E-3</v>
      </c>
      <c r="R10367" s="2">
        <v>1.2999999999999999E-3</v>
      </c>
      <c r="S10367" s="2">
        <v>2.0999999999999999E-3</v>
      </c>
      <c r="T10367" s="2">
        <v>2.5000000000000001E-3</v>
      </c>
      <c r="U10367" s="2">
        <v>8.0000000000000004E-4</v>
      </c>
      <c r="V10367" s="2">
        <v>5.9999999999999995E-4</v>
      </c>
      <c r="W10367">
        <v>1803</v>
      </c>
    </row>
    <row r="10368" spans="1:23" x14ac:dyDescent="0.35">
      <c r="A10368" s="3" t="s">
        <v>227</v>
      </c>
      <c r="B10368" s="3" t="s">
        <v>232</v>
      </c>
      <c r="C10368" s="4">
        <v>0.10780000000000001</v>
      </c>
      <c r="D10368" s="4">
        <v>0.1971</v>
      </c>
      <c r="E10368" s="4">
        <v>0.26219999999999999</v>
      </c>
      <c r="F10368" s="4">
        <v>0.34410000000000002</v>
      </c>
      <c r="G10368" s="4">
        <v>8.1900000000000001E-2</v>
      </c>
      <c r="H10368" s="4">
        <v>0.35110000000000002</v>
      </c>
      <c r="I10368" s="5"/>
      <c r="J10368" s="4">
        <v>8.1900000000000001E-2</v>
      </c>
      <c r="K10368" s="5"/>
      <c r="L10368" s="4">
        <v>8.1900000000000001E-2</v>
      </c>
      <c r="M10368" s="5"/>
      <c r="N10368" s="4">
        <v>2.3900000000000001E-2</v>
      </c>
      <c r="O10368" s="4">
        <v>2.3900000000000001E-2</v>
      </c>
      <c r="P10368" s="4">
        <v>2.3900000000000001E-2</v>
      </c>
      <c r="Q10368" s="5"/>
      <c r="R10368" s="5"/>
      <c r="S10368" s="5"/>
      <c r="T10368" s="5"/>
      <c r="U10368" s="5"/>
      <c r="V10368" s="5"/>
      <c r="W10368" s="5" t="s">
        <v>307</v>
      </c>
    </row>
    <row r="10369" spans="1:23" x14ac:dyDescent="0.35">
      <c r="A10369" t="s">
        <v>227</v>
      </c>
      <c r="B10369" t="s">
        <v>258</v>
      </c>
      <c r="C10369" s="2">
        <v>0.42430000000000001</v>
      </c>
      <c r="D10369" s="2">
        <v>0.35160000000000002</v>
      </c>
      <c r="E10369" s="2">
        <v>6.4799999999999996E-2</v>
      </c>
      <c r="F10369" s="2">
        <v>6.7000000000000004E-2</v>
      </c>
      <c r="G10369" s="2">
        <v>3.8899999999999997E-2</v>
      </c>
      <c r="H10369" s="2">
        <v>8.3799999999999999E-2</v>
      </c>
      <c r="I10369" s="2">
        <v>1.1900000000000001E-2</v>
      </c>
      <c r="J10369" s="2">
        <v>7.9000000000000008E-3</v>
      </c>
      <c r="K10369" s="2">
        <v>1.9699999999999999E-2</v>
      </c>
      <c r="L10369" s="2">
        <v>1.5E-3</v>
      </c>
      <c r="M10369" s="2">
        <v>1.2999999999999999E-3</v>
      </c>
      <c r="N10369" s="2">
        <v>7.4999999999999997E-3</v>
      </c>
      <c r="O10369" s="2">
        <v>1.26E-2</v>
      </c>
      <c r="P10369" s="2">
        <v>3.3999999999999998E-3</v>
      </c>
      <c r="Q10369" s="2">
        <v>5.4999999999999997E-3</v>
      </c>
      <c r="R10369" s="2">
        <v>2.8E-3</v>
      </c>
      <c r="S10369" s="2">
        <v>5.0000000000000001E-4</v>
      </c>
      <c r="U10369" s="2">
        <v>6.1999999999999998E-3</v>
      </c>
      <c r="V10369" s="2">
        <v>1.9E-3</v>
      </c>
      <c r="W10369">
        <v>524</v>
      </c>
    </row>
    <row r="10370" spans="1:23" x14ac:dyDescent="0.35">
      <c r="A10370" t="s">
        <v>228</v>
      </c>
      <c r="B10370" t="s">
        <v>228</v>
      </c>
      <c r="C10370" s="2">
        <v>0.42699999999999999</v>
      </c>
      <c r="D10370" s="2">
        <v>0.3271</v>
      </c>
      <c r="E10370" s="2">
        <v>9.3799999999999994E-2</v>
      </c>
      <c r="F10370" s="2">
        <v>8.3500000000000005E-2</v>
      </c>
      <c r="G10370" s="2">
        <v>6.6000000000000003E-2</v>
      </c>
      <c r="H10370" s="2">
        <v>5.57E-2</v>
      </c>
      <c r="I10370" s="2">
        <v>1.43E-2</v>
      </c>
      <c r="J10370" s="2">
        <v>1.0999999999999999E-2</v>
      </c>
      <c r="K10370" s="2">
        <v>1.0500000000000001E-2</v>
      </c>
      <c r="L10370" s="2">
        <v>8.8999999999999999E-3</v>
      </c>
      <c r="M10370" s="2">
        <v>7.1999999999999998E-3</v>
      </c>
      <c r="N10370" s="2">
        <v>6.3E-3</v>
      </c>
      <c r="O10370" s="2">
        <v>5.4000000000000003E-3</v>
      </c>
      <c r="P10370" s="2">
        <v>3.8999999999999998E-3</v>
      </c>
      <c r="Q10370" s="2">
        <v>2.3999999999999998E-3</v>
      </c>
      <c r="R10370" s="2">
        <v>2.0999999999999999E-3</v>
      </c>
      <c r="S10370" s="2">
        <v>1.9E-3</v>
      </c>
      <c r="T10370" s="2">
        <v>1.9E-3</v>
      </c>
      <c r="U10370" s="2">
        <v>1.8E-3</v>
      </c>
      <c r="V10370" s="2">
        <v>1.2999999999999999E-3</v>
      </c>
      <c r="W10370">
        <v>2812</v>
      </c>
    </row>
    <row r="10372" spans="1:23" x14ac:dyDescent="0.35">
      <c r="A10372" s="1" t="s">
        <v>2412</v>
      </c>
    </row>
    <row r="10373" spans="1:23" x14ac:dyDescent="0.35">
      <c r="A10373" t="s">
        <v>219</v>
      </c>
      <c r="B10373" t="s">
        <v>301</v>
      </c>
      <c r="C10373" t="s">
        <v>2387</v>
      </c>
      <c r="D10373" t="s">
        <v>2388</v>
      </c>
      <c r="E10373" t="s">
        <v>2389</v>
      </c>
      <c r="F10373" t="s">
        <v>2390</v>
      </c>
      <c r="G10373" t="s">
        <v>2391</v>
      </c>
      <c r="H10373" t="s">
        <v>2392</v>
      </c>
      <c r="I10373" t="s">
        <v>277</v>
      </c>
      <c r="J10373" t="s">
        <v>2393</v>
      </c>
      <c r="K10373" t="s">
        <v>2394</v>
      </c>
      <c r="L10373" t="s">
        <v>2395</v>
      </c>
      <c r="M10373" t="s">
        <v>2396</v>
      </c>
      <c r="N10373" t="s">
        <v>2397</v>
      </c>
      <c r="O10373" t="s">
        <v>2398</v>
      </c>
      <c r="P10373" t="s">
        <v>2399</v>
      </c>
      <c r="Q10373" t="s">
        <v>2400</v>
      </c>
      <c r="R10373" t="s">
        <v>2401</v>
      </c>
      <c r="S10373" t="s">
        <v>318</v>
      </c>
      <c r="T10373" t="s">
        <v>2402</v>
      </c>
      <c r="U10373" t="s">
        <v>2403</v>
      </c>
      <c r="V10373" t="s">
        <v>282</v>
      </c>
      <c r="W10373" t="s">
        <v>226</v>
      </c>
    </row>
    <row r="10374" spans="1:23" x14ac:dyDescent="0.35">
      <c r="A10374" t="s">
        <v>227</v>
      </c>
      <c r="B10374" t="s">
        <v>343</v>
      </c>
      <c r="C10374" s="2">
        <v>0.45569999999999999</v>
      </c>
      <c r="D10374" s="2">
        <v>0.1313</v>
      </c>
      <c r="E10374" s="2">
        <v>0.1275</v>
      </c>
      <c r="F10374" s="2">
        <v>9.6100000000000005E-2</v>
      </c>
      <c r="G10374" s="2">
        <v>0.1454</v>
      </c>
      <c r="H10374" s="2">
        <v>6.0199999999999997E-2</v>
      </c>
      <c r="I10374" s="2">
        <v>1.06E-2</v>
      </c>
      <c r="J10374" s="2">
        <v>1.9400000000000001E-2</v>
      </c>
      <c r="K10374" s="2">
        <v>2.2100000000000002E-2</v>
      </c>
      <c r="L10374" s="2">
        <v>2.4899999999999999E-2</v>
      </c>
      <c r="M10374" s="2">
        <v>2.2599999999999999E-2</v>
      </c>
      <c r="N10374" s="2">
        <v>1.9400000000000001E-2</v>
      </c>
      <c r="O10374" s="2">
        <v>9.4999999999999998E-3</v>
      </c>
      <c r="P10374" s="2">
        <v>1.2800000000000001E-2</v>
      </c>
      <c r="R10374" s="2">
        <v>4.7000000000000002E-3</v>
      </c>
      <c r="S10374" s="2">
        <v>8.9999999999999998E-4</v>
      </c>
      <c r="T10374" s="2">
        <v>1.2999999999999999E-3</v>
      </c>
      <c r="U10374" s="2">
        <v>2E-3</v>
      </c>
      <c r="V10374" s="2">
        <v>3.8E-3</v>
      </c>
      <c r="W10374">
        <v>405</v>
      </c>
    </row>
    <row r="10375" spans="1:23" x14ac:dyDescent="0.35">
      <c r="A10375" t="s">
        <v>227</v>
      </c>
      <c r="B10375" t="s">
        <v>344</v>
      </c>
      <c r="C10375" s="2">
        <v>0.42120000000000002</v>
      </c>
      <c r="D10375" s="2">
        <v>0.36699999999999999</v>
      </c>
      <c r="E10375" s="2">
        <v>8.6900000000000005E-2</v>
      </c>
      <c r="F10375" s="2">
        <v>8.1000000000000003E-2</v>
      </c>
      <c r="G10375" s="2">
        <v>4.9799999999999997E-2</v>
      </c>
      <c r="H10375" s="2">
        <v>5.4800000000000001E-2</v>
      </c>
      <c r="I10375" s="2">
        <v>1.5100000000000001E-2</v>
      </c>
      <c r="J10375" s="2">
        <v>9.4000000000000004E-3</v>
      </c>
      <c r="K10375" s="2">
        <v>8.0999999999999996E-3</v>
      </c>
      <c r="L10375" s="2">
        <v>5.5999999999999999E-3</v>
      </c>
      <c r="M10375" s="2">
        <v>4.1000000000000003E-3</v>
      </c>
      <c r="N10375" s="2">
        <v>3.5999999999999999E-3</v>
      </c>
      <c r="O10375" s="2">
        <v>4.5999999999999999E-3</v>
      </c>
      <c r="P10375" s="2">
        <v>2.0999999999999999E-3</v>
      </c>
      <c r="Q10375" s="2">
        <v>2.8999999999999998E-3</v>
      </c>
      <c r="R10375" s="2">
        <v>1.5E-3</v>
      </c>
      <c r="S10375" s="2">
        <v>2.0999999999999999E-3</v>
      </c>
      <c r="T10375" s="2">
        <v>2E-3</v>
      </c>
      <c r="U10375" s="2">
        <v>1.6999999999999999E-3</v>
      </c>
      <c r="V10375" s="2">
        <v>8.0000000000000004E-4</v>
      </c>
      <c r="W10375">
        <v>2407</v>
      </c>
    </row>
    <row r="10376" spans="1:23" x14ac:dyDescent="0.35">
      <c r="A10376" t="s">
        <v>228</v>
      </c>
      <c r="B10376" t="s">
        <v>228</v>
      </c>
      <c r="C10376" s="2">
        <v>0.42699999999999999</v>
      </c>
      <c r="D10376" s="2">
        <v>0.3271</v>
      </c>
      <c r="E10376" s="2">
        <v>9.3799999999999994E-2</v>
      </c>
      <c r="F10376" s="2">
        <v>8.3500000000000005E-2</v>
      </c>
      <c r="G10376" s="2">
        <v>6.6000000000000003E-2</v>
      </c>
      <c r="H10376" s="2">
        <v>5.57E-2</v>
      </c>
      <c r="I10376" s="2">
        <v>1.43E-2</v>
      </c>
      <c r="J10376" s="2">
        <v>1.0999999999999999E-2</v>
      </c>
      <c r="K10376" s="2">
        <v>1.0500000000000001E-2</v>
      </c>
      <c r="L10376" s="2">
        <v>8.8999999999999999E-3</v>
      </c>
      <c r="M10376" s="2">
        <v>7.1999999999999998E-3</v>
      </c>
      <c r="N10376" s="2">
        <v>6.3E-3</v>
      </c>
      <c r="O10376" s="2">
        <v>5.4000000000000003E-3</v>
      </c>
      <c r="P10376" s="2">
        <v>3.8999999999999998E-3</v>
      </c>
      <c r="Q10376" s="2">
        <v>2.3999999999999998E-3</v>
      </c>
      <c r="R10376" s="2">
        <v>2.0999999999999999E-3</v>
      </c>
      <c r="S10376" s="2">
        <v>1.9E-3</v>
      </c>
      <c r="T10376" s="2">
        <v>1.9E-3</v>
      </c>
      <c r="U10376" s="2">
        <v>1.8E-3</v>
      </c>
      <c r="V10376" s="2">
        <v>1.2999999999999999E-3</v>
      </c>
      <c r="W10376">
        <v>2812</v>
      </c>
    </row>
    <row r="10378" spans="1:23" x14ac:dyDescent="0.35">
      <c r="A10378" s="1" t="s">
        <v>2413</v>
      </c>
    </row>
    <row r="10379" spans="1:23" x14ac:dyDescent="0.35">
      <c r="A10379" t="s">
        <v>219</v>
      </c>
      <c r="B10379" t="s">
        <v>301</v>
      </c>
      <c r="C10379" t="s">
        <v>2387</v>
      </c>
      <c r="D10379" t="s">
        <v>2388</v>
      </c>
      <c r="E10379" t="s">
        <v>2389</v>
      </c>
      <c r="F10379" t="s">
        <v>2390</v>
      </c>
      <c r="G10379" t="s">
        <v>2391</v>
      </c>
      <c r="H10379" t="s">
        <v>2392</v>
      </c>
      <c r="I10379" t="s">
        <v>277</v>
      </c>
      <c r="J10379" t="s">
        <v>2393</v>
      </c>
      <c r="K10379" t="s">
        <v>2394</v>
      </c>
      <c r="L10379" t="s">
        <v>2395</v>
      </c>
      <c r="M10379" t="s">
        <v>2396</v>
      </c>
      <c r="N10379" t="s">
        <v>2397</v>
      </c>
      <c r="O10379" t="s">
        <v>2398</v>
      </c>
      <c r="P10379" t="s">
        <v>2399</v>
      </c>
      <c r="Q10379" t="s">
        <v>2400</v>
      </c>
      <c r="R10379" t="s">
        <v>2401</v>
      </c>
      <c r="S10379" t="s">
        <v>318</v>
      </c>
      <c r="T10379" t="s">
        <v>2402</v>
      </c>
      <c r="U10379" t="s">
        <v>2403</v>
      </c>
      <c r="V10379" t="s">
        <v>282</v>
      </c>
      <c r="W10379" t="s">
        <v>226</v>
      </c>
    </row>
    <row r="10380" spans="1:23" x14ac:dyDescent="0.35">
      <c r="A10380" t="s">
        <v>227</v>
      </c>
      <c r="B10380" t="s">
        <v>346</v>
      </c>
      <c r="C10380" s="2">
        <v>0.4209</v>
      </c>
      <c r="D10380" s="2">
        <v>0.34410000000000002</v>
      </c>
      <c r="E10380" s="2">
        <v>9.3899999999999997E-2</v>
      </c>
      <c r="F10380" s="2">
        <v>8.1000000000000003E-2</v>
      </c>
      <c r="G10380" s="2">
        <v>6.3E-2</v>
      </c>
      <c r="H10380" s="2">
        <v>5.1900000000000002E-2</v>
      </c>
      <c r="I10380" s="2">
        <v>1.43E-2</v>
      </c>
      <c r="J10380" s="2">
        <v>1.04E-2</v>
      </c>
      <c r="K10380" s="2">
        <v>9.7000000000000003E-3</v>
      </c>
      <c r="L10380" s="2">
        <v>7.9000000000000008E-3</v>
      </c>
      <c r="M10380" s="2">
        <v>7.0000000000000001E-3</v>
      </c>
      <c r="N10380" s="2">
        <v>5.5999999999999999E-3</v>
      </c>
      <c r="O10380" s="2">
        <v>3.5000000000000001E-3</v>
      </c>
      <c r="P10380" s="2">
        <v>3.2000000000000002E-3</v>
      </c>
      <c r="Q10380" s="2">
        <v>2.7000000000000001E-3</v>
      </c>
      <c r="R10380" s="2">
        <v>1.5E-3</v>
      </c>
      <c r="S10380" s="2">
        <v>1.4E-3</v>
      </c>
      <c r="T10380" s="2">
        <v>1.9E-3</v>
      </c>
      <c r="U10380" s="2">
        <v>5.9999999999999995E-4</v>
      </c>
      <c r="V10380" s="2">
        <v>1E-3</v>
      </c>
      <c r="W10380">
        <v>1462</v>
      </c>
    </row>
    <row r="10381" spans="1:23" x14ac:dyDescent="0.35">
      <c r="A10381" t="s">
        <v>227</v>
      </c>
      <c r="B10381" t="s">
        <v>347</v>
      </c>
      <c r="C10381" s="2">
        <v>0.55410000000000004</v>
      </c>
      <c r="D10381" s="2">
        <v>0.1434</v>
      </c>
      <c r="E10381" s="2">
        <v>7.4099999999999999E-2</v>
      </c>
      <c r="F10381" s="2">
        <v>7.7799999999999994E-2</v>
      </c>
      <c r="G10381" s="2">
        <v>7.1499999999999994E-2</v>
      </c>
      <c r="H10381" s="2">
        <v>6.4399999999999999E-2</v>
      </c>
      <c r="I10381" s="2">
        <v>1.03E-2</v>
      </c>
      <c r="J10381" s="2">
        <v>1.8800000000000001E-2</v>
      </c>
      <c r="K10381" s="2">
        <v>2.5600000000000001E-2</v>
      </c>
      <c r="L10381" s="2">
        <v>2.4400000000000002E-2</v>
      </c>
      <c r="M10381" s="2">
        <v>9.9000000000000008E-3</v>
      </c>
      <c r="N10381" s="2">
        <v>1.14E-2</v>
      </c>
      <c r="O10381" s="2">
        <v>2.41E-2</v>
      </c>
      <c r="P10381" s="2">
        <v>1.2E-2</v>
      </c>
      <c r="Q10381" s="2">
        <v>2.2000000000000001E-3</v>
      </c>
      <c r="R10381" s="2">
        <v>2E-3</v>
      </c>
      <c r="S10381" s="2">
        <v>9.9000000000000008E-3</v>
      </c>
      <c r="U10381" s="2">
        <v>1.21E-2</v>
      </c>
      <c r="V10381" s="2">
        <v>8.5000000000000006E-3</v>
      </c>
      <c r="W10381">
        <v>585</v>
      </c>
    </row>
    <row r="10382" spans="1:23" x14ac:dyDescent="0.35">
      <c r="A10382" t="s">
        <v>227</v>
      </c>
      <c r="B10382" t="s">
        <v>348</v>
      </c>
      <c r="C10382" s="2">
        <v>0.434</v>
      </c>
      <c r="D10382" s="2">
        <v>0.2427</v>
      </c>
      <c r="E10382" s="2">
        <v>9.9699999999999997E-2</v>
      </c>
      <c r="F10382" s="2">
        <v>0.109</v>
      </c>
      <c r="G10382" s="2">
        <v>9.06E-2</v>
      </c>
      <c r="H10382" s="2">
        <v>8.7599999999999997E-2</v>
      </c>
      <c r="I10382" s="2">
        <v>1.6199999999999999E-2</v>
      </c>
      <c r="J10382" s="2">
        <v>1.4E-2</v>
      </c>
      <c r="K10382" s="2">
        <v>1.26E-2</v>
      </c>
      <c r="L10382" s="2">
        <v>1.2200000000000001E-2</v>
      </c>
      <c r="M10382" s="2">
        <v>7.7999999999999996E-3</v>
      </c>
      <c r="N10382" s="2">
        <v>1.0699999999999999E-2</v>
      </c>
      <c r="O10382" s="2">
        <v>1.5599999999999999E-2</v>
      </c>
      <c r="P10382" s="2">
        <v>7.3000000000000001E-3</v>
      </c>
      <c r="R10382" s="2">
        <v>7.1000000000000004E-3</v>
      </c>
      <c r="S10382" s="2">
        <v>3.0999999999999999E-3</v>
      </c>
      <c r="T10382" s="2">
        <v>2.3999999999999998E-3</v>
      </c>
      <c r="U10382" s="2">
        <v>8.6999999999999994E-3</v>
      </c>
      <c r="V10382" s="2">
        <v>2E-3</v>
      </c>
      <c r="W10382">
        <v>765</v>
      </c>
    </row>
    <row r="10383" spans="1:23" x14ac:dyDescent="0.35">
      <c r="A10383" t="s">
        <v>228</v>
      </c>
      <c r="B10383" t="s">
        <v>228</v>
      </c>
      <c r="C10383" s="2">
        <v>0.42699999999999999</v>
      </c>
      <c r="D10383" s="2">
        <v>0.3271</v>
      </c>
      <c r="E10383" s="2">
        <v>9.3799999999999994E-2</v>
      </c>
      <c r="F10383" s="2">
        <v>8.3500000000000005E-2</v>
      </c>
      <c r="G10383" s="2">
        <v>6.6000000000000003E-2</v>
      </c>
      <c r="H10383" s="2">
        <v>5.57E-2</v>
      </c>
      <c r="I10383" s="2">
        <v>1.43E-2</v>
      </c>
      <c r="J10383" s="2">
        <v>1.0999999999999999E-2</v>
      </c>
      <c r="K10383" s="2">
        <v>1.0500000000000001E-2</v>
      </c>
      <c r="L10383" s="2">
        <v>8.8999999999999999E-3</v>
      </c>
      <c r="M10383" s="2">
        <v>7.1999999999999998E-3</v>
      </c>
      <c r="N10383" s="2">
        <v>6.3E-3</v>
      </c>
      <c r="O10383" s="2">
        <v>5.4000000000000003E-3</v>
      </c>
      <c r="P10383" s="2">
        <v>3.8999999999999998E-3</v>
      </c>
      <c r="Q10383" s="2">
        <v>2.3999999999999998E-3</v>
      </c>
      <c r="R10383" s="2">
        <v>2.0999999999999999E-3</v>
      </c>
      <c r="S10383" s="2">
        <v>1.9E-3</v>
      </c>
      <c r="T10383" s="2">
        <v>1.9E-3</v>
      </c>
      <c r="U10383" s="2">
        <v>1.8E-3</v>
      </c>
      <c r="V10383" s="2">
        <v>1.2999999999999999E-3</v>
      </c>
      <c r="W10383">
        <v>2812</v>
      </c>
    </row>
    <row r="10385" spans="1:23" x14ac:dyDescent="0.35">
      <c r="A10385" s="1" t="s">
        <v>2414</v>
      </c>
    </row>
    <row r="10386" spans="1:23" x14ac:dyDescent="0.35">
      <c r="A10386" t="s">
        <v>219</v>
      </c>
      <c r="B10386" t="s">
        <v>301</v>
      </c>
      <c r="C10386" t="s">
        <v>2387</v>
      </c>
      <c r="D10386" t="s">
        <v>2388</v>
      </c>
      <c r="E10386" t="s">
        <v>2389</v>
      </c>
      <c r="F10386" t="s">
        <v>2390</v>
      </c>
      <c r="G10386" t="s">
        <v>2391</v>
      </c>
      <c r="H10386" t="s">
        <v>2392</v>
      </c>
      <c r="I10386" t="s">
        <v>277</v>
      </c>
      <c r="J10386" t="s">
        <v>2393</v>
      </c>
      <c r="K10386" t="s">
        <v>2394</v>
      </c>
      <c r="L10386" t="s">
        <v>2395</v>
      </c>
      <c r="M10386" t="s">
        <v>2396</v>
      </c>
      <c r="N10386" t="s">
        <v>2397</v>
      </c>
      <c r="O10386" t="s">
        <v>2398</v>
      </c>
      <c r="P10386" t="s">
        <v>2399</v>
      </c>
      <c r="Q10386" t="s">
        <v>2400</v>
      </c>
      <c r="R10386" t="s">
        <v>2401</v>
      </c>
      <c r="S10386" t="s">
        <v>318</v>
      </c>
      <c r="T10386" t="s">
        <v>2402</v>
      </c>
      <c r="U10386" t="s">
        <v>2403</v>
      </c>
      <c r="V10386" t="s">
        <v>282</v>
      </c>
      <c r="W10386" t="s">
        <v>226</v>
      </c>
    </row>
    <row r="10387" spans="1:23" x14ac:dyDescent="0.35">
      <c r="A10387" t="s">
        <v>227</v>
      </c>
      <c r="B10387" t="s">
        <v>251</v>
      </c>
      <c r="C10387" s="2">
        <v>0.433</v>
      </c>
      <c r="D10387" s="2">
        <v>0.32869999999999999</v>
      </c>
      <c r="E10387" s="2">
        <v>0.1002</v>
      </c>
      <c r="F10387" s="2">
        <v>9.4899999999999998E-2</v>
      </c>
      <c r="G10387" s="2">
        <v>6.4000000000000001E-2</v>
      </c>
      <c r="H10387" s="2">
        <v>4.4400000000000002E-2</v>
      </c>
      <c r="I10387" s="2">
        <v>1.14E-2</v>
      </c>
      <c r="J10387" s="2">
        <v>9.7999999999999997E-3</v>
      </c>
      <c r="K10387" s="2">
        <v>7.3000000000000001E-3</v>
      </c>
      <c r="L10387" s="2">
        <v>7.6E-3</v>
      </c>
      <c r="M10387" s="2">
        <v>4.4000000000000003E-3</v>
      </c>
      <c r="N10387" s="2">
        <v>6.7999999999999996E-3</v>
      </c>
      <c r="O10387" s="2">
        <v>4.8999999999999998E-3</v>
      </c>
      <c r="P10387" s="2">
        <v>3.3E-3</v>
      </c>
      <c r="Q10387" s="2">
        <v>2.0999999999999999E-3</v>
      </c>
      <c r="R10387" s="2">
        <v>8.9999999999999998E-4</v>
      </c>
      <c r="S10387" s="2">
        <v>8.9999999999999998E-4</v>
      </c>
      <c r="T10387" s="2">
        <v>2.9999999999999997E-4</v>
      </c>
      <c r="U10387" s="2">
        <v>2.0999999999999999E-3</v>
      </c>
      <c r="V10387" s="2">
        <v>1.6999999999999999E-3</v>
      </c>
      <c r="W10387">
        <v>2030</v>
      </c>
    </row>
    <row r="10388" spans="1:23" x14ac:dyDescent="0.35">
      <c r="A10388" t="s">
        <v>227</v>
      </c>
      <c r="B10388" t="s">
        <v>252</v>
      </c>
      <c r="C10388" s="2">
        <v>0.41089999999999999</v>
      </c>
      <c r="D10388" s="2">
        <v>0.34100000000000003</v>
      </c>
      <c r="E10388" s="2">
        <v>7.4999999999999997E-2</v>
      </c>
      <c r="F10388" s="2">
        <v>4.82E-2</v>
      </c>
      <c r="G10388" s="2">
        <v>6.9699999999999998E-2</v>
      </c>
      <c r="H10388" s="2">
        <v>7.8899999999999998E-2</v>
      </c>
      <c r="I10388" s="2">
        <v>1.9400000000000001E-2</v>
      </c>
      <c r="J10388" s="2">
        <v>1.6799999999999999E-2</v>
      </c>
      <c r="K10388" s="2">
        <v>1.8800000000000001E-2</v>
      </c>
      <c r="L10388" s="2">
        <v>1.2999999999999999E-2</v>
      </c>
      <c r="M10388" s="2">
        <v>1.46E-2</v>
      </c>
      <c r="N10388" s="2">
        <v>5.0000000000000001E-3</v>
      </c>
      <c r="O10388" s="2">
        <v>7.0000000000000001E-3</v>
      </c>
      <c r="P10388" s="2">
        <v>4.3E-3</v>
      </c>
      <c r="Q10388" s="2">
        <v>4.0000000000000001E-3</v>
      </c>
      <c r="R10388" s="2">
        <v>6.1999999999999998E-3</v>
      </c>
      <c r="S10388" s="2">
        <v>5.3E-3</v>
      </c>
      <c r="T10388" s="2">
        <v>7.3000000000000001E-3</v>
      </c>
      <c r="U10388" s="2">
        <v>8.0000000000000004E-4</v>
      </c>
      <c r="W10388">
        <v>620</v>
      </c>
    </row>
    <row r="10389" spans="1:23" x14ac:dyDescent="0.35">
      <c r="A10389" t="s">
        <v>227</v>
      </c>
      <c r="B10389" t="s">
        <v>253</v>
      </c>
      <c r="C10389" s="2">
        <v>0.40389999999999998</v>
      </c>
      <c r="D10389" s="2">
        <v>0.2515</v>
      </c>
      <c r="E10389" s="2">
        <v>9.0399999999999994E-2</v>
      </c>
      <c r="F10389" s="2">
        <v>8.3099999999999993E-2</v>
      </c>
      <c r="G10389" s="2">
        <v>7.9000000000000001E-2</v>
      </c>
      <c r="H10389" s="2">
        <v>0.11169999999999999</v>
      </c>
      <c r="I10389" s="2">
        <v>3.3000000000000002E-2</v>
      </c>
      <c r="J10389" s="2">
        <v>3.5999999999999999E-3</v>
      </c>
      <c r="K10389" s="2">
        <v>1.8800000000000001E-2</v>
      </c>
      <c r="L10389" s="2">
        <v>9.1000000000000004E-3</v>
      </c>
      <c r="M10389" s="2">
        <v>1.3599999999999999E-2</v>
      </c>
      <c r="N10389" s="2">
        <v>5.1999999999999998E-3</v>
      </c>
      <c r="O10389" s="2">
        <v>6.1000000000000004E-3</v>
      </c>
      <c r="P10389" s="2">
        <v>1.0699999999999999E-2</v>
      </c>
      <c r="U10389" s="2">
        <v>2E-3</v>
      </c>
      <c r="W10389">
        <v>153</v>
      </c>
    </row>
    <row r="10390" spans="1:23" x14ac:dyDescent="0.35">
      <c r="A10390" s="3" t="s">
        <v>227</v>
      </c>
      <c r="B10390" s="3" t="s">
        <v>254</v>
      </c>
      <c r="C10390" s="4">
        <v>0.75229999999999997</v>
      </c>
      <c r="D10390" s="4">
        <v>0.13850000000000001</v>
      </c>
      <c r="E10390" s="5"/>
      <c r="F10390" s="4">
        <v>5.1200000000000002E-2</v>
      </c>
      <c r="G10390" s="5"/>
      <c r="H10390" s="5"/>
      <c r="I10390" s="5"/>
      <c r="J10390" s="5"/>
      <c r="K10390" s="5"/>
      <c r="L10390" s="5"/>
      <c r="M10390" s="5"/>
      <c r="N10390" s="5"/>
      <c r="O10390" s="5"/>
      <c r="P10390" s="5"/>
      <c r="Q10390" s="5"/>
      <c r="R10390" s="5"/>
      <c r="S10390" s="5"/>
      <c r="T10390" s="5"/>
      <c r="U10390" s="5"/>
      <c r="V10390" s="4">
        <v>5.8000000000000003E-2</v>
      </c>
      <c r="W10390" s="5" t="s">
        <v>515</v>
      </c>
    </row>
    <row r="10391" spans="1:23" x14ac:dyDescent="0.35">
      <c r="A10391" t="s">
        <v>228</v>
      </c>
      <c r="B10391" t="s">
        <v>228</v>
      </c>
      <c r="C10391" s="2">
        <v>0.42699999999999999</v>
      </c>
      <c r="D10391" s="2">
        <v>0.3271</v>
      </c>
      <c r="E10391" s="2">
        <v>9.3799999999999994E-2</v>
      </c>
      <c r="F10391" s="2">
        <v>8.3500000000000005E-2</v>
      </c>
      <c r="G10391" s="2">
        <v>6.6000000000000003E-2</v>
      </c>
      <c r="H10391" s="2">
        <v>5.57E-2</v>
      </c>
      <c r="I10391" s="2">
        <v>1.43E-2</v>
      </c>
      <c r="J10391" s="2">
        <v>1.0999999999999999E-2</v>
      </c>
      <c r="K10391" s="2">
        <v>1.0500000000000001E-2</v>
      </c>
      <c r="L10391" s="2">
        <v>8.8999999999999999E-3</v>
      </c>
      <c r="M10391" s="2">
        <v>7.1999999999999998E-3</v>
      </c>
      <c r="N10391" s="2">
        <v>6.3E-3</v>
      </c>
      <c r="O10391" s="2">
        <v>5.4000000000000003E-3</v>
      </c>
      <c r="P10391" s="2">
        <v>3.8999999999999998E-3</v>
      </c>
      <c r="Q10391" s="2">
        <v>2.3999999999999998E-3</v>
      </c>
      <c r="R10391" s="2">
        <v>2.0999999999999999E-3</v>
      </c>
      <c r="S10391" s="2">
        <v>1.9E-3</v>
      </c>
      <c r="T10391" s="2">
        <v>1.9E-3</v>
      </c>
      <c r="U10391" s="2">
        <v>1.8E-3</v>
      </c>
      <c r="V10391" s="2">
        <v>1.2999999999999999E-3</v>
      </c>
      <c r="W10391">
        <v>2812</v>
      </c>
    </row>
    <row r="10393" spans="1:23" x14ac:dyDescent="0.35">
      <c r="A10393" s="1" t="s">
        <v>2415</v>
      </c>
    </row>
    <row r="10394" spans="1:23" x14ac:dyDescent="0.35">
      <c r="A10394" t="s">
        <v>219</v>
      </c>
      <c r="B10394" t="s">
        <v>301</v>
      </c>
      <c r="C10394" t="s">
        <v>2387</v>
      </c>
      <c r="D10394" t="s">
        <v>2388</v>
      </c>
      <c r="E10394" t="s">
        <v>2389</v>
      </c>
      <c r="F10394" t="s">
        <v>2390</v>
      </c>
      <c r="G10394" t="s">
        <v>2391</v>
      </c>
      <c r="H10394" t="s">
        <v>2392</v>
      </c>
      <c r="I10394" t="s">
        <v>277</v>
      </c>
      <c r="J10394" t="s">
        <v>2393</v>
      </c>
      <c r="K10394" t="s">
        <v>2394</v>
      </c>
      <c r="L10394" t="s">
        <v>2395</v>
      </c>
      <c r="M10394" t="s">
        <v>2396</v>
      </c>
      <c r="N10394" t="s">
        <v>2397</v>
      </c>
      <c r="O10394" t="s">
        <v>2398</v>
      </c>
      <c r="P10394" t="s">
        <v>2399</v>
      </c>
      <c r="Q10394" t="s">
        <v>2400</v>
      </c>
      <c r="R10394" t="s">
        <v>2401</v>
      </c>
      <c r="S10394" t="s">
        <v>318</v>
      </c>
      <c r="T10394" t="s">
        <v>2402</v>
      </c>
      <c r="U10394" t="s">
        <v>2403</v>
      </c>
      <c r="V10394" t="s">
        <v>282</v>
      </c>
      <c r="W10394" t="s">
        <v>226</v>
      </c>
    </row>
    <row r="10395" spans="1:23" x14ac:dyDescent="0.35">
      <c r="A10395" t="s">
        <v>227</v>
      </c>
      <c r="B10395" t="s">
        <v>1335</v>
      </c>
      <c r="C10395" s="2">
        <v>0.47570000000000001</v>
      </c>
      <c r="D10395" s="2">
        <v>0.32790000000000002</v>
      </c>
      <c r="E10395" s="2">
        <v>7.6799999999999993E-2</v>
      </c>
      <c r="F10395" s="2">
        <v>7.0499999999999993E-2</v>
      </c>
      <c r="G10395" s="2">
        <v>5.6300000000000003E-2</v>
      </c>
      <c r="H10395" s="2">
        <v>4.4999999999999998E-2</v>
      </c>
      <c r="I10395" s="2">
        <v>1.6199999999999999E-2</v>
      </c>
      <c r="J10395" s="2">
        <v>1.0999999999999999E-2</v>
      </c>
      <c r="K10395" s="2">
        <v>8.6999999999999994E-3</v>
      </c>
      <c r="L10395" s="2">
        <v>2.2000000000000001E-3</v>
      </c>
      <c r="M10395" s="2">
        <v>7.1999999999999998E-3</v>
      </c>
      <c r="N10395" s="2">
        <v>4.7999999999999996E-3</v>
      </c>
      <c r="O10395" s="2">
        <v>8.6999999999999994E-3</v>
      </c>
      <c r="P10395" s="2">
        <v>4.4000000000000003E-3</v>
      </c>
      <c r="Q10395" s="2">
        <v>3.0000000000000001E-3</v>
      </c>
      <c r="R10395" s="2">
        <v>4.5999999999999999E-3</v>
      </c>
      <c r="S10395" s="2">
        <v>2.0000000000000001E-4</v>
      </c>
      <c r="U10395" s="2">
        <v>1.9E-3</v>
      </c>
      <c r="V10395" s="2">
        <v>2.2000000000000001E-3</v>
      </c>
      <c r="W10395">
        <v>847</v>
      </c>
    </row>
    <row r="10396" spans="1:23" x14ac:dyDescent="0.35">
      <c r="A10396" s="3" t="s">
        <v>227</v>
      </c>
      <c r="B10396" s="3" t="s">
        <v>1336</v>
      </c>
      <c r="C10396" s="4">
        <v>0.40660000000000002</v>
      </c>
      <c r="D10396" s="5"/>
      <c r="E10396" s="4">
        <v>0.59340000000000004</v>
      </c>
      <c r="F10396" s="4">
        <v>0.59340000000000004</v>
      </c>
      <c r="G10396" s="5"/>
      <c r="H10396" s="5"/>
      <c r="I10396" s="5"/>
      <c r="J10396" s="5"/>
      <c r="K10396" s="5"/>
      <c r="L10396" s="5"/>
      <c r="M10396" s="5"/>
      <c r="N10396" s="5"/>
      <c r="O10396" s="5"/>
      <c r="P10396" s="5"/>
      <c r="Q10396" s="5"/>
      <c r="R10396" s="5"/>
      <c r="S10396" s="5"/>
      <c r="T10396" s="5"/>
      <c r="U10396" s="5"/>
      <c r="V10396" s="5"/>
      <c r="W10396" s="5" t="s">
        <v>434</v>
      </c>
    </row>
    <row r="10397" spans="1:23" x14ac:dyDescent="0.35">
      <c r="A10397" t="s">
        <v>227</v>
      </c>
      <c r="B10397" t="s">
        <v>1337</v>
      </c>
      <c r="C10397" s="2">
        <v>0.4027</v>
      </c>
      <c r="D10397" s="2">
        <v>0.32750000000000001</v>
      </c>
      <c r="E10397" s="2">
        <v>0.1011</v>
      </c>
      <c r="F10397" s="2">
        <v>8.8900000000000007E-2</v>
      </c>
      <c r="G10397" s="2">
        <v>7.0999999999999994E-2</v>
      </c>
      <c r="H10397" s="2">
        <v>6.13E-2</v>
      </c>
      <c r="I10397" s="2">
        <v>1.34E-2</v>
      </c>
      <c r="J10397" s="2">
        <v>1.11E-2</v>
      </c>
      <c r="K10397" s="2">
        <v>1.14E-2</v>
      </c>
      <c r="L10397" s="2">
        <v>1.23E-2</v>
      </c>
      <c r="M10397" s="2">
        <v>7.3000000000000001E-3</v>
      </c>
      <c r="N10397" s="2">
        <v>7.1000000000000004E-3</v>
      </c>
      <c r="O10397" s="2">
        <v>3.8E-3</v>
      </c>
      <c r="P10397" s="2">
        <v>3.7000000000000002E-3</v>
      </c>
      <c r="Q10397" s="2">
        <v>2.0999999999999999E-3</v>
      </c>
      <c r="R10397" s="2">
        <v>8.0000000000000004E-4</v>
      </c>
      <c r="S10397" s="2">
        <v>2.7000000000000001E-3</v>
      </c>
      <c r="T10397" s="2">
        <v>2.8999999999999998E-3</v>
      </c>
      <c r="U10397" s="2">
        <v>1.6999999999999999E-3</v>
      </c>
      <c r="V10397" s="2">
        <v>8.9999999999999998E-4</v>
      </c>
      <c r="W10397">
        <v>1963</v>
      </c>
    </row>
    <row r="10398" spans="1:23" x14ac:dyDescent="0.35">
      <c r="A10398" t="s">
        <v>228</v>
      </c>
      <c r="B10398" t="s">
        <v>228</v>
      </c>
      <c r="C10398" s="2">
        <v>0.42699999999999999</v>
      </c>
      <c r="D10398" s="2">
        <v>0.3271</v>
      </c>
      <c r="E10398" s="2">
        <v>9.3799999999999994E-2</v>
      </c>
      <c r="F10398" s="2">
        <v>8.3500000000000005E-2</v>
      </c>
      <c r="G10398" s="2">
        <v>6.6000000000000003E-2</v>
      </c>
      <c r="H10398" s="2">
        <v>5.57E-2</v>
      </c>
      <c r="I10398" s="2">
        <v>1.43E-2</v>
      </c>
      <c r="J10398" s="2">
        <v>1.0999999999999999E-2</v>
      </c>
      <c r="K10398" s="2">
        <v>1.0500000000000001E-2</v>
      </c>
      <c r="L10398" s="2">
        <v>8.8999999999999999E-3</v>
      </c>
      <c r="M10398" s="2">
        <v>7.1999999999999998E-3</v>
      </c>
      <c r="N10398" s="2">
        <v>6.3E-3</v>
      </c>
      <c r="O10398" s="2">
        <v>5.4000000000000003E-3</v>
      </c>
      <c r="P10398" s="2">
        <v>3.8999999999999998E-3</v>
      </c>
      <c r="Q10398" s="2">
        <v>2.3999999999999998E-3</v>
      </c>
      <c r="R10398" s="2">
        <v>2.0999999999999999E-3</v>
      </c>
      <c r="S10398" s="2">
        <v>1.9E-3</v>
      </c>
      <c r="T10398" s="2">
        <v>1.9E-3</v>
      </c>
      <c r="U10398" s="2">
        <v>1.8E-3</v>
      </c>
      <c r="V10398" s="2">
        <v>1.2999999999999999E-3</v>
      </c>
      <c r="W10398">
        <v>2812</v>
      </c>
    </row>
    <row r="10400" spans="1:23" x14ac:dyDescent="0.35">
      <c r="A10400" s="1" t="s">
        <v>2416</v>
      </c>
    </row>
    <row r="10401" spans="1:24" x14ac:dyDescent="0.35">
      <c r="A10401" t="s">
        <v>219</v>
      </c>
      <c r="B10401" t="s">
        <v>301</v>
      </c>
      <c r="C10401" t="s">
        <v>2387</v>
      </c>
      <c r="D10401" t="s">
        <v>2388</v>
      </c>
      <c r="E10401" t="s">
        <v>2389</v>
      </c>
      <c r="F10401" t="s">
        <v>2390</v>
      </c>
      <c r="G10401" t="s">
        <v>2391</v>
      </c>
      <c r="H10401" t="s">
        <v>2392</v>
      </c>
      <c r="I10401" t="s">
        <v>277</v>
      </c>
      <c r="J10401" t="s">
        <v>2393</v>
      </c>
      <c r="K10401" t="s">
        <v>2394</v>
      </c>
      <c r="L10401" t="s">
        <v>2395</v>
      </c>
      <c r="M10401" t="s">
        <v>2396</v>
      </c>
      <c r="N10401" t="s">
        <v>2397</v>
      </c>
      <c r="O10401" t="s">
        <v>2398</v>
      </c>
      <c r="P10401" t="s">
        <v>2399</v>
      </c>
      <c r="Q10401" t="s">
        <v>2400</v>
      </c>
      <c r="R10401" t="s">
        <v>2401</v>
      </c>
      <c r="S10401" t="s">
        <v>318</v>
      </c>
      <c r="T10401" t="s">
        <v>2402</v>
      </c>
      <c r="U10401" t="s">
        <v>2403</v>
      </c>
      <c r="V10401" t="s">
        <v>282</v>
      </c>
      <c r="W10401" t="s">
        <v>226</v>
      </c>
    </row>
    <row r="10402" spans="1:24" x14ac:dyDescent="0.35">
      <c r="A10402" t="s">
        <v>227</v>
      </c>
      <c r="B10402" t="s">
        <v>1339</v>
      </c>
      <c r="C10402" s="2">
        <v>0.66879999999999995</v>
      </c>
      <c r="D10402" s="2">
        <v>0.25180000000000002</v>
      </c>
      <c r="G10402" s="2">
        <v>6.6100000000000006E-2</v>
      </c>
      <c r="I10402" s="2">
        <v>1.1999999999999999E-3</v>
      </c>
      <c r="M10402" s="2">
        <v>2.0999999999999999E-3</v>
      </c>
      <c r="P10402" s="2">
        <v>0.01</v>
      </c>
      <c r="R10402" s="2">
        <v>0.01</v>
      </c>
      <c r="U10402" s="2">
        <v>0.01</v>
      </c>
      <c r="W10402">
        <v>51</v>
      </c>
    </row>
    <row r="10403" spans="1:24" x14ac:dyDescent="0.35">
      <c r="A10403" t="s">
        <v>227</v>
      </c>
      <c r="B10403" t="s">
        <v>1340</v>
      </c>
      <c r="C10403" s="2">
        <v>0.41599999999999998</v>
      </c>
      <c r="D10403" s="2">
        <v>0.34989999999999999</v>
      </c>
      <c r="E10403" s="2">
        <v>8.6400000000000005E-2</v>
      </c>
      <c r="F10403" s="2">
        <v>7.4499999999999997E-2</v>
      </c>
      <c r="G10403" s="2">
        <v>4.4499999999999998E-2</v>
      </c>
      <c r="H10403" s="2">
        <v>7.0699999999999999E-2</v>
      </c>
      <c r="I10403" s="2">
        <v>1.2500000000000001E-2</v>
      </c>
      <c r="J10403" s="2">
        <v>3.3E-3</v>
      </c>
      <c r="K10403" s="2">
        <v>1.14E-2</v>
      </c>
      <c r="L10403" s="2">
        <v>7.1999999999999998E-3</v>
      </c>
      <c r="M10403" s="2">
        <v>1.4200000000000001E-2</v>
      </c>
      <c r="N10403" s="2">
        <v>1E-3</v>
      </c>
      <c r="O10403" s="2">
        <v>2.8E-3</v>
      </c>
      <c r="P10403" s="2">
        <v>6.0000000000000001E-3</v>
      </c>
      <c r="Q10403" s="2">
        <v>4.4999999999999997E-3</v>
      </c>
      <c r="R10403" s="2">
        <v>2.5000000000000001E-3</v>
      </c>
      <c r="S10403" s="2">
        <v>5.1999999999999998E-3</v>
      </c>
      <c r="T10403" s="2">
        <v>7.0000000000000001E-3</v>
      </c>
      <c r="U10403" s="2">
        <v>1.1999999999999999E-3</v>
      </c>
      <c r="V10403" s="2">
        <v>5.9999999999999995E-4</v>
      </c>
      <c r="W10403">
        <v>728</v>
      </c>
    </row>
    <row r="10404" spans="1:24" x14ac:dyDescent="0.35">
      <c r="A10404" t="s">
        <v>227</v>
      </c>
      <c r="B10404" t="s">
        <v>1341</v>
      </c>
      <c r="C10404" s="2">
        <v>0.40410000000000001</v>
      </c>
      <c r="D10404" s="2">
        <v>0.33500000000000002</v>
      </c>
      <c r="E10404" s="2">
        <v>9.0499999999999997E-2</v>
      </c>
      <c r="F10404" s="2">
        <v>8.2500000000000004E-2</v>
      </c>
      <c r="G10404" s="2">
        <v>0.08</v>
      </c>
      <c r="H10404" s="2">
        <v>5.7500000000000002E-2</v>
      </c>
      <c r="I10404" s="2">
        <v>1.6400000000000001E-2</v>
      </c>
      <c r="J10404" s="2">
        <v>1.0200000000000001E-2</v>
      </c>
      <c r="K10404" s="2">
        <v>1.1900000000000001E-2</v>
      </c>
      <c r="L10404" s="2">
        <v>7.4999999999999997E-3</v>
      </c>
      <c r="M10404" s="2">
        <v>6.6E-3</v>
      </c>
      <c r="N10404" s="2">
        <v>8.6999999999999994E-3</v>
      </c>
      <c r="O10404" s="2">
        <v>5.8999999999999999E-3</v>
      </c>
      <c r="P10404" s="2">
        <v>2.7000000000000001E-3</v>
      </c>
      <c r="Q10404" s="2">
        <v>2.7000000000000001E-3</v>
      </c>
      <c r="R10404" s="2">
        <v>2.5000000000000001E-3</v>
      </c>
      <c r="S10404" s="2">
        <v>1E-3</v>
      </c>
      <c r="T10404" s="2">
        <v>4.0000000000000002E-4</v>
      </c>
      <c r="U10404" s="2">
        <v>2.0999999999999999E-3</v>
      </c>
      <c r="V10404" s="2">
        <v>1.8E-3</v>
      </c>
      <c r="W10404">
        <v>1344</v>
      </c>
    </row>
    <row r="10405" spans="1:24" x14ac:dyDescent="0.35">
      <c r="A10405" t="s">
        <v>227</v>
      </c>
      <c r="B10405" t="s">
        <v>1342</v>
      </c>
      <c r="C10405" s="2">
        <v>0.46439999999999998</v>
      </c>
      <c r="D10405" s="2">
        <v>0.29430000000000001</v>
      </c>
      <c r="E10405" s="2">
        <v>0.1173</v>
      </c>
      <c r="F10405" s="2">
        <v>0.10290000000000001</v>
      </c>
      <c r="G10405" s="2">
        <v>5.7299999999999997E-2</v>
      </c>
      <c r="H10405" s="2">
        <v>4.2099999999999999E-2</v>
      </c>
      <c r="I10405" s="2">
        <v>1.29E-2</v>
      </c>
      <c r="J10405" s="2">
        <v>2.1899999999999999E-2</v>
      </c>
      <c r="K10405" s="2">
        <v>7.7000000000000002E-3</v>
      </c>
      <c r="L10405" s="2">
        <v>1.4500000000000001E-2</v>
      </c>
      <c r="M10405" s="2">
        <v>1.9E-3</v>
      </c>
      <c r="N10405" s="2">
        <v>7.3000000000000001E-3</v>
      </c>
      <c r="O10405" s="2">
        <v>7.6E-3</v>
      </c>
      <c r="P10405" s="2">
        <v>3.8999999999999998E-3</v>
      </c>
      <c r="S10405" s="2">
        <v>2.9999999999999997E-4</v>
      </c>
      <c r="U10405" s="2">
        <v>8.9999999999999998E-4</v>
      </c>
      <c r="V10405" s="2">
        <v>1.1999999999999999E-3</v>
      </c>
      <c r="W10405">
        <v>689</v>
      </c>
    </row>
    <row r="10406" spans="1:24" x14ac:dyDescent="0.35">
      <c r="A10406" t="s">
        <v>228</v>
      </c>
      <c r="B10406" t="s">
        <v>228</v>
      </c>
      <c r="C10406" s="2">
        <v>0.42699999999999999</v>
      </c>
      <c r="D10406" s="2">
        <v>0.3271</v>
      </c>
      <c r="E10406" s="2">
        <v>9.3799999999999994E-2</v>
      </c>
      <c r="F10406" s="2">
        <v>8.3500000000000005E-2</v>
      </c>
      <c r="G10406" s="2">
        <v>6.6000000000000003E-2</v>
      </c>
      <c r="H10406" s="2">
        <v>5.57E-2</v>
      </c>
      <c r="I10406" s="2">
        <v>1.43E-2</v>
      </c>
      <c r="J10406" s="2">
        <v>1.0999999999999999E-2</v>
      </c>
      <c r="K10406" s="2">
        <v>1.0500000000000001E-2</v>
      </c>
      <c r="L10406" s="2">
        <v>8.8999999999999999E-3</v>
      </c>
      <c r="M10406" s="2">
        <v>7.1999999999999998E-3</v>
      </c>
      <c r="N10406" s="2">
        <v>6.3E-3</v>
      </c>
      <c r="O10406" s="2">
        <v>5.4000000000000003E-3</v>
      </c>
      <c r="P10406" s="2">
        <v>3.8999999999999998E-3</v>
      </c>
      <c r="Q10406" s="2">
        <v>2.3999999999999998E-3</v>
      </c>
      <c r="R10406" s="2">
        <v>2.0999999999999999E-3</v>
      </c>
      <c r="S10406" s="2">
        <v>1.9E-3</v>
      </c>
      <c r="T10406" s="2">
        <v>1.9E-3</v>
      </c>
      <c r="U10406" s="2">
        <v>1.8E-3</v>
      </c>
      <c r="V10406" s="2">
        <v>1.2999999999999999E-3</v>
      </c>
      <c r="W10406">
        <v>2812</v>
      </c>
    </row>
    <row r="10408" spans="1:24" x14ac:dyDescent="0.35">
      <c r="A10408" s="1" t="s">
        <v>2417</v>
      </c>
    </row>
    <row r="10409" spans="1:24" x14ac:dyDescent="0.35">
      <c r="A10409" t="s">
        <v>219</v>
      </c>
      <c r="B10409" t="s">
        <v>301</v>
      </c>
      <c r="C10409" t="s">
        <v>325</v>
      </c>
      <c r="D10409" t="s">
        <v>2387</v>
      </c>
      <c r="E10409" t="s">
        <v>2388</v>
      </c>
      <c r="F10409" t="s">
        <v>2389</v>
      </c>
      <c r="G10409" t="s">
        <v>2390</v>
      </c>
      <c r="H10409" t="s">
        <v>2391</v>
      </c>
      <c r="I10409" t="s">
        <v>2392</v>
      </c>
      <c r="J10409" t="s">
        <v>277</v>
      </c>
      <c r="K10409" t="s">
        <v>2393</v>
      </c>
      <c r="L10409" t="s">
        <v>2394</v>
      </c>
      <c r="M10409" t="s">
        <v>2395</v>
      </c>
      <c r="N10409" t="s">
        <v>2396</v>
      </c>
      <c r="O10409" t="s">
        <v>2397</v>
      </c>
      <c r="P10409" t="s">
        <v>2398</v>
      </c>
      <c r="Q10409" t="s">
        <v>2399</v>
      </c>
      <c r="R10409" t="s">
        <v>2400</v>
      </c>
      <c r="S10409" t="s">
        <v>2401</v>
      </c>
      <c r="T10409" t="s">
        <v>318</v>
      </c>
      <c r="U10409" t="s">
        <v>2402</v>
      </c>
      <c r="V10409" t="s">
        <v>2403</v>
      </c>
      <c r="W10409" t="s">
        <v>282</v>
      </c>
      <c r="X10409" t="s">
        <v>226</v>
      </c>
    </row>
    <row r="10410" spans="1:24" x14ac:dyDescent="0.35">
      <c r="A10410" s="3" t="s">
        <v>227</v>
      </c>
      <c r="B10410" s="3" t="s">
        <v>1335</v>
      </c>
      <c r="C10410" s="3" t="s">
        <v>1339</v>
      </c>
      <c r="D10410" s="4">
        <v>0.56059999999999999</v>
      </c>
      <c r="E10410" s="4">
        <v>0.3034</v>
      </c>
      <c r="F10410" s="5"/>
      <c r="G10410" s="5"/>
      <c r="H10410" s="4">
        <v>0.10290000000000001</v>
      </c>
      <c r="I10410" s="5"/>
      <c r="J10410" s="5"/>
      <c r="K10410" s="5"/>
      <c r="L10410" s="5"/>
      <c r="M10410" s="5"/>
      <c r="N10410" s="4">
        <v>5.7999999999999996E-3</v>
      </c>
      <c r="O10410" s="5"/>
      <c r="P10410" s="5"/>
      <c r="Q10410" s="4">
        <v>2.7300000000000001E-2</v>
      </c>
      <c r="R10410" s="5"/>
      <c r="S10410" s="4">
        <v>2.7300000000000001E-2</v>
      </c>
      <c r="T10410" s="5"/>
      <c r="U10410" s="5"/>
      <c r="V10410" s="4">
        <v>2.7300000000000001E-2</v>
      </c>
      <c r="W10410" s="5"/>
      <c r="X10410" s="5" t="s">
        <v>427</v>
      </c>
    </row>
    <row r="10411" spans="1:24" x14ac:dyDescent="0.35">
      <c r="A10411" t="s">
        <v>227</v>
      </c>
      <c r="B10411" t="s">
        <v>1335</v>
      </c>
      <c r="C10411" t="s">
        <v>1340</v>
      </c>
      <c r="D10411" s="2">
        <v>0.47989999999999999</v>
      </c>
      <c r="E10411" s="2">
        <v>0.32850000000000001</v>
      </c>
      <c r="F10411" s="2">
        <v>6.8599999999999994E-2</v>
      </c>
      <c r="G10411" s="2">
        <v>6.9099999999999995E-2</v>
      </c>
      <c r="H10411" s="2">
        <v>4.7500000000000001E-2</v>
      </c>
      <c r="I10411" s="2">
        <v>5.2499999999999998E-2</v>
      </c>
      <c r="J10411" s="2">
        <v>1.44E-2</v>
      </c>
      <c r="L10411" s="2">
        <v>8.9999999999999993E-3</v>
      </c>
      <c r="P10411" s="2">
        <v>4.7000000000000002E-3</v>
      </c>
      <c r="Q10411" s="2">
        <v>2.3E-3</v>
      </c>
      <c r="R10411" s="2">
        <v>4.1999999999999997E-3</v>
      </c>
      <c r="S10411" s="2">
        <v>6.8999999999999999E-3</v>
      </c>
      <c r="V10411" s="2">
        <v>1.9E-3</v>
      </c>
      <c r="W10411" s="2">
        <v>1.1999999999999999E-3</v>
      </c>
      <c r="X10411">
        <v>251</v>
      </c>
    </row>
    <row r="10412" spans="1:24" x14ac:dyDescent="0.35">
      <c r="A10412" t="s">
        <v>227</v>
      </c>
      <c r="B10412" t="s">
        <v>1335</v>
      </c>
      <c r="C10412" t="s">
        <v>1341</v>
      </c>
      <c r="D10412" s="2">
        <v>0.43319999999999997</v>
      </c>
      <c r="E10412" s="2">
        <v>0.35210000000000002</v>
      </c>
      <c r="F10412" s="2">
        <v>8.2100000000000006E-2</v>
      </c>
      <c r="G10412" s="2">
        <v>6.7799999999999999E-2</v>
      </c>
      <c r="H10412" s="2">
        <v>7.1599999999999997E-2</v>
      </c>
      <c r="I10412" s="2">
        <v>5.04E-2</v>
      </c>
      <c r="J10412" s="2">
        <v>1.3899999999999999E-2</v>
      </c>
      <c r="K10412" s="2">
        <v>1.0699999999999999E-2</v>
      </c>
      <c r="L10412" s="2">
        <v>1.14E-2</v>
      </c>
      <c r="M10412" s="2">
        <v>3.2000000000000002E-3</v>
      </c>
      <c r="N10412" s="2">
        <v>1.34E-2</v>
      </c>
      <c r="O10412" s="2">
        <v>8.6E-3</v>
      </c>
      <c r="P10412" s="2">
        <v>1.2800000000000001E-2</v>
      </c>
      <c r="Q10412" s="2">
        <v>6.1000000000000004E-3</v>
      </c>
      <c r="R10412" s="2">
        <v>3.7000000000000002E-3</v>
      </c>
      <c r="S10412" s="2">
        <v>4.1000000000000003E-3</v>
      </c>
      <c r="T10412" s="2">
        <v>4.0000000000000002E-4</v>
      </c>
      <c r="V10412" s="2">
        <v>1.4E-3</v>
      </c>
      <c r="W10412" s="2">
        <v>3.7000000000000002E-3</v>
      </c>
      <c r="X10412">
        <v>419</v>
      </c>
    </row>
    <row r="10413" spans="1:24" x14ac:dyDescent="0.35">
      <c r="A10413" t="s">
        <v>227</v>
      </c>
      <c r="B10413" t="s">
        <v>1335</v>
      </c>
      <c r="C10413" t="s">
        <v>1342</v>
      </c>
      <c r="D10413" s="2">
        <v>0.57369999999999999</v>
      </c>
      <c r="E10413" s="2">
        <v>0.2651</v>
      </c>
      <c r="F10413" s="2">
        <v>8.3500000000000005E-2</v>
      </c>
      <c r="G10413" s="2">
        <v>8.8400000000000006E-2</v>
      </c>
      <c r="H10413" s="2">
        <v>2.06E-2</v>
      </c>
      <c r="I10413" s="2">
        <v>2.6499999999999999E-2</v>
      </c>
      <c r="J10413" s="2">
        <v>2.6800000000000001E-2</v>
      </c>
      <c r="K10413" s="2">
        <v>2.75E-2</v>
      </c>
      <c r="L10413" s="2">
        <v>2.3E-3</v>
      </c>
      <c r="M10413" s="2">
        <v>2.8E-3</v>
      </c>
      <c r="O10413" s="2">
        <v>1.4E-3</v>
      </c>
      <c r="P10413" s="2">
        <v>4.1999999999999997E-3</v>
      </c>
      <c r="X10413">
        <v>157</v>
      </c>
    </row>
    <row r="10414" spans="1:24" x14ac:dyDescent="0.35">
      <c r="A10414" s="3" t="s">
        <v>227</v>
      </c>
      <c r="B10414" s="3" t="s">
        <v>1336</v>
      </c>
      <c r="C10414" s="3" t="s">
        <v>1341</v>
      </c>
      <c r="D10414" s="4">
        <v>0.40660000000000002</v>
      </c>
      <c r="E10414" s="5"/>
      <c r="F10414" s="4">
        <v>0.59340000000000004</v>
      </c>
      <c r="G10414" s="4">
        <v>0.59340000000000004</v>
      </c>
      <c r="H10414" s="5"/>
      <c r="I10414" s="5"/>
      <c r="J10414" s="5"/>
      <c r="K10414" s="5"/>
      <c r="L10414" s="5"/>
      <c r="M10414" s="5"/>
      <c r="N10414" s="5"/>
      <c r="O10414" s="5"/>
      <c r="P10414" s="5"/>
      <c r="Q10414" s="5"/>
      <c r="R10414" s="5"/>
      <c r="S10414" s="5"/>
      <c r="T10414" s="5"/>
      <c r="U10414" s="5"/>
      <c r="V10414" s="5"/>
      <c r="W10414" s="5"/>
      <c r="X10414" s="5" t="s">
        <v>434</v>
      </c>
    </row>
    <row r="10415" spans="1:24" x14ac:dyDescent="0.35">
      <c r="A10415" t="s">
        <v>227</v>
      </c>
      <c r="B10415" t="s">
        <v>1337</v>
      </c>
      <c r="C10415" t="s">
        <v>1339</v>
      </c>
      <c r="D10415" s="2">
        <v>0.73129999999999995</v>
      </c>
      <c r="E10415" s="2">
        <v>0.222</v>
      </c>
      <c r="H10415" s="2">
        <v>4.48E-2</v>
      </c>
      <c r="J10415" s="2">
        <v>1.9E-3</v>
      </c>
      <c r="X10415">
        <v>31</v>
      </c>
    </row>
    <row r="10416" spans="1:24" x14ac:dyDescent="0.35">
      <c r="A10416" t="s">
        <v>227</v>
      </c>
      <c r="B10416" t="s">
        <v>1337</v>
      </c>
      <c r="C10416" t="s">
        <v>1340</v>
      </c>
      <c r="D10416" s="2">
        <v>0.38</v>
      </c>
      <c r="E10416" s="2">
        <v>0.36180000000000001</v>
      </c>
      <c r="F10416" s="2">
        <v>9.64E-2</v>
      </c>
      <c r="G10416" s="2">
        <v>7.7600000000000002E-2</v>
      </c>
      <c r="H10416" s="2">
        <v>4.2900000000000001E-2</v>
      </c>
      <c r="I10416" s="2">
        <v>8.1000000000000003E-2</v>
      </c>
      <c r="J10416" s="2">
        <v>1.14E-2</v>
      </c>
      <c r="K10416" s="2">
        <v>5.1000000000000004E-3</v>
      </c>
      <c r="L10416" s="2">
        <v>1.2699999999999999E-2</v>
      </c>
      <c r="M10416" s="2">
        <v>1.1299999999999999E-2</v>
      </c>
      <c r="N10416" s="2">
        <v>2.2200000000000001E-2</v>
      </c>
      <c r="O10416" s="2">
        <v>1.5E-3</v>
      </c>
      <c r="P10416" s="2">
        <v>1.8E-3</v>
      </c>
      <c r="Q10416" s="2">
        <v>8.0999999999999996E-3</v>
      </c>
      <c r="R10416" s="2">
        <v>4.7000000000000002E-3</v>
      </c>
      <c r="T10416" s="2">
        <v>8.2000000000000007E-3</v>
      </c>
      <c r="U10416" s="2">
        <v>1.0999999999999999E-2</v>
      </c>
      <c r="V10416" s="2">
        <v>8.9999999999999998E-4</v>
      </c>
      <c r="W10416" s="2">
        <v>2.0000000000000001E-4</v>
      </c>
      <c r="X10416">
        <v>477</v>
      </c>
    </row>
    <row r="10417" spans="1:24" x14ac:dyDescent="0.35">
      <c r="A10417" t="s">
        <v>227</v>
      </c>
      <c r="B10417" t="s">
        <v>1337</v>
      </c>
      <c r="C10417" t="s">
        <v>1341</v>
      </c>
      <c r="D10417" s="2">
        <v>0.3886</v>
      </c>
      <c r="E10417" s="2">
        <v>0.32750000000000001</v>
      </c>
      <c r="F10417" s="2">
        <v>9.2600000000000002E-2</v>
      </c>
      <c r="G10417" s="2">
        <v>8.7900000000000006E-2</v>
      </c>
      <c r="H10417" s="2">
        <v>8.4900000000000003E-2</v>
      </c>
      <c r="I10417" s="2">
        <v>6.1600000000000002E-2</v>
      </c>
      <c r="J10417" s="2">
        <v>1.78E-2</v>
      </c>
      <c r="K10417" s="2">
        <v>9.9000000000000008E-3</v>
      </c>
      <c r="L10417" s="2">
        <v>1.2200000000000001E-2</v>
      </c>
      <c r="M10417" s="2">
        <v>9.7999999999999997E-3</v>
      </c>
      <c r="N10417" s="2">
        <v>3.0999999999999999E-3</v>
      </c>
      <c r="O10417" s="2">
        <v>8.6999999999999994E-3</v>
      </c>
      <c r="P10417" s="2">
        <v>2.3E-3</v>
      </c>
      <c r="Q10417" s="2">
        <v>1E-3</v>
      </c>
      <c r="R10417" s="2">
        <v>2.2000000000000001E-3</v>
      </c>
      <c r="S10417" s="2">
        <v>1.6000000000000001E-3</v>
      </c>
      <c r="T10417" s="2">
        <v>1.4E-3</v>
      </c>
      <c r="U10417" s="2">
        <v>6.9999999999999999E-4</v>
      </c>
      <c r="V10417" s="2">
        <v>2.3999999999999998E-3</v>
      </c>
      <c r="W10417" s="2">
        <v>8.9999999999999998E-4</v>
      </c>
      <c r="X10417">
        <v>923</v>
      </c>
    </row>
    <row r="10418" spans="1:24" x14ac:dyDescent="0.35">
      <c r="A10418" t="s">
        <v>227</v>
      </c>
      <c r="B10418" t="s">
        <v>1337</v>
      </c>
      <c r="C10418" t="s">
        <v>1342</v>
      </c>
      <c r="D10418" s="2">
        <v>0.4224</v>
      </c>
      <c r="E10418" s="2">
        <v>0.30549999999999999</v>
      </c>
      <c r="F10418" s="2">
        <v>0.1303</v>
      </c>
      <c r="G10418" s="2">
        <v>0.1085</v>
      </c>
      <c r="H10418" s="2">
        <v>7.1400000000000005E-2</v>
      </c>
      <c r="I10418" s="2">
        <v>4.8099999999999997E-2</v>
      </c>
      <c r="J10418" s="2">
        <v>7.4999999999999997E-3</v>
      </c>
      <c r="K10418" s="2">
        <v>1.9800000000000002E-2</v>
      </c>
      <c r="L10418" s="2">
        <v>9.7000000000000003E-3</v>
      </c>
      <c r="M10418" s="2">
        <v>1.9E-2</v>
      </c>
      <c r="N10418" s="2">
        <v>2.5999999999999999E-3</v>
      </c>
      <c r="O10418" s="2">
        <v>9.4999999999999998E-3</v>
      </c>
      <c r="P10418" s="2">
        <v>8.8999999999999999E-3</v>
      </c>
      <c r="Q10418" s="2">
        <v>5.4000000000000003E-3</v>
      </c>
      <c r="T10418" s="2">
        <v>5.0000000000000001E-4</v>
      </c>
      <c r="V10418" s="2">
        <v>1.2999999999999999E-3</v>
      </c>
      <c r="W10418" s="2">
        <v>1.6000000000000001E-3</v>
      </c>
      <c r="X10418">
        <v>532</v>
      </c>
    </row>
    <row r="10419" spans="1:24" x14ac:dyDescent="0.35">
      <c r="A10419" t="s">
        <v>228</v>
      </c>
      <c r="B10419" t="s">
        <v>228</v>
      </c>
      <c r="C10419" t="s">
        <v>228</v>
      </c>
      <c r="D10419" s="2">
        <v>0.42699999999999999</v>
      </c>
      <c r="E10419" s="2">
        <v>0.3271</v>
      </c>
      <c r="F10419" s="2">
        <v>9.3799999999999994E-2</v>
      </c>
      <c r="G10419" s="2">
        <v>8.3500000000000005E-2</v>
      </c>
      <c r="H10419" s="2">
        <v>6.6000000000000003E-2</v>
      </c>
      <c r="I10419" s="2">
        <v>5.57E-2</v>
      </c>
      <c r="J10419" s="2">
        <v>1.43E-2</v>
      </c>
      <c r="K10419" s="2">
        <v>1.0999999999999999E-2</v>
      </c>
      <c r="L10419" s="2">
        <v>1.0500000000000001E-2</v>
      </c>
      <c r="M10419" s="2">
        <v>8.8999999999999999E-3</v>
      </c>
      <c r="N10419" s="2">
        <v>7.1999999999999998E-3</v>
      </c>
      <c r="O10419" s="2">
        <v>6.3E-3</v>
      </c>
      <c r="P10419" s="2">
        <v>5.4000000000000003E-3</v>
      </c>
      <c r="Q10419" s="2">
        <v>3.8999999999999998E-3</v>
      </c>
      <c r="R10419" s="2">
        <v>2.3999999999999998E-3</v>
      </c>
      <c r="S10419" s="2">
        <v>2.0999999999999999E-3</v>
      </c>
      <c r="T10419" s="2">
        <v>1.9E-3</v>
      </c>
      <c r="U10419" s="2">
        <v>1.9E-3</v>
      </c>
      <c r="V10419" s="2">
        <v>1.8E-3</v>
      </c>
      <c r="W10419" s="2">
        <v>1.2999999999999999E-3</v>
      </c>
      <c r="X10419">
        <v>2812</v>
      </c>
    </row>
    <row r="10421" spans="1:24" x14ac:dyDescent="0.35">
      <c r="A10421" s="1" t="s">
        <v>2418</v>
      </c>
    </row>
    <row r="10422" spans="1:24" x14ac:dyDescent="0.35">
      <c r="A10422" t="s">
        <v>219</v>
      </c>
      <c r="B10422" t="s">
        <v>2419</v>
      </c>
      <c r="C10422" t="s">
        <v>2420</v>
      </c>
      <c r="D10422" t="s">
        <v>2421</v>
      </c>
      <c r="E10422" t="s">
        <v>2422</v>
      </c>
      <c r="F10422" t="s">
        <v>2423</v>
      </c>
      <c r="G10422" t="s">
        <v>282</v>
      </c>
      <c r="H10422" t="s">
        <v>226</v>
      </c>
    </row>
    <row r="10423" spans="1:24" x14ac:dyDescent="0.35">
      <c r="A10423" t="s">
        <v>227</v>
      </c>
      <c r="B10423" s="2">
        <v>0.53090000000000004</v>
      </c>
      <c r="C10423" s="2">
        <v>0.22140000000000001</v>
      </c>
      <c r="D10423" s="2">
        <v>0.15010000000000001</v>
      </c>
      <c r="E10423" s="2">
        <v>5.1700000000000003E-2</v>
      </c>
      <c r="F10423" s="2">
        <v>2.8199999999999999E-2</v>
      </c>
      <c r="G10423" s="2">
        <v>1.7500000000000002E-2</v>
      </c>
      <c r="H10423">
        <v>982</v>
      </c>
    </row>
    <row r="10424" spans="1:24" x14ac:dyDescent="0.35">
      <c r="A10424" t="s">
        <v>228</v>
      </c>
      <c r="B10424" s="2">
        <v>0.53090000000000004</v>
      </c>
      <c r="C10424" s="2">
        <v>0.22140000000000001</v>
      </c>
      <c r="D10424" s="2">
        <v>0.15010000000000001</v>
      </c>
      <c r="E10424" s="2">
        <v>5.1700000000000003E-2</v>
      </c>
      <c r="F10424" s="2">
        <v>2.8199999999999999E-2</v>
      </c>
      <c r="G10424" s="2">
        <v>1.7500000000000002E-2</v>
      </c>
      <c r="H10424">
        <v>982</v>
      </c>
    </row>
    <row r="10426" spans="1:24" x14ac:dyDescent="0.35">
      <c r="A10426" s="1" t="s">
        <v>2424</v>
      </c>
    </row>
    <row r="10427" spans="1:24" x14ac:dyDescent="0.35">
      <c r="A10427" t="s">
        <v>219</v>
      </c>
      <c r="B10427" t="s">
        <v>301</v>
      </c>
      <c r="C10427" t="s">
        <v>2419</v>
      </c>
      <c r="D10427" t="s">
        <v>2420</v>
      </c>
      <c r="E10427" t="s">
        <v>2421</v>
      </c>
      <c r="F10427" t="s">
        <v>2422</v>
      </c>
      <c r="G10427" t="s">
        <v>2423</v>
      </c>
      <c r="H10427" t="s">
        <v>282</v>
      </c>
      <c r="I10427" t="s">
        <v>226</v>
      </c>
    </row>
    <row r="10428" spans="1:24" x14ac:dyDescent="0.35">
      <c r="A10428" t="s">
        <v>227</v>
      </c>
      <c r="B10428" t="s">
        <v>238</v>
      </c>
      <c r="C10428" s="2">
        <v>0.56920000000000004</v>
      </c>
      <c r="D10428" s="2">
        <v>0.19550000000000001</v>
      </c>
      <c r="E10428" s="2">
        <v>0.1507</v>
      </c>
      <c r="F10428" s="2">
        <v>5.9299999999999999E-2</v>
      </c>
      <c r="G10428" s="2">
        <v>1.5E-3</v>
      </c>
      <c r="H10428" s="2">
        <v>2.3699999999999999E-2</v>
      </c>
      <c r="I10428">
        <v>458</v>
      </c>
    </row>
    <row r="10429" spans="1:24" x14ac:dyDescent="0.35">
      <c r="A10429" t="s">
        <v>227</v>
      </c>
      <c r="B10429" t="s">
        <v>237</v>
      </c>
      <c r="C10429" s="2">
        <v>0.49819999999999998</v>
      </c>
      <c r="D10429" s="2">
        <v>0.24360000000000001</v>
      </c>
      <c r="E10429" s="2">
        <v>0.14960000000000001</v>
      </c>
      <c r="F10429" s="2">
        <v>4.53E-2</v>
      </c>
      <c r="G10429" s="2">
        <v>5.11E-2</v>
      </c>
      <c r="H10429" s="2">
        <v>1.2200000000000001E-2</v>
      </c>
      <c r="I10429">
        <v>524</v>
      </c>
    </row>
    <row r="10430" spans="1:24" x14ac:dyDescent="0.35">
      <c r="A10430" t="s">
        <v>228</v>
      </c>
      <c r="B10430" t="s">
        <v>228</v>
      </c>
      <c r="C10430" s="2">
        <v>0.53090000000000004</v>
      </c>
      <c r="D10430" s="2">
        <v>0.22140000000000001</v>
      </c>
      <c r="E10430" s="2">
        <v>0.15010000000000001</v>
      </c>
      <c r="F10430" s="2">
        <v>5.1700000000000003E-2</v>
      </c>
      <c r="G10430" s="2">
        <v>2.8199999999999999E-2</v>
      </c>
      <c r="H10430" s="2">
        <v>1.7500000000000002E-2</v>
      </c>
      <c r="I10430">
        <v>982</v>
      </c>
    </row>
    <row r="10432" spans="1:24" x14ac:dyDescent="0.35">
      <c r="A10432" s="1" t="s">
        <v>2425</v>
      </c>
    </row>
    <row r="10433" spans="1:9" x14ac:dyDescent="0.35">
      <c r="A10433" t="s">
        <v>219</v>
      </c>
      <c r="B10433" t="s">
        <v>301</v>
      </c>
      <c r="C10433" t="s">
        <v>2419</v>
      </c>
      <c r="D10433" t="s">
        <v>2420</v>
      </c>
      <c r="E10433" t="s">
        <v>2421</v>
      </c>
      <c r="F10433" t="s">
        <v>2422</v>
      </c>
      <c r="G10433" t="s">
        <v>2423</v>
      </c>
      <c r="H10433" t="s">
        <v>282</v>
      </c>
      <c r="I10433" t="s">
        <v>226</v>
      </c>
    </row>
    <row r="10434" spans="1:9" x14ac:dyDescent="0.35">
      <c r="A10434" t="s">
        <v>227</v>
      </c>
      <c r="B10434" t="s">
        <v>235</v>
      </c>
      <c r="C10434" s="2">
        <v>0.56369999999999998</v>
      </c>
      <c r="D10434" s="2">
        <v>0.26019999999999999</v>
      </c>
      <c r="E10434" s="2">
        <v>9.0499999999999997E-2</v>
      </c>
      <c r="F10434" s="2">
        <v>5.11E-2</v>
      </c>
      <c r="G10434" s="2">
        <v>1.8499999999999999E-2</v>
      </c>
      <c r="H10434" s="2">
        <v>1.61E-2</v>
      </c>
      <c r="I10434">
        <v>396</v>
      </c>
    </row>
    <row r="10435" spans="1:9" x14ac:dyDescent="0.35">
      <c r="A10435" t="s">
        <v>227</v>
      </c>
      <c r="B10435" t="s">
        <v>234</v>
      </c>
      <c r="C10435" s="2">
        <v>0.51619999999999999</v>
      </c>
      <c r="D10435" s="2">
        <v>0.20399999999999999</v>
      </c>
      <c r="E10435" s="2">
        <v>0.17699999999999999</v>
      </c>
      <c r="F10435" s="2">
        <v>5.1999999999999998E-2</v>
      </c>
      <c r="G10435" s="2">
        <v>3.2599999999999997E-2</v>
      </c>
      <c r="H10435" s="2">
        <v>1.8200000000000001E-2</v>
      </c>
      <c r="I10435">
        <v>586</v>
      </c>
    </row>
    <row r="10436" spans="1:9" x14ac:dyDescent="0.35">
      <c r="A10436" t="s">
        <v>228</v>
      </c>
      <c r="B10436" t="s">
        <v>228</v>
      </c>
      <c r="C10436" s="2">
        <v>0.53090000000000004</v>
      </c>
      <c r="D10436" s="2">
        <v>0.22140000000000001</v>
      </c>
      <c r="E10436" s="2">
        <v>0.15010000000000001</v>
      </c>
      <c r="F10436" s="2">
        <v>5.1700000000000003E-2</v>
      </c>
      <c r="G10436" s="2">
        <v>2.8199999999999999E-2</v>
      </c>
      <c r="H10436" s="2">
        <v>1.7500000000000002E-2</v>
      </c>
      <c r="I10436">
        <v>982</v>
      </c>
    </row>
    <row r="10438" spans="1:9" x14ac:dyDescent="0.35">
      <c r="A10438" s="1" t="s">
        <v>2426</v>
      </c>
    </row>
    <row r="10439" spans="1:9" x14ac:dyDescent="0.35">
      <c r="A10439" t="s">
        <v>219</v>
      </c>
      <c r="B10439" t="s">
        <v>301</v>
      </c>
      <c r="C10439" t="s">
        <v>2419</v>
      </c>
      <c r="D10439" t="s">
        <v>2420</v>
      </c>
      <c r="E10439" t="s">
        <v>2421</v>
      </c>
      <c r="F10439" t="s">
        <v>2422</v>
      </c>
      <c r="G10439" t="s">
        <v>2423</v>
      </c>
      <c r="H10439" t="s">
        <v>282</v>
      </c>
      <c r="I10439" t="s">
        <v>226</v>
      </c>
    </row>
    <row r="10440" spans="1:9" x14ac:dyDescent="0.35">
      <c r="A10440" t="s">
        <v>227</v>
      </c>
      <c r="B10440" t="s">
        <v>240</v>
      </c>
      <c r="C10440" s="2">
        <v>0.53600000000000003</v>
      </c>
      <c r="D10440" s="2">
        <v>0.2051</v>
      </c>
      <c r="E10440" s="2">
        <v>0.14599999999999999</v>
      </c>
      <c r="F10440" s="2">
        <v>6.4199999999999993E-2</v>
      </c>
      <c r="G10440" s="2">
        <v>2.58E-2</v>
      </c>
      <c r="H10440" s="2">
        <v>2.2800000000000001E-2</v>
      </c>
      <c r="I10440">
        <v>618</v>
      </c>
    </row>
    <row r="10441" spans="1:9" x14ac:dyDescent="0.35">
      <c r="A10441" t="s">
        <v>227</v>
      </c>
      <c r="B10441" t="s">
        <v>241</v>
      </c>
      <c r="C10441" s="2">
        <v>0.5</v>
      </c>
      <c r="D10441" s="2">
        <v>0.2271</v>
      </c>
      <c r="E10441" s="2">
        <v>0.2051</v>
      </c>
      <c r="F10441" s="2">
        <v>2.9499999999999998E-2</v>
      </c>
      <c r="G10441" s="2">
        <v>2.9600000000000001E-2</v>
      </c>
      <c r="H10441" s="2">
        <v>8.8000000000000005E-3</v>
      </c>
      <c r="I10441">
        <v>291</v>
      </c>
    </row>
    <row r="10442" spans="1:9" x14ac:dyDescent="0.35">
      <c r="A10442" t="s">
        <v>227</v>
      </c>
      <c r="B10442" t="s">
        <v>242</v>
      </c>
      <c r="C10442" s="2">
        <v>0.57579999999999998</v>
      </c>
      <c r="D10442" s="2">
        <v>0.33489999999999998</v>
      </c>
      <c r="E10442" s="2">
        <v>3.15E-2</v>
      </c>
      <c r="F10442" s="2">
        <v>1.4200000000000001E-2</v>
      </c>
      <c r="G10442" s="2">
        <v>4.3499999999999997E-2</v>
      </c>
      <c r="I10442">
        <v>73</v>
      </c>
    </row>
    <row r="10443" spans="1:9" x14ac:dyDescent="0.35">
      <c r="A10443" t="s">
        <v>228</v>
      </c>
      <c r="B10443" t="s">
        <v>228</v>
      </c>
      <c r="C10443" s="2">
        <v>0.53090000000000004</v>
      </c>
      <c r="D10443" s="2">
        <v>0.22140000000000001</v>
      </c>
      <c r="E10443" s="2">
        <v>0.15010000000000001</v>
      </c>
      <c r="F10443" s="2">
        <v>5.1700000000000003E-2</v>
      </c>
      <c r="G10443" s="2">
        <v>2.8199999999999999E-2</v>
      </c>
      <c r="H10443" s="2">
        <v>1.7500000000000002E-2</v>
      </c>
      <c r="I10443">
        <v>982</v>
      </c>
    </row>
    <row r="10445" spans="1:9" x14ac:dyDescent="0.35">
      <c r="A10445" s="1" t="s">
        <v>2427</v>
      </c>
    </row>
    <row r="10446" spans="1:9" x14ac:dyDescent="0.35">
      <c r="A10446" t="s">
        <v>219</v>
      </c>
      <c r="B10446" t="s">
        <v>301</v>
      </c>
      <c r="C10446" t="s">
        <v>2419</v>
      </c>
      <c r="D10446" t="s">
        <v>2420</v>
      </c>
      <c r="E10446" t="s">
        <v>2421</v>
      </c>
      <c r="F10446" t="s">
        <v>2422</v>
      </c>
      <c r="G10446" t="s">
        <v>2423</v>
      </c>
      <c r="H10446" t="s">
        <v>282</v>
      </c>
      <c r="I10446" t="s">
        <v>226</v>
      </c>
    </row>
    <row r="10447" spans="1:9" x14ac:dyDescent="0.35">
      <c r="A10447" t="s">
        <v>227</v>
      </c>
      <c r="B10447" t="s">
        <v>334</v>
      </c>
      <c r="C10447" s="2">
        <v>0.55059999999999998</v>
      </c>
      <c r="D10447" s="2">
        <v>0.2215</v>
      </c>
      <c r="E10447" s="2">
        <v>0.1105</v>
      </c>
      <c r="F10447" s="2">
        <v>6.3600000000000004E-2</v>
      </c>
      <c r="G10447" s="2">
        <v>2.5399999999999999E-2</v>
      </c>
      <c r="H10447" s="2">
        <v>2.8299999999999999E-2</v>
      </c>
      <c r="I10447">
        <v>289</v>
      </c>
    </row>
    <row r="10448" spans="1:9" x14ac:dyDescent="0.35">
      <c r="A10448" t="s">
        <v>227</v>
      </c>
      <c r="B10448" t="s">
        <v>335</v>
      </c>
      <c r="C10448" s="2">
        <v>0.50349999999999995</v>
      </c>
      <c r="D10448" s="2">
        <v>0.20699999999999999</v>
      </c>
      <c r="E10448" s="2">
        <v>0.15870000000000001</v>
      </c>
      <c r="F10448" s="2">
        <v>6.7900000000000002E-2</v>
      </c>
      <c r="G10448" s="2">
        <v>5.3100000000000001E-2</v>
      </c>
      <c r="H10448" s="2">
        <v>9.7999999999999997E-3</v>
      </c>
      <c r="I10448">
        <v>136</v>
      </c>
    </row>
    <row r="10449" spans="1:9" x14ac:dyDescent="0.35">
      <c r="A10449" t="s">
        <v>227</v>
      </c>
      <c r="B10449" t="s">
        <v>336</v>
      </c>
      <c r="C10449" s="2">
        <v>0.5071</v>
      </c>
      <c r="D10449" s="2">
        <v>0.27889999999999998</v>
      </c>
      <c r="E10449" s="2">
        <v>0.16850000000000001</v>
      </c>
      <c r="F10449" s="2">
        <v>2.3800000000000002E-2</v>
      </c>
      <c r="G10449" s="2">
        <v>1.2500000000000001E-2</v>
      </c>
      <c r="H10449" s="2">
        <v>9.2999999999999992E-3</v>
      </c>
      <c r="I10449">
        <v>266</v>
      </c>
    </row>
    <row r="10450" spans="1:9" x14ac:dyDescent="0.35">
      <c r="A10450" t="s">
        <v>227</v>
      </c>
      <c r="B10450" t="s">
        <v>337</v>
      </c>
      <c r="C10450" s="2">
        <v>0.51570000000000005</v>
      </c>
      <c r="D10450" s="2">
        <v>0.17749999999999999</v>
      </c>
      <c r="E10450" s="2">
        <v>0.18629999999999999</v>
      </c>
      <c r="F10450" s="2">
        <v>6.4699999999999994E-2</v>
      </c>
      <c r="G10450" s="2">
        <v>3.27E-2</v>
      </c>
      <c r="H10450" s="2">
        <v>2.3E-2</v>
      </c>
      <c r="I10450">
        <v>190</v>
      </c>
    </row>
    <row r="10451" spans="1:9" x14ac:dyDescent="0.35">
      <c r="A10451" t="s">
        <v>228</v>
      </c>
      <c r="B10451" t="s">
        <v>228</v>
      </c>
      <c r="C10451" s="2">
        <v>0.53090000000000004</v>
      </c>
      <c r="D10451" s="2">
        <v>0.22140000000000001</v>
      </c>
      <c r="E10451" s="2">
        <v>0.15010000000000001</v>
      </c>
      <c r="F10451" s="2">
        <v>5.1700000000000003E-2</v>
      </c>
      <c r="G10451" s="2">
        <v>2.8199999999999999E-2</v>
      </c>
      <c r="H10451" s="2">
        <v>1.7500000000000002E-2</v>
      </c>
      <c r="I10451">
        <v>881</v>
      </c>
    </row>
    <row r="10453" spans="1:9" x14ac:dyDescent="0.35">
      <c r="A10453" s="1" t="s">
        <v>2428</v>
      </c>
    </row>
    <row r="10454" spans="1:9" x14ac:dyDescent="0.35">
      <c r="A10454" t="s">
        <v>219</v>
      </c>
      <c r="B10454" t="s">
        <v>301</v>
      </c>
      <c r="C10454" t="s">
        <v>2419</v>
      </c>
      <c r="D10454" t="s">
        <v>2420</v>
      </c>
      <c r="E10454" t="s">
        <v>2421</v>
      </c>
      <c r="F10454" t="s">
        <v>2422</v>
      </c>
      <c r="G10454" t="s">
        <v>2423</v>
      </c>
      <c r="H10454" t="s">
        <v>282</v>
      </c>
      <c r="I10454" t="s">
        <v>226</v>
      </c>
    </row>
    <row r="10455" spans="1:9" x14ac:dyDescent="0.35">
      <c r="A10455" t="s">
        <v>227</v>
      </c>
      <c r="B10455" t="s">
        <v>263</v>
      </c>
      <c r="C10455" s="2">
        <v>0.50680000000000003</v>
      </c>
      <c r="D10455" s="2">
        <v>0.1676</v>
      </c>
      <c r="E10455" s="2">
        <v>0.2001</v>
      </c>
      <c r="F10455" s="2">
        <v>6.7400000000000002E-2</v>
      </c>
      <c r="G10455" s="2">
        <v>3.61E-2</v>
      </c>
      <c r="H10455" s="2">
        <v>2.2100000000000002E-2</v>
      </c>
      <c r="I10455">
        <v>179</v>
      </c>
    </row>
    <row r="10456" spans="1:9" x14ac:dyDescent="0.35">
      <c r="A10456" t="s">
        <v>227</v>
      </c>
      <c r="B10456" t="s">
        <v>262</v>
      </c>
      <c r="C10456" s="2">
        <v>0.55640000000000001</v>
      </c>
      <c r="D10456" s="2">
        <v>0.2276</v>
      </c>
      <c r="E10456" s="2">
        <v>0.14810000000000001</v>
      </c>
      <c r="F10456" s="2">
        <v>3.4799999999999998E-2</v>
      </c>
      <c r="G10456" s="2">
        <v>2.3099999999999999E-2</v>
      </c>
      <c r="H10456" s="2">
        <v>0.01</v>
      </c>
      <c r="I10456">
        <v>440</v>
      </c>
    </row>
    <row r="10457" spans="1:9" x14ac:dyDescent="0.35">
      <c r="A10457" t="s">
        <v>227</v>
      </c>
      <c r="B10457" t="s">
        <v>261</v>
      </c>
      <c r="C10457" s="2">
        <v>0.51459999999999995</v>
      </c>
      <c r="D10457" s="2">
        <v>0.2424</v>
      </c>
      <c r="E10457" s="2">
        <v>0.12939999999999999</v>
      </c>
      <c r="F10457" s="2">
        <v>6.1199999999999997E-2</v>
      </c>
      <c r="G10457" s="2">
        <v>2.9600000000000001E-2</v>
      </c>
      <c r="H10457" s="2">
        <v>2.2800000000000001E-2</v>
      </c>
      <c r="I10457">
        <v>362</v>
      </c>
    </row>
    <row r="10458" spans="1:9" x14ac:dyDescent="0.35">
      <c r="A10458" s="3" t="s">
        <v>227</v>
      </c>
      <c r="B10458" s="3" t="s">
        <v>232</v>
      </c>
      <c r="C10458" s="4">
        <v>1</v>
      </c>
      <c r="D10458" s="5"/>
      <c r="E10458" s="5"/>
      <c r="F10458" s="5"/>
      <c r="G10458" s="5"/>
      <c r="H10458" s="5"/>
      <c r="I10458" s="5" t="s">
        <v>323</v>
      </c>
    </row>
    <row r="10459" spans="1:9" x14ac:dyDescent="0.35">
      <c r="A10459" t="s">
        <v>228</v>
      </c>
      <c r="B10459" t="s">
        <v>228</v>
      </c>
      <c r="C10459" s="2">
        <v>0.53090000000000004</v>
      </c>
      <c r="D10459" s="2">
        <v>0.22140000000000001</v>
      </c>
      <c r="E10459" s="2">
        <v>0.15010000000000001</v>
      </c>
      <c r="F10459" s="2">
        <v>5.1700000000000003E-2</v>
      </c>
      <c r="G10459" s="2">
        <v>2.8199999999999999E-2</v>
      </c>
      <c r="H10459" s="2">
        <v>1.7500000000000002E-2</v>
      </c>
      <c r="I10459">
        <v>982</v>
      </c>
    </row>
    <row r="10461" spans="1:9" x14ac:dyDescent="0.35">
      <c r="A10461" s="1" t="s">
        <v>2429</v>
      </c>
    </row>
    <row r="10462" spans="1:9" x14ac:dyDescent="0.35">
      <c r="A10462" t="s">
        <v>219</v>
      </c>
      <c r="B10462" t="s">
        <v>301</v>
      </c>
      <c r="C10462" t="s">
        <v>2419</v>
      </c>
      <c r="D10462" t="s">
        <v>2420</v>
      </c>
      <c r="E10462" t="s">
        <v>2421</v>
      </c>
      <c r="F10462" t="s">
        <v>2422</v>
      </c>
      <c r="G10462" t="s">
        <v>2423</v>
      </c>
      <c r="H10462" t="s">
        <v>282</v>
      </c>
      <c r="I10462" t="s">
        <v>226</v>
      </c>
    </row>
    <row r="10463" spans="1:9" x14ac:dyDescent="0.35">
      <c r="A10463" t="s">
        <v>227</v>
      </c>
      <c r="B10463" t="s">
        <v>248</v>
      </c>
      <c r="C10463" s="2">
        <v>0.54359999999999997</v>
      </c>
      <c r="D10463" s="2">
        <v>0.19520000000000001</v>
      </c>
      <c r="E10463" s="2">
        <v>0.2046</v>
      </c>
      <c r="F10463" s="2">
        <v>4.2599999999999999E-2</v>
      </c>
      <c r="G10463" s="2">
        <v>8.0000000000000002E-3</v>
      </c>
      <c r="H10463" s="2">
        <v>5.8999999999999999E-3</v>
      </c>
      <c r="I10463">
        <v>356</v>
      </c>
    </row>
    <row r="10464" spans="1:9" x14ac:dyDescent="0.35">
      <c r="A10464" t="s">
        <v>227</v>
      </c>
      <c r="B10464" t="s">
        <v>249</v>
      </c>
      <c r="C10464" s="2">
        <v>0.61970000000000003</v>
      </c>
      <c r="D10464" s="2">
        <v>0.19939999999999999</v>
      </c>
      <c r="E10464" s="2">
        <v>7.2999999999999995E-2</v>
      </c>
      <c r="F10464" s="2">
        <v>4.7600000000000003E-2</v>
      </c>
      <c r="G10464" s="2">
        <v>1.4200000000000001E-2</v>
      </c>
      <c r="H10464" s="2">
        <v>4.6100000000000002E-2</v>
      </c>
      <c r="I10464">
        <v>225</v>
      </c>
    </row>
    <row r="10465" spans="1:9" x14ac:dyDescent="0.35">
      <c r="A10465" t="s">
        <v>227</v>
      </c>
      <c r="B10465" t="s">
        <v>247</v>
      </c>
      <c r="C10465" s="2">
        <v>0.47249999999999998</v>
      </c>
      <c r="D10465" s="2">
        <v>0.25269999999999998</v>
      </c>
      <c r="E10465" s="2">
        <v>0.15329999999999999</v>
      </c>
      <c r="F10465" s="2">
        <v>6.0699999999999997E-2</v>
      </c>
      <c r="G10465" s="2">
        <v>5.0700000000000002E-2</v>
      </c>
      <c r="H10465" s="2">
        <v>1.0200000000000001E-2</v>
      </c>
      <c r="I10465">
        <v>401</v>
      </c>
    </row>
    <row r="10466" spans="1:9" x14ac:dyDescent="0.35">
      <c r="A10466" t="s">
        <v>228</v>
      </c>
      <c r="B10466" t="s">
        <v>228</v>
      </c>
      <c r="C10466" s="2">
        <v>0.53090000000000004</v>
      </c>
      <c r="D10466" s="2">
        <v>0.22140000000000001</v>
      </c>
      <c r="E10466" s="2">
        <v>0.15010000000000001</v>
      </c>
      <c r="F10466" s="2">
        <v>5.1700000000000003E-2</v>
      </c>
      <c r="G10466" s="2">
        <v>2.8199999999999999E-2</v>
      </c>
      <c r="H10466" s="2">
        <v>1.7500000000000002E-2</v>
      </c>
      <c r="I10466">
        <v>982</v>
      </c>
    </row>
    <row r="10468" spans="1:9" x14ac:dyDescent="0.35">
      <c r="A10468" s="1" t="s">
        <v>2430</v>
      </c>
    </row>
    <row r="10469" spans="1:9" x14ac:dyDescent="0.35">
      <c r="A10469" t="s">
        <v>219</v>
      </c>
      <c r="B10469" t="s">
        <v>301</v>
      </c>
      <c r="C10469" t="s">
        <v>2419</v>
      </c>
      <c r="D10469" t="s">
        <v>2420</v>
      </c>
      <c r="E10469" t="s">
        <v>2421</v>
      </c>
      <c r="F10469" t="s">
        <v>2422</v>
      </c>
      <c r="G10469" t="s">
        <v>2423</v>
      </c>
      <c r="H10469" t="s">
        <v>282</v>
      </c>
      <c r="I10469" t="s">
        <v>226</v>
      </c>
    </row>
    <row r="10470" spans="1:9" x14ac:dyDescent="0.35">
      <c r="A10470" t="s">
        <v>227</v>
      </c>
      <c r="B10470" t="s">
        <v>245</v>
      </c>
      <c r="C10470" s="2">
        <v>0.51770000000000005</v>
      </c>
      <c r="D10470" s="2">
        <v>0.2319</v>
      </c>
      <c r="E10470" s="2">
        <v>0.127</v>
      </c>
      <c r="F10470" s="2">
        <v>5.8400000000000001E-2</v>
      </c>
      <c r="G10470" s="2">
        <v>6.2799999999999995E-2</v>
      </c>
      <c r="H10470" s="2">
        <v>2.2000000000000001E-3</v>
      </c>
      <c r="I10470">
        <v>267</v>
      </c>
    </row>
    <row r="10471" spans="1:9" x14ac:dyDescent="0.35">
      <c r="A10471" t="s">
        <v>227</v>
      </c>
      <c r="B10471" t="s">
        <v>244</v>
      </c>
      <c r="C10471" s="2">
        <v>0.5363</v>
      </c>
      <c r="D10471" s="2">
        <v>0.2172</v>
      </c>
      <c r="E10471" s="2">
        <v>0.1595</v>
      </c>
      <c r="F10471" s="2">
        <v>4.9000000000000002E-2</v>
      </c>
      <c r="G10471" s="2">
        <v>1.4200000000000001E-2</v>
      </c>
      <c r="H10471" s="2">
        <v>2.3800000000000002E-2</v>
      </c>
      <c r="I10471">
        <v>715</v>
      </c>
    </row>
    <row r="10472" spans="1:9" x14ac:dyDescent="0.35">
      <c r="A10472" t="s">
        <v>228</v>
      </c>
      <c r="B10472" t="s">
        <v>228</v>
      </c>
      <c r="C10472" s="2">
        <v>0.53090000000000004</v>
      </c>
      <c r="D10472" s="2">
        <v>0.22140000000000001</v>
      </c>
      <c r="E10472" s="2">
        <v>0.15010000000000001</v>
      </c>
      <c r="F10472" s="2">
        <v>5.1700000000000003E-2</v>
      </c>
      <c r="G10472" s="2">
        <v>2.8199999999999999E-2</v>
      </c>
      <c r="H10472" s="2">
        <v>1.7500000000000002E-2</v>
      </c>
      <c r="I10472">
        <v>982</v>
      </c>
    </row>
    <row r="10474" spans="1:9" x14ac:dyDescent="0.35">
      <c r="A10474" s="1" t="s">
        <v>2431</v>
      </c>
    </row>
    <row r="10475" spans="1:9" x14ac:dyDescent="0.35">
      <c r="A10475" t="s">
        <v>219</v>
      </c>
      <c r="B10475" t="s">
        <v>301</v>
      </c>
      <c r="C10475" t="s">
        <v>2419</v>
      </c>
      <c r="D10475" t="s">
        <v>2420</v>
      </c>
      <c r="E10475" t="s">
        <v>2421</v>
      </c>
      <c r="F10475" t="s">
        <v>2422</v>
      </c>
      <c r="G10475" t="s">
        <v>2423</v>
      </c>
      <c r="H10475" t="s">
        <v>282</v>
      </c>
      <c r="I10475" t="s">
        <v>226</v>
      </c>
    </row>
    <row r="10476" spans="1:9" x14ac:dyDescent="0.35">
      <c r="A10476" t="s">
        <v>227</v>
      </c>
      <c r="B10476" t="s">
        <v>259</v>
      </c>
      <c r="C10476" s="2">
        <v>0.43209999999999998</v>
      </c>
      <c r="D10476" s="2">
        <v>0.34039999999999998</v>
      </c>
      <c r="E10476" s="2">
        <v>0.2235</v>
      </c>
      <c r="H10476" s="2">
        <v>4.0000000000000001E-3</v>
      </c>
      <c r="I10476">
        <v>41</v>
      </c>
    </row>
    <row r="10477" spans="1:9" x14ac:dyDescent="0.35">
      <c r="A10477" t="s">
        <v>227</v>
      </c>
      <c r="B10477" t="s">
        <v>257</v>
      </c>
      <c r="C10477" s="2">
        <v>0.61609999999999998</v>
      </c>
      <c r="D10477" s="2">
        <v>0.19159999999999999</v>
      </c>
      <c r="E10477" s="2">
        <v>8.8200000000000001E-2</v>
      </c>
      <c r="F10477" s="2">
        <v>7.0199999999999999E-2</v>
      </c>
      <c r="G10477" s="2">
        <v>8.6E-3</v>
      </c>
      <c r="H10477" s="2">
        <v>2.53E-2</v>
      </c>
      <c r="I10477">
        <v>243</v>
      </c>
    </row>
    <row r="10478" spans="1:9" x14ac:dyDescent="0.35">
      <c r="A10478" t="s">
        <v>227</v>
      </c>
      <c r="B10478" t="s">
        <v>256</v>
      </c>
      <c r="C10478" s="2">
        <v>0.49680000000000002</v>
      </c>
      <c r="D10478" s="2">
        <v>0.19800000000000001</v>
      </c>
      <c r="E10478" s="2">
        <v>0.1933</v>
      </c>
      <c r="F10478" s="2">
        <v>4.8099999999999997E-2</v>
      </c>
      <c r="G10478" s="2">
        <v>4.6899999999999997E-2</v>
      </c>
      <c r="H10478" s="2">
        <v>1.6799999999999999E-2</v>
      </c>
      <c r="I10478">
        <v>511</v>
      </c>
    </row>
    <row r="10479" spans="1:9" x14ac:dyDescent="0.35">
      <c r="A10479" s="3" t="s">
        <v>227</v>
      </c>
      <c r="B10479" s="3" t="s">
        <v>232</v>
      </c>
      <c r="C10479" s="4">
        <v>0.33040000000000003</v>
      </c>
      <c r="D10479" s="4">
        <v>0.66959999999999997</v>
      </c>
      <c r="E10479" s="5"/>
      <c r="F10479" s="5"/>
      <c r="G10479" s="5"/>
      <c r="H10479" s="5"/>
      <c r="I10479" s="5" t="s">
        <v>327</v>
      </c>
    </row>
    <row r="10480" spans="1:9" x14ac:dyDescent="0.35">
      <c r="A10480" t="s">
        <v>227</v>
      </c>
      <c r="B10480" t="s">
        <v>258</v>
      </c>
      <c r="C10480" s="2">
        <v>0.4486</v>
      </c>
      <c r="D10480" s="2">
        <v>0.34050000000000002</v>
      </c>
      <c r="E10480" s="2">
        <v>0.15640000000000001</v>
      </c>
      <c r="F10480" s="2">
        <v>2.76E-2</v>
      </c>
      <c r="G10480" s="2">
        <v>2.3599999999999999E-2</v>
      </c>
      <c r="H10480" s="2">
        <v>3.3999999999999998E-3</v>
      </c>
      <c r="I10480">
        <v>182</v>
      </c>
    </row>
    <row r="10481" spans="1:9" x14ac:dyDescent="0.35">
      <c r="A10481" t="s">
        <v>228</v>
      </c>
      <c r="B10481" t="s">
        <v>228</v>
      </c>
      <c r="C10481" s="2">
        <v>0.53090000000000004</v>
      </c>
      <c r="D10481" s="2">
        <v>0.22140000000000001</v>
      </c>
      <c r="E10481" s="2">
        <v>0.15010000000000001</v>
      </c>
      <c r="F10481" s="2">
        <v>5.1700000000000003E-2</v>
      </c>
      <c r="G10481" s="2">
        <v>2.8199999999999999E-2</v>
      </c>
      <c r="H10481" s="2">
        <v>1.7500000000000002E-2</v>
      </c>
      <c r="I10481">
        <v>982</v>
      </c>
    </row>
    <row r="10483" spans="1:9" x14ac:dyDescent="0.35">
      <c r="A10483" s="1" t="s">
        <v>2432</v>
      </c>
    </row>
    <row r="10484" spans="1:9" x14ac:dyDescent="0.35">
      <c r="A10484" t="s">
        <v>219</v>
      </c>
      <c r="B10484" t="s">
        <v>301</v>
      </c>
      <c r="C10484" t="s">
        <v>2419</v>
      </c>
      <c r="D10484" t="s">
        <v>2420</v>
      </c>
      <c r="E10484" t="s">
        <v>2421</v>
      </c>
      <c r="F10484" t="s">
        <v>2422</v>
      </c>
      <c r="G10484" t="s">
        <v>2423</v>
      </c>
      <c r="H10484" t="s">
        <v>282</v>
      </c>
      <c r="I10484" t="s">
        <v>226</v>
      </c>
    </row>
    <row r="10485" spans="1:9" x14ac:dyDescent="0.35">
      <c r="A10485" t="s">
        <v>227</v>
      </c>
      <c r="B10485" t="s">
        <v>343</v>
      </c>
      <c r="C10485" s="2">
        <v>0.61609999999999998</v>
      </c>
      <c r="D10485" s="2">
        <v>0.19159999999999999</v>
      </c>
      <c r="E10485" s="2">
        <v>8.8200000000000001E-2</v>
      </c>
      <c r="F10485" s="2">
        <v>7.0199999999999999E-2</v>
      </c>
      <c r="G10485" s="2">
        <v>8.6E-3</v>
      </c>
      <c r="H10485" s="2">
        <v>2.53E-2</v>
      </c>
      <c r="I10485">
        <v>243</v>
      </c>
    </row>
    <row r="10486" spans="1:9" x14ac:dyDescent="0.35">
      <c r="A10486" t="s">
        <v>227</v>
      </c>
      <c r="B10486" t="s">
        <v>344</v>
      </c>
      <c r="C10486" s="2">
        <v>0.4824</v>
      </c>
      <c r="D10486" s="2">
        <v>0.2384</v>
      </c>
      <c r="E10486" s="2">
        <v>0.18540000000000001</v>
      </c>
      <c r="F10486" s="2">
        <v>4.1200000000000001E-2</v>
      </c>
      <c r="G10486" s="2">
        <v>3.9399999999999998E-2</v>
      </c>
      <c r="H10486" s="2">
        <v>1.3100000000000001E-2</v>
      </c>
      <c r="I10486">
        <v>739</v>
      </c>
    </row>
    <row r="10487" spans="1:9" x14ac:dyDescent="0.35">
      <c r="A10487" t="s">
        <v>228</v>
      </c>
      <c r="B10487" t="s">
        <v>228</v>
      </c>
      <c r="C10487" s="2">
        <v>0.53090000000000004</v>
      </c>
      <c r="D10487" s="2">
        <v>0.22140000000000001</v>
      </c>
      <c r="E10487" s="2">
        <v>0.15010000000000001</v>
      </c>
      <c r="F10487" s="2">
        <v>5.1700000000000003E-2</v>
      </c>
      <c r="G10487" s="2">
        <v>2.8199999999999999E-2</v>
      </c>
      <c r="H10487" s="2">
        <v>1.7500000000000002E-2</v>
      </c>
      <c r="I10487">
        <v>982</v>
      </c>
    </row>
    <row r="10489" spans="1:9" x14ac:dyDescent="0.35">
      <c r="A10489" s="1" t="s">
        <v>2433</v>
      </c>
    </row>
    <row r="10490" spans="1:9" x14ac:dyDescent="0.35">
      <c r="A10490" t="s">
        <v>219</v>
      </c>
      <c r="B10490" t="s">
        <v>301</v>
      </c>
      <c r="C10490" t="s">
        <v>2419</v>
      </c>
      <c r="D10490" t="s">
        <v>2420</v>
      </c>
      <c r="E10490" t="s">
        <v>2421</v>
      </c>
      <c r="F10490" t="s">
        <v>2422</v>
      </c>
      <c r="G10490" t="s">
        <v>2423</v>
      </c>
      <c r="H10490" t="s">
        <v>282</v>
      </c>
      <c r="I10490" t="s">
        <v>226</v>
      </c>
    </row>
    <row r="10491" spans="1:9" x14ac:dyDescent="0.35">
      <c r="A10491" t="s">
        <v>227</v>
      </c>
      <c r="B10491" t="s">
        <v>346</v>
      </c>
      <c r="C10491" s="2">
        <v>0.54210000000000003</v>
      </c>
      <c r="D10491" s="2">
        <v>0.2087</v>
      </c>
      <c r="E10491" s="2">
        <v>0.1424</v>
      </c>
      <c r="F10491" s="2">
        <v>5.5399999999999998E-2</v>
      </c>
      <c r="G10491" s="2">
        <v>3.5299999999999998E-2</v>
      </c>
      <c r="H10491" s="2">
        <v>1.61E-2</v>
      </c>
      <c r="I10491">
        <v>371</v>
      </c>
    </row>
    <row r="10492" spans="1:9" x14ac:dyDescent="0.35">
      <c r="A10492" t="s">
        <v>227</v>
      </c>
      <c r="B10492" t="s">
        <v>347</v>
      </c>
      <c r="C10492" s="2">
        <v>0.52980000000000005</v>
      </c>
      <c r="D10492" s="2">
        <v>0.2447</v>
      </c>
      <c r="E10492" s="2">
        <v>0.17519999999999999</v>
      </c>
      <c r="F10492" s="2">
        <v>2.7E-2</v>
      </c>
      <c r="H10492" s="2">
        <v>2.3400000000000001E-2</v>
      </c>
      <c r="I10492">
        <v>329</v>
      </c>
    </row>
    <row r="10493" spans="1:9" x14ac:dyDescent="0.35">
      <c r="A10493" t="s">
        <v>227</v>
      </c>
      <c r="B10493" t="s">
        <v>348</v>
      </c>
      <c r="C10493" s="2">
        <v>0.45989999999999998</v>
      </c>
      <c r="D10493" s="2">
        <v>0.28899999999999998</v>
      </c>
      <c r="E10493" s="2">
        <v>0.1842</v>
      </c>
      <c r="F10493" s="2">
        <v>4.3999999999999997E-2</v>
      </c>
      <c r="H10493" s="2">
        <v>2.29E-2</v>
      </c>
      <c r="I10493">
        <v>282</v>
      </c>
    </row>
    <row r="10494" spans="1:9" x14ac:dyDescent="0.35">
      <c r="A10494" t="s">
        <v>228</v>
      </c>
      <c r="B10494" t="s">
        <v>228</v>
      </c>
      <c r="C10494" s="2">
        <v>0.53090000000000004</v>
      </c>
      <c r="D10494" s="2">
        <v>0.22140000000000001</v>
      </c>
      <c r="E10494" s="2">
        <v>0.15010000000000001</v>
      </c>
      <c r="F10494" s="2">
        <v>5.1700000000000003E-2</v>
      </c>
      <c r="G10494" s="2">
        <v>2.8199999999999999E-2</v>
      </c>
      <c r="H10494" s="2">
        <v>1.7500000000000002E-2</v>
      </c>
      <c r="I10494">
        <v>982</v>
      </c>
    </row>
    <row r="10496" spans="1:9" x14ac:dyDescent="0.35">
      <c r="A10496" s="1" t="s">
        <v>2434</v>
      </c>
    </row>
    <row r="10497" spans="1:9" x14ac:dyDescent="0.35">
      <c r="A10497" t="s">
        <v>219</v>
      </c>
      <c r="B10497" t="s">
        <v>301</v>
      </c>
      <c r="C10497" t="s">
        <v>2419</v>
      </c>
      <c r="D10497" t="s">
        <v>2420</v>
      </c>
      <c r="E10497" t="s">
        <v>2421</v>
      </c>
      <c r="F10497" t="s">
        <v>2422</v>
      </c>
      <c r="G10497" t="s">
        <v>2423</v>
      </c>
      <c r="H10497" t="s">
        <v>282</v>
      </c>
      <c r="I10497" t="s">
        <v>226</v>
      </c>
    </row>
    <row r="10498" spans="1:9" x14ac:dyDescent="0.35">
      <c r="A10498" t="s">
        <v>227</v>
      </c>
      <c r="B10498" t="s">
        <v>251</v>
      </c>
      <c r="C10498" s="2">
        <v>0.5363</v>
      </c>
      <c r="D10498" s="2">
        <v>0.2172</v>
      </c>
      <c r="E10498" s="2">
        <v>0.1595</v>
      </c>
      <c r="F10498" s="2">
        <v>4.9000000000000002E-2</v>
      </c>
      <c r="G10498" s="2">
        <v>1.4200000000000001E-2</v>
      </c>
      <c r="H10498" s="2">
        <v>2.3800000000000002E-2</v>
      </c>
      <c r="I10498">
        <v>715</v>
      </c>
    </row>
    <row r="10499" spans="1:9" x14ac:dyDescent="0.35">
      <c r="A10499" t="s">
        <v>227</v>
      </c>
      <c r="B10499" t="s">
        <v>252</v>
      </c>
      <c r="C10499" s="2">
        <v>0.51949999999999996</v>
      </c>
      <c r="D10499" s="2">
        <v>0.2069</v>
      </c>
      <c r="E10499" s="2">
        <v>0.1386</v>
      </c>
      <c r="F10499" s="2">
        <v>5.7700000000000001E-2</v>
      </c>
      <c r="G10499" s="2">
        <v>7.4200000000000002E-2</v>
      </c>
      <c r="H10499" s="2">
        <v>3.0000000000000001E-3</v>
      </c>
      <c r="I10499">
        <v>205</v>
      </c>
    </row>
    <row r="10500" spans="1:9" x14ac:dyDescent="0.35">
      <c r="A10500" t="s">
        <v>227</v>
      </c>
      <c r="B10500" t="s">
        <v>253</v>
      </c>
      <c r="C10500" s="2">
        <v>0.53490000000000004</v>
      </c>
      <c r="D10500" s="2">
        <v>0.27260000000000001</v>
      </c>
      <c r="E10500" s="2">
        <v>9.5799999999999996E-2</v>
      </c>
      <c r="F10500" s="2">
        <v>6.2799999999999995E-2</v>
      </c>
      <c r="G10500" s="2">
        <v>3.39E-2</v>
      </c>
      <c r="I10500">
        <v>58</v>
      </c>
    </row>
    <row r="10501" spans="1:9" x14ac:dyDescent="0.35">
      <c r="A10501" s="3" t="s">
        <v>227</v>
      </c>
      <c r="B10501" s="3" t="s">
        <v>254</v>
      </c>
      <c r="C10501" s="4">
        <v>3.0099999999999998E-2</v>
      </c>
      <c r="D10501" s="4">
        <v>0.86219999999999997</v>
      </c>
      <c r="E10501" s="4">
        <v>0.1077</v>
      </c>
      <c r="F10501" s="5"/>
      <c r="G10501" s="5"/>
      <c r="H10501" s="5"/>
      <c r="I10501" s="5" t="s">
        <v>341</v>
      </c>
    </row>
    <row r="10502" spans="1:9" x14ac:dyDescent="0.35">
      <c r="A10502" t="s">
        <v>228</v>
      </c>
      <c r="B10502" t="s">
        <v>228</v>
      </c>
      <c r="C10502" s="2">
        <v>0.53090000000000004</v>
      </c>
      <c r="D10502" s="2">
        <v>0.22140000000000001</v>
      </c>
      <c r="E10502" s="2">
        <v>0.15010000000000001</v>
      </c>
      <c r="F10502" s="2">
        <v>5.1700000000000003E-2</v>
      </c>
      <c r="G10502" s="2">
        <v>2.8199999999999999E-2</v>
      </c>
      <c r="H10502" s="2">
        <v>1.7500000000000002E-2</v>
      </c>
      <c r="I10502">
        <v>982</v>
      </c>
    </row>
    <row r="10504" spans="1:9" x14ac:dyDescent="0.35">
      <c r="A10504" s="1" t="s">
        <v>2435</v>
      </c>
    </row>
    <row r="10505" spans="1:9" x14ac:dyDescent="0.35">
      <c r="A10505" t="s">
        <v>219</v>
      </c>
      <c r="B10505" t="s">
        <v>301</v>
      </c>
      <c r="C10505" t="s">
        <v>2419</v>
      </c>
      <c r="D10505" t="s">
        <v>2420</v>
      </c>
      <c r="E10505" t="s">
        <v>2421</v>
      </c>
      <c r="F10505" t="s">
        <v>2422</v>
      </c>
      <c r="G10505" t="s">
        <v>2423</v>
      </c>
      <c r="H10505" t="s">
        <v>282</v>
      </c>
      <c r="I10505" t="s">
        <v>226</v>
      </c>
    </row>
    <row r="10506" spans="1:9" x14ac:dyDescent="0.35">
      <c r="A10506" t="s">
        <v>227</v>
      </c>
      <c r="B10506" t="s">
        <v>1335</v>
      </c>
      <c r="C10506" s="2">
        <v>0.51880000000000004</v>
      </c>
      <c r="D10506" s="2">
        <v>0.20130000000000001</v>
      </c>
      <c r="E10506" s="2">
        <v>0.18820000000000001</v>
      </c>
      <c r="F10506" s="2">
        <v>6.3399999999999998E-2</v>
      </c>
      <c r="G10506" s="2">
        <v>1.2999999999999999E-2</v>
      </c>
      <c r="H10506" s="2">
        <v>1.54E-2</v>
      </c>
      <c r="I10506">
        <v>252</v>
      </c>
    </row>
    <row r="10507" spans="1:9" x14ac:dyDescent="0.35">
      <c r="A10507" s="3" t="s">
        <v>227</v>
      </c>
      <c r="B10507" s="3" t="s">
        <v>1336</v>
      </c>
      <c r="C10507" s="4">
        <v>1</v>
      </c>
      <c r="D10507" s="5"/>
      <c r="E10507" s="5"/>
      <c r="F10507" s="5"/>
      <c r="G10507" s="5"/>
      <c r="H10507" s="5"/>
      <c r="I10507" s="5" t="s">
        <v>323</v>
      </c>
    </row>
    <row r="10508" spans="1:9" x14ac:dyDescent="0.35">
      <c r="A10508" t="s">
        <v>227</v>
      </c>
      <c r="B10508" t="s">
        <v>1337</v>
      </c>
      <c r="C10508" s="2">
        <v>0.53380000000000005</v>
      </c>
      <c r="D10508" s="2">
        <v>0.22969999999999999</v>
      </c>
      <c r="E10508" s="2">
        <v>0.13650000000000001</v>
      </c>
      <c r="F10508" s="2">
        <v>4.7600000000000003E-2</v>
      </c>
      <c r="G10508" s="2">
        <v>3.4000000000000002E-2</v>
      </c>
      <c r="H10508" s="2">
        <v>1.84E-2</v>
      </c>
      <c r="I10508">
        <v>729</v>
      </c>
    </row>
    <row r="10509" spans="1:9" x14ac:dyDescent="0.35">
      <c r="A10509" t="s">
        <v>228</v>
      </c>
      <c r="B10509" t="s">
        <v>228</v>
      </c>
      <c r="C10509" s="2">
        <v>0.53090000000000004</v>
      </c>
      <c r="D10509" s="2">
        <v>0.22140000000000001</v>
      </c>
      <c r="E10509" s="2">
        <v>0.15010000000000001</v>
      </c>
      <c r="F10509" s="2">
        <v>5.1700000000000003E-2</v>
      </c>
      <c r="G10509" s="2">
        <v>2.8199999999999999E-2</v>
      </c>
      <c r="H10509" s="2">
        <v>1.7500000000000002E-2</v>
      </c>
      <c r="I10509">
        <v>982</v>
      </c>
    </row>
    <row r="10511" spans="1:9" x14ac:dyDescent="0.35">
      <c r="A10511" s="1" t="s">
        <v>2436</v>
      </c>
    </row>
    <row r="10512" spans="1:9" x14ac:dyDescent="0.35">
      <c r="A10512" t="s">
        <v>219</v>
      </c>
      <c r="B10512" t="s">
        <v>301</v>
      </c>
      <c r="C10512" t="s">
        <v>2419</v>
      </c>
      <c r="D10512" t="s">
        <v>2420</v>
      </c>
      <c r="E10512" t="s">
        <v>2421</v>
      </c>
      <c r="F10512" t="s">
        <v>2422</v>
      </c>
      <c r="G10512" t="s">
        <v>2423</v>
      </c>
      <c r="H10512" t="s">
        <v>282</v>
      </c>
      <c r="I10512" t="s">
        <v>226</v>
      </c>
    </row>
    <row r="10513" spans="1:10" x14ac:dyDescent="0.35">
      <c r="A10513" s="3" t="s">
        <v>227</v>
      </c>
      <c r="B10513" s="3" t="s">
        <v>1339</v>
      </c>
      <c r="C10513" s="4">
        <v>0.76480000000000004</v>
      </c>
      <c r="D10513" s="4">
        <v>0.23069999999999999</v>
      </c>
      <c r="E10513" s="5"/>
      <c r="F10513" s="5"/>
      <c r="G10513" s="5"/>
      <c r="H10513" s="4">
        <v>4.4999999999999997E-3</v>
      </c>
      <c r="I10513" s="5" t="s">
        <v>321</v>
      </c>
    </row>
    <row r="10514" spans="1:10" x14ac:dyDescent="0.35">
      <c r="A10514" t="s">
        <v>227</v>
      </c>
      <c r="B10514" t="s">
        <v>1340</v>
      </c>
      <c r="C10514" s="2">
        <v>0.52529999999999999</v>
      </c>
      <c r="D10514" s="2">
        <v>0.19789999999999999</v>
      </c>
      <c r="E10514" s="2">
        <v>0.2109</v>
      </c>
      <c r="F10514" s="2">
        <v>8.6E-3</v>
      </c>
      <c r="G10514" s="2">
        <v>5.5100000000000003E-2</v>
      </c>
      <c r="H10514" s="2">
        <v>2.2000000000000001E-3</v>
      </c>
      <c r="I10514">
        <v>195</v>
      </c>
    </row>
    <row r="10515" spans="1:10" x14ac:dyDescent="0.35">
      <c r="A10515" t="s">
        <v>227</v>
      </c>
      <c r="B10515" t="s">
        <v>1341</v>
      </c>
      <c r="C10515" s="2">
        <v>0.49399999999999999</v>
      </c>
      <c r="D10515" s="2">
        <v>0.26440000000000002</v>
      </c>
      <c r="E10515" s="2">
        <v>0.115</v>
      </c>
      <c r="F10515" s="2">
        <v>7.8299999999999995E-2</v>
      </c>
      <c r="G10515" s="2">
        <v>2.3400000000000001E-2</v>
      </c>
      <c r="H10515" s="2">
        <v>2.4899999999999999E-2</v>
      </c>
      <c r="I10515">
        <v>462</v>
      </c>
    </row>
    <row r="10516" spans="1:10" x14ac:dyDescent="0.35">
      <c r="A10516" t="s">
        <v>227</v>
      </c>
      <c r="B10516" t="s">
        <v>1342</v>
      </c>
      <c r="C10516" s="2">
        <v>0.57550000000000001</v>
      </c>
      <c r="D10516" s="2">
        <v>0.16869999999999999</v>
      </c>
      <c r="E10516" s="2">
        <v>0.17430000000000001</v>
      </c>
      <c r="F10516" s="2">
        <v>4.5100000000000001E-2</v>
      </c>
      <c r="G10516" s="2">
        <v>1.8499999999999999E-2</v>
      </c>
      <c r="H10516" s="2">
        <v>1.8100000000000002E-2</v>
      </c>
      <c r="I10516">
        <v>312</v>
      </c>
    </row>
    <row r="10517" spans="1:10" x14ac:dyDescent="0.35">
      <c r="A10517" t="s">
        <v>228</v>
      </c>
      <c r="B10517" t="s">
        <v>228</v>
      </c>
      <c r="C10517" s="2">
        <v>0.53090000000000004</v>
      </c>
      <c r="D10517" s="2">
        <v>0.22140000000000001</v>
      </c>
      <c r="E10517" s="2">
        <v>0.15010000000000001</v>
      </c>
      <c r="F10517" s="2">
        <v>5.1700000000000003E-2</v>
      </c>
      <c r="G10517" s="2">
        <v>2.8199999999999999E-2</v>
      </c>
      <c r="H10517" s="2">
        <v>1.7500000000000002E-2</v>
      </c>
      <c r="I10517">
        <v>982</v>
      </c>
    </row>
    <row r="10519" spans="1:10" x14ac:dyDescent="0.35">
      <c r="A10519" s="1" t="s">
        <v>2437</v>
      </c>
    </row>
    <row r="10520" spans="1:10" x14ac:dyDescent="0.35">
      <c r="A10520" t="s">
        <v>219</v>
      </c>
      <c r="B10520" t="s">
        <v>301</v>
      </c>
      <c r="C10520" t="s">
        <v>325</v>
      </c>
      <c r="D10520" t="s">
        <v>2419</v>
      </c>
      <c r="E10520" t="s">
        <v>2420</v>
      </c>
      <c r="F10520" t="s">
        <v>2421</v>
      </c>
      <c r="G10520" t="s">
        <v>2422</v>
      </c>
      <c r="H10520" t="s">
        <v>2423</v>
      </c>
      <c r="I10520" t="s">
        <v>282</v>
      </c>
      <c r="J10520" t="s">
        <v>226</v>
      </c>
    </row>
    <row r="10521" spans="1:10" x14ac:dyDescent="0.35">
      <c r="A10521" s="3" t="s">
        <v>227</v>
      </c>
      <c r="B10521" s="3" t="s">
        <v>1335</v>
      </c>
      <c r="C10521" s="3" t="s">
        <v>1339</v>
      </c>
      <c r="D10521" s="4">
        <v>1</v>
      </c>
      <c r="E10521" s="5"/>
      <c r="F10521" s="5"/>
      <c r="G10521" s="5"/>
      <c r="H10521" s="5"/>
      <c r="I10521" s="5"/>
      <c r="J10521" s="5" t="s">
        <v>341</v>
      </c>
    </row>
    <row r="10522" spans="1:10" x14ac:dyDescent="0.35">
      <c r="A10522" t="s">
        <v>227</v>
      </c>
      <c r="B10522" t="s">
        <v>1335</v>
      </c>
      <c r="C10522" t="s">
        <v>1340</v>
      </c>
      <c r="D10522" s="2">
        <v>0.41499999999999998</v>
      </c>
      <c r="E10522" s="2">
        <v>0.2666</v>
      </c>
      <c r="F10522" s="2">
        <v>0.24579999999999999</v>
      </c>
      <c r="G10522" s="2">
        <v>0.02</v>
      </c>
      <c r="H10522" s="2">
        <v>4.5600000000000002E-2</v>
      </c>
      <c r="I10522" s="2">
        <v>6.8999999999999999E-3</v>
      </c>
      <c r="J10522">
        <v>67</v>
      </c>
    </row>
    <row r="10523" spans="1:10" x14ac:dyDescent="0.35">
      <c r="A10523" t="s">
        <v>227</v>
      </c>
      <c r="B10523" t="s">
        <v>1335</v>
      </c>
      <c r="C10523" t="s">
        <v>1341</v>
      </c>
      <c r="D10523" s="2">
        <v>0.58309999999999995</v>
      </c>
      <c r="E10523" s="2">
        <v>0.1928</v>
      </c>
      <c r="F10523" s="2">
        <v>0.12529999999999999</v>
      </c>
      <c r="G10523" s="2">
        <v>7.4399999999999994E-2</v>
      </c>
      <c r="H10523" s="2">
        <v>2.3999999999999998E-3</v>
      </c>
      <c r="I10523" s="2">
        <v>2.1899999999999999E-2</v>
      </c>
      <c r="J10523">
        <v>124</v>
      </c>
    </row>
    <row r="10524" spans="1:10" x14ac:dyDescent="0.35">
      <c r="A10524" t="s">
        <v>227</v>
      </c>
      <c r="B10524" t="s">
        <v>1335</v>
      </c>
      <c r="C10524" t="s">
        <v>1342</v>
      </c>
      <c r="D10524" s="2">
        <v>0.3952</v>
      </c>
      <c r="E10524" s="2">
        <v>0.16969999999999999</v>
      </c>
      <c r="F10524" s="2">
        <v>0.32029999999999997</v>
      </c>
      <c r="G10524" s="2">
        <v>0.1036</v>
      </c>
      <c r="I10524" s="2">
        <v>1.12E-2</v>
      </c>
      <c r="J10524">
        <v>57</v>
      </c>
    </row>
    <row r="10525" spans="1:10" x14ac:dyDescent="0.35">
      <c r="A10525" s="3" t="s">
        <v>227</v>
      </c>
      <c r="B10525" s="3" t="s">
        <v>1336</v>
      </c>
      <c r="C10525" s="3" t="s">
        <v>1341</v>
      </c>
      <c r="D10525" s="4">
        <v>1</v>
      </c>
      <c r="E10525" s="5"/>
      <c r="F10525" s="5"/>
      <c r="G10525" s="5"/>
      <c r="H10525" s="5"/>
      <c r="I10525" s="5"/>
      <c r="J10525" s="5" t="s">
        <v>323</v>
      </c>
    </row>
    <row r="10526" spans="1:10" x14ac:dyDescent="0.35">
      <c r="A10526" s="3" t="s">
        <v>227</v>
      </c>
      <c r="B10526" s="3" t="s">
        <v>1337</v>
      </c>
      <c r="C10526" s="3" t="s">
        <v>1339</v>
      </c>
      <c r="D10526" s="4">
        <v>0.62990000000000002</v>
      </c>
      <c r="E10526" s="4">
        <v>0.36299999999999999</v>
      </c>
      <c r="F10526" s="5"/>
      <c r="G10526" s="5"/>
      <c r="H10526" s="5"/>
      <c r="I10526" s="4">
        <v>7.0000000000000001E-3</v>
      </c>
      <c r="J10526" s="5" t="s">
        <v>515</v>
      </c>
    </row>
    <row r="10527" spans="1:10" x14ac:dyDescent="0.35">
      <c r="A10527" t="s">
        <v>227</v>
      </c>
      <c r="B10527" t="s">
        <v>1337</v>
      </c>
      <c r="C10527" t="s">
        <v>1340</v>
      </c>
      <c r="D10527" s="2">
        <v>0.57789999999999997</v>
      </c>
      <c r="E10527" s="2">
        <v>0.1651</v>
      </c>
      <c r="F10527" s="2">
        <v>0.19420000000000001</v>
      </c>
      <c r="G10527" s="2">
        <v>3.0999999999999999E-3</v>
      </c>
      <c r="H10527" s="2">
        <v>5.96E-2</v>
      </c>
      <c r="J10527">
        <v>128</v>
      </c>
    </row>
    <row r="10528" spans="1:10" x14ac:dyDescent="0.35">
      <c r="A10528" t="s">
        <v>227</v>
      </c>
      <c r="B10528" t="s">
        <v>1337</v>
      </c>
      <c r="C10528" t="s">
        <v>1341</v>
      </c>
      <c r="D10528" s="2">
        <v>0.45079999999999998</v>
      </c>
      <c r="E10528" s="2">
        <v>0.29799999999999999</v>
      </c>
      <c r="F10528" s="2">
        <v>0.1114</v>
      </c>
      <c r="G10528" s="2">
        <v>8.0600000000000005E-2</v>
      </c>
      <c r="H10528" s="2">
        <v>3.2800000000000003E-2</v>
      </c>
      <c r="I10528" s="2">
        <v>2.64E-2</v>
      </c>
      <c r="J10528">
        <v>337</v>
      </c>
    </row>
    <row r="10529" spans="1:11" x14ac:dyDescent="0.35">
      <c r="A10529" t="s">
        <v>227</v>
      </c>
      <c r="B10529" t="s">
        <v>1337</v>
      </c>
      <c r="C10529" t="s">
        <v>1342</v>
      </c>
      <c r="D10529" s="2">
        <v>0.61270000000000002</v>
      </c>
      <c r="E10529" s="2">
        <v>0.16850000000000001</v>
      </c>
      <c r="F10529" s="2">
        <v>0.14399999999999999</v>
      </c>
      <c r="G10529" s="2">
        <v>3.3000000000000002E-2</v>
      </c>
      <c r="H10529" s="2">
        <v>2.23E-2</v>
      </c>
      <c r="I10529" s="2">
        <v>1.95E-2</v>
      </c>
      <c r="J10529">
        <v>255</v>
      </c>
    </row>
    <row r="10530" spans="1:11" x14ac:dyDescent="0.35">
      <c r="A10530" t="s">
        <v>228</v>
      </c>
      <c r="B10530" t="s">
        <v>228</v>
      </c>
      <c r="C10530" t="s">
        <v>228</v>
      </c>
      <c r="D10530" s="2">
        <v>0.53090000000000004</v>
      </c>
      <c r="E10530" s="2">
        <v>0.22140000000000001</v>
      </c>
      <c r="F10530" s="2">
        <v>0.15010000000000001</v>
      </c>
      <c r="G10530" s="2">
        <v>5.1700000000000003E-2</v>
      </c>
      <c r="H10530" s="2">
        <v>2.8199999999999999E-2</v>
      </c>
      <c r="I10530" s="2">
        <v>1.7500000000000002E-2</v>
      </c>
      <c r="J10530">
        <v>982</v>
      </c>
    </row>
    <row r="10532" spans="1:11" x14ac:dyDescent="0.35">
      <c r="A10532" s="1" t="s">
        <v>2438</v>
      </c>
    </row>
    <row r="10533" spans="1:11" x14ac:dyDescent="0.35">
      <c r="A10533" t="s">
        <v>219</v>
      </c>
      <c r="B10533" t="s">
        <v>2439</v>
      </c>
      <c r="C10533" t="s">
        <v>2440</v>
      </c>
      <c r="D10533" t="s">
        <v>2441</v>
      </c>
      <c r="E10533" t="s">
        <v>2442</v>
      </c>
      <c r="F10533" t="s">
        <v>282</v>
      </c>
      <c r="G10533" t="s">
        <v>318</v>
      </c>
      <c r="H10533" t="s">
        <v>2443</v>
      </c>
      <c r="I10533" t="s">
        <v>2444</v>
      </c>
      <c r="J10533" t="s">
        <v>226</v>
      </c>
    </row>
    <row r="10534" spans="1:11" x14ac:dyDescent="0.35">
      <c r="A10534" t="s">
        <v>227</v>
      </c>
      <c r="B10534" s="2">
        <v>0.63229999999999997</v>
      </c>
      <c r="C10534" s="2">
        <v>0.2006</v>
      </c>
      <c r="D10534" s="2">
        <v>9.1700000000000004E-2</v>
      </c>
      <c r="E10534" s="2">
        <v>6.2600000000000003E-2</v>
      </c>
      <c r="F10534" s="2">
        <v>3.4299999999999997E-2</v>
      </c>
      <c r="G10534" s="2">
        <v>8.0000000000000002E-3</v>
      </c>
      <c r="H10534" s="2">
        <v>4.0000000000000001E-3</v>
      </c>
      <c r="I10534" s="2">
        <v>3.5999999999999999E-3</v>
      </c>
      <c r="J10534">
        <v>48</v>
      </c>
    </row>
    <row r="10535" spans="1:11" x14ac:dyDescent="0.35">
      <c r="A10535" t="s">
        <v>228</v>
      </c>
      <c r="B10535" s="2">
        <v>0.63229999999999997</v>
      </c>
      <c r="C10535" s="2">
        <v>0.2006</v>
      </c>
      <c r="D10535" s="2">
        <v>9.1700000000000004E-2</v>
      </c>
      <c r="E10535" s="2">
        <v>6.2600000000000003E-2</v>
      </c>
      <c r="F10535" s="2">
        <v>3.4299999999999997E-2</v>
      </c>
      <c r="G10535" s="2">
        <v>8.0000000000000002E-3</v>
      </c>
      <c r="H10535" s="2">
        <v>4.0000000000000001E-3</v>
      </c>
      <c r="I10535" s="2">
        <v>3.5999999999999999E-3</v>
      </c>
      <c r="J10535">
        <v>48</v>
      </c>
    </row>
    <row r="10537" spans="1:11" x14ac:dyDescent="0.35">
      <c r="A10537" s="1" t="s">
        <v>2445</v>
      </c>
    </row>
    <row r="10538" spans="1:11" x14ac:dyDescent="0.35">
      <c r="A10538" t="s">
        <v>219</v>
      </c>
      <c r="B10538" t="s">
        <v>301</v>
      </c>
      <c r="C10538" t="s">
        <v>2439</v>
      </c>
      <c r="D10538" t="s">
        <v>2440</v>
      </c>
      <c r="E10538" t="s">
        <v>2441</v>
      </c>
      <c r="F10538" t="s">
        <v>2442</v>
      </c>
      <c r="G10538" t="s">
        <v>282</v>
      </c>
      <c r="H10538" t="s">
        <v>318</v>
      </c>
      <c r="I10538" t="s">
        <v>2443</v>
      </c>
      <c r="J10538" t="s">
        <v>2444</v>
      </c>
      <c r="K10538" t="s">
        <v>226</v>
      </c>
    </row>
    <row r="10539" spans="1:11" x14ac:dyDescent="0.35">
      <c r="A10539" s="3" t="s">
        <v>227</v>
      </c>
      <c r="B10539" s="3" t="s">
        <v>238</v>
      </c>
      <c r="C10539" s="4">
        <v>0.67820000000000003</v>
      </c>
      <c r="D10539" s="4">
        <v>7.2099999999999997E-2</v>
      </c>
      <c r="E10539" s="4">
        <v>0.14330000000000001</v>
      </c>
      <c r="F10539" s="4">
        <v>0.13650000000000001</v>
      </c>
      <c r="G10539" s="4">
        <v>6.6E-3</v>
      </c>
      <c r="H10539" s="5"/>
      <c r="I10539" s="4">
        <v>1.1299999999999999E-2</v>
      </c>
      <c r="J10539" s="4">
        <v>3.7000000000000002E-3</v>
      </c>
      <c r="K10539" s="5" t="s">
        <v>477</v>
      </c>
    </row>
    <row r="10540" spans="1:11" x14ac:dyDescent="0.35">
      <c r="A10540" s="3" t="s">
        <v>227</v>
      </c>
      <c r="B10540" s="3" t="s">
        <v>237</v>
      </c>
      <c r="C10540" s="4">
        <v>0.60750000000000004</v>
      </c>
      <c r="D10540" s="4">
        <v>0.27</v>
      </c>
      <c r="E10540" s="4">
        <v>6.3899999999999998E-2</v>
      </c>
      <c r="F10540" s="4">
        <v>2.2599999999999999E-2</v>
      </c>
      <c r="G10540" s="4">
        <v>4.9200000000000001E-2</v>
      </c>
      <c r="H10540" s="4">
        <v>1.23E-2</v>
      </c>
      <c r="I10540" s="5"/>
      <c r="J10540" s="4">
        <v>3.5999999999999999E-3</v>
      </c>
      <c r="K10540" s="5" t="s">
        <v>1255</v>
      </c>
    </row>
    <row r="10541" spans="1:11" x14ac:dyDescent="0.35">
      <c r="A10541" t="s">
        <v>228</v>
      </c>
      <c r="B10541" t="s">
        <v>228</v>
      </c>
      <c r="C10541" s="2">
        <v>0.63229999999999997</v>
      </c>
      <c r="D10541" s="2">
        <v>0.2006</v>
      </c>
      <c r="E10541" s="2">
        <v>9.1700000000000004E-2</v>
      </c>
      <c r="F10541" s="2">
        <v>6.2600000000000003E-2</v>
      </c>
      <c r="G10541" s="2">
        <v>3.4299999999999997E-2</v>
      </c>
      <c r="H10541" s="2">
        <v>8.0000000000000002E-3</v>
      </c>
      <c r="I10541" s="2">
        <v>4.0000000000000001E-3</v>
      </c>
      <c r="J10541" s="2">
        <v>3.5999999999999999E-3</v>
      </c>
      <c r="K10541">
        <v>48</v>
      </c>
    </row>
    <row r="10543" spans="1:11" x14ac:dyDescent="0.35">
      <c r="A10543" s="1" t="s">
        <v>2446</v>
      </c>
    </row>
    <row r="10544" spans="1:11" x14ac:dyDescent="0.35">
      <c r="A10544" t="s">
        <v>219</v>
      </c>
      <c r="B10544" t="s">
        <v>301</v>
      </c>
      <c r="C10544" t="s">
        <v>2439</v>
      </c>
      <c r="D10544" t="s">
        <v>2440</v>
      </c>
      <c r="E10544" t="s">
        <v>2441</v>
      </c>
      <c r="F10544" t="s">
        <v>2442</v>
      </c>
      <c r="G10544" t="s">
        <v>282</v>
      </c>
      <c r="H10544" t="s">
        <v>318</v>
      </c>
      <c r="I10544" t="s">
        <v>2443</v>
      </c>
      <c r="J10544" t="s">
        <v>2444</v>
      </c>
      <c r="K10544" t="s">
        <v>226</v>
      </c>
    </row>
    <row r="10545" spans="1:11" x14ac:dyDescent="0.35">
      <c r="A10545" s="3" t="s">
        <v>227</v>
      </c>
      <c r="B10545" s="3" t="s">
        <v>235</v>
      </c>
      <c r="C10545" s="4">
        <v>0.35759999999999997</v>
      </c>
      <c r="D10545" s="4">
        <v>0.15060000000000001</v>
      </c>
      <c r="E10545" s="4">
        <v>0.1862</v>
      </c>
      <c r="F10545" s="4">
        <v>0.1726</v>
      </c>
      <c r="G10545" s="4">
        <v>0.1183</v>
      </c>
      <c r="H10545" s="5"/>
      <c r="I10545" s="4">
        <v>1.47E-2</v>
      </c>
      <c r="J10545" s="5"/>
      <c r="K10545" s="5" t="s">
        <v>522</v>
      </c>
    </row>
    <row r="10546" spans="1:11" x14ac:dyDescent="0.35">
      <c r="A10546" t="s">
        <v>227</v>
      </c>
      <c r="B10546" t="s">
        <v>234</v>
      </c>
      <c r="C10546" s="2">
        <v>0.73380000000000001</v>
      </c>
      <c r="D10546" s="2">
        <v>0.219</v>
      </c>
      <c r="E10546" s="2">
        <v>5.6800000000000003E-2</v>
      </c>
      <c r="F10546" s="2">
        <v>2.1899999999999999E-2</v>
      </c>
      <c r="G10546" s="2">
        <v>3.2000000000000002E-3</v>
      </c>
      <c r="H10546" s="2">
        <v>1.09E-2</v>
      </c>
      <c r="J10546" s="2">
        <v>5.0000000000000001E-3</v>
      </c>
      <c r="K10546">
        <v>32</v>
      </c>
    </row>
    <row r="10547" spans="1:11" x14ac:dyDescent="0.35">
      <c r="A10547" t="s">
        <v>228</v>
      </c>
      <c r="B10547" t="s">
        <v>228</v>
      </c>
      <c r="C10547" s="2">
        <v>0.63229999999999997</v>
      </c>
      <c r="D10547" s="2">
        <v>0.2006</v>
      </c>
      <c r="E10547" s="2">
        <v>9.1700000000000004E-2</v>
      </c>
      <c r="F10547" s="2">
        <v>6.2600000000000003E-2</v>
      </c>
      <c r="G10547" s="2">
        <v>3.4299999999999997E-2</v>
      </c>
      <c r="H10547" s="2">
        <v>8.0000000000000002E-3</v>
      </c>
      <c r="I10547" s="2">
        <v>4.0000000000000001E-3</v>
      </c>
      <c r="J10547" s="2">
        <v>3.5999999999999999E-3</v>
      </c>
      <c r="K10547">
        <v>48</v>
      </c>
    </row>
    <row r="10549" spans="1:11" x14ac:dyDescent="0.35">
      <c r="A10549" s="1" t="s">
        <v>2447</v>
      </c>
    </row>
    <row r="10550" spans="1:11" x14ac:dyDescent="0.35">
      <c r="A10550" t="s">
        <v>219</v>
      </c>
      <c r="B10550" t="s">
        <v>301</v>
      </c>
      <c r="C10550" t="s">
        <v>2439</v>
      </c>
      <c r="D10550" t="s">
        <v>2440</v>
      </c>
      <c r="E10550" t="s">
        <v>2441</v>
      </c>
      <c r="F10550" t="s">
        <v>2442</v>
      </c>
      <c r="G10550" t="s">
        <v>282</v>
      </c>
      <c r="H10550" t="s">
        <v>318</v>
      </c>
      <c r="I10550" t="s">
        <v>2443</v>
      </c>
      <c r="J10550" t="s">
        <v>2444</v>
      </c>
      <c r="K10550" t="s">
        <v>226</v>
      </c>
    </row>
    <row r="10551" spans="1:11" x14ac:dyDescent="0.35">
      <c r="A10551" t="s">
        <v>227</v>
      </c>
      <c r="B10551" t="s">
        <v>240</v>
      </c>
      <c r="C10551" s="2">
        <v>0.60970000000000002</v>
      </c>
      <c r="D10551" s="2">
        <v>0.17480000000000001</v>
      </c>
      <c r="E10551" s="2">
        <v>0.11700000000000001</v>
      </c>
      <c r="F10551" s="2">
        <v>6.9599999999999995E-2</v>
      </c>
      <c r="G10551" s="2">
        <v>4.1799999999999997E-2</v>
      </c>
      <c r="H10551" s="2">
        <v>1.0500000000000001E-2</v>
      </c>
      <c r="J10551" s="2">
        <v>4.7000000000000002E-3</v>
      </c>
      <c r="K10551">
        <v>32</v>
      </c>
    </row>
    <row r="10552" spans="1:11" x14ac:dyDescent="0.35">
      <c r="A10552" s="3" t="s">
        <v>227</v>
      </c>
      <c r="B10552" s="3" t="s">
        <v>241</v>
      </c>
      <c r="C10552" s="4">
        <v>0.89100000000000001</v>
      </c>
      <c r="D10552" s="4">
        <v>0.1174</v>
      </c>
      <c r="E10552" s="4">
        <v>1.34E-2</v>
      </c>
      <c r="F10552" s="4">
        <v>5.3999999999999999E-2</v>
      </c>
      <c r="G10552" s="4">
        <v>1.34E-2</v>
      </c>
      <c r="H10552" s="5"/>
      <c r="I10552" s="5"/>
      <c r="J10552" s="5"/>
      <c r="K10552" s="5" t="s">
        <v>321</v>
      </c>
    </row>
    <row r="10553" spans="1:11" x14ac:dyDescent="0.35">
      <c r="A10553" s="3" t="s">
        <v>227</v>
      </c>
      <c r="B10553" s="3" t="s">
        <v>242</v>
      </c>
      <c r="C10553" s="4">
        <v>0.18179999999999999</v>
      </c>
      <c r="D10553" s="4">
        <v>0.75390000000000001</v>
      </c>
      <c r="E10553" s="5"/>
      <c r="F10553" s="5"/>
      <c r="G10553" s="5"/>
      <c r="H10553" s="5"/>
      <c r="I10553" s="4">
        <v>6.4299999999999996E-2</v>
      </c>
      <c r="J10553" s="5"/>
      <c r="K10553" s="5" t="s">
        <v>438</v>
      </c>
    </row>
    <row r="10554" spans="1:11" x14ac:dyDescent="0.35">
      <c r="A10554" t="s">
        <v>228</v>
      </c>
      <c r="B10554" t="s">
        <v>228</v>
      </c>
      <c r="C10554" s="2">
        <v>0.63229999999999997</v>
      </c>
      <c r="D10554" s="2">
        <v>0.2006</v>
      </c>
      <c r="E10554" s="2">
        <v>9.1700000000000004E-2</v>
      </c>
      <c r="F10554" s="2">
        <v>6.2600000000000003E-2</v>
      </c>
      <c r="G10554" s="2">
        <v>3.4299999999999997E-2</v>
      </c>
      <c r="H10554" s="2">
        <v>8.0000000000000002E-3</v>
      </c>
      <c r="I10554" s="2">
        <v>4.0000000000000001E-3</v>
      </c>
      <c r="J10554" s="2">
        <v>3.5999999999999999E-3</v>
      </c>
      <c r="K10554">
        <v>48</v>
      </c>
    </row>
    <row r="10556" spans="1:11" x14ac:dyDescent="0.35">
      <c r="A10556" s="1" t="s">
        <v>2448</v>
      </c>
    </row>
    <row r="10557" spans="1:11" x14ac:dyDescent="0.35">
      <c r="A10557" t="s">
        <v>219</v>
      </c>
      <c r="B10557" t="s">
        <v>301</v>
      </c>
      <c r="C10557" t="s">
        <v>2439</v>
      </c>
      <c r="D10557" t="s">
        <v>2440</v>
      </c>
      <c r="E10557" t="s">
        <v>2441</v>
      </c>
      <c r="F10557" t="s">
        <v>2442</v>
      </c>
      <c r="G10557" t="s">
        <v>282</v>
      </c>
      <c r="H10557" t="s">
        <v>318</v>
      </c>
      <c r="I10557" t="s">
        <v>2443</v>
      </c>
      <c r="J10557" t="s">
        <v>2444</v>
      </c>
      <c r="K10557" t="s">
        <v>226</v>
      </c>
    </row>
    <row r="10558" spans="1:11" x14ac:dyDescent="0.35">
      <c r="A10558" s="3" t="s">
        <v>227</v>
      </c>
      <c r="B10558" s="3" t="s">
        <v>334</v>
      </c>
      <c r="C10558" s="4">
        <v>0.52969999999999995</v>
      </c>
      <c r="D10558" s="4">
        <v>0.2387</v>
      </c>
      <c r="E10558" s="4">
        <v>0.28570000000000001</v>
      </c>
      <c r="F10558" s="4">
        <v>4.3E-3</v>
      </c>
      <c r="G10558" s="4">
        <v>7.7999999999999996E-3</v>
      </c>
      <c r="H10558" s="5"/>
      <c r="I10558" s="4">
        <v>1.3299999999999999E-2</v>
      </c>
      <c r="J10558" s="4">
        <v>4.3E-3</v>
      </c>
      <c r="K10558" s="5" t="s">
        <v>848</v>
      </c>
    </row>
    <row r="10559" spans="1:11" x14ac:dyDescent="0.35">
      <c r="A10559" s="3" t="s">
        <v>227</v>
      </c>
      <c r="B10559" s="3" t="s">
        <v>335</v>
      </c>
      <c r="C10559" s="4">
        <v>0.94789999999999996</v>
      </c>
      <c r="D10559" s="4">
        <v>1.21E-2</v>
      </c>
      <c r="E10559" s="4">
        <v>1.12E-2</v>
      </c>
      <c r="F10559" s="4">
        <v>4.48E-2</v>
      </c>
      <c r="G10559" s="5"/>
      <c r="H10559" s="5"/>
      <c r="I10559" s="5"/>
      <c r="J10559" s="5"/>
      <c r="K10559" s="5" t="s">
        <v>307</v>
      </c>
    </row>
    <row r="10560" spans="1:11" x14ac:dyDescent="0.35">
      <c r="A10560" s="3" t="s">
        <v>227</v>
      </c>
      <c r="B10560" s="3" t="s">
        <v>336</v>
      </c>
      <c r="C10560" s="4">
        <v>0.15260000000000001</v>
      </c>
      <c r="D10560" s="4">
        <v>2.47E-2</v>
      </c>
      <c r="E10560" s="5"/>
      <c r="F10560" s="4">
        <v>0.44309999999999999</v>
      </c>
      <c r="G10560" s="4">
        <v>0.30370000000000003</v>
      </c>
      <c r="H10560" s="4">
        <v>7.5999999999999998E-2</v>
      </c>
      <c r="I10560" s="5"/>
      <c r="J10560" s="5"/>
      <c r="K10560" s="5" t="s">
        <v>606</v>
      </c>
    </row>
    <row r="10561" spans="1:11" x14ac:dyDescent="0.35">
      <c r="A10561" s="3" t="s">
        <v>227</v>
      </c>
      <c r="B10561" s="3" t="s">
        <v>337</v>
      </c>
      <c r="C10561" s="4">
        <v>0.55789999999999995</v>
      </c>
      <c r="D10561" s="4">
        <v>0.4587</v>
      </c>
      <c r="E10561" s="5"/>
      <c r="F10561" s="5"/>
      <c r="G10561" s="5"/>
      <c r="H10561" s="5"/>
      <c r="I10561" s="5"/>
      <c r="J10561" s="5"/>
      <c r="K10561" s="5" t="s">
        <v>326</v>
      </c>
    </row>
    <row r="10562" spans="1:11" x14ac:dyDescent="0.35">
      <c r="A10562" t="s">
        <v>228</v>
      </c>
      <c r="B10562" t="s">
        <v>228</v>
      </c>
      <c r="C10562" s="2">
        <v>0.63229999999999997</v>
      </c>
      <c r="D10562" s="2">
        <v>0.2006</v>
      </c>
      <c r="E10562" s="2">
        <v>9.1700000000000004E-2</v>
      </c>
      <c r="F10562" s="2">
        <v>6.2600000000000003E-2</v>
      </c>
      <c r="G10562" s="2">
        <v>3.4299999999999997E-2</v>
      </c>
      <c r="H10562" s="2">
        <v>8.0000000000000002E-3</v>
      </c>
      <c r="I10562" s="2">
        <v>4.0000000000000001E-3</v>
      </c>
      <c r="J10562" s="2">
        <v>3.5999999999999999E-3</v>
      </c>
      <c r="K10562">
        <v>44</v>
      </c>
    </row>
    <row r="10564" spans="1:11" x14ac:dyDescent="0.35">
      <c r="A10564" s="1" t="s">
        <v>2449</v>
      </c>
    </row>
    <row r="10565" spans="1:11" x14ac:dyDescent="0.35">
      <c r="A10565" t="s">
        <v>219</v>
      </c>
      <c r="B10565" t="s">
        <v>301</v>
      </c>
      <c r="C10565" t="s">
        <v>2439</v>
      </c>
      <c r="D10565" t="s">
        <v>2440</v>
      </c>
      <c r="E10565" t="s">
        <v>2441</v>
      </c>
      <c r="F10565" t="s">
        <v>2442</v>
      </c>
      <c r="G10565" t="s">
        <v>282</v>
      </c>
      <c r="H10565" t="s">
        <v>318</v>
      </c>
      <c r="I10565" t="s">
        <v>2443</v>
      </c>
      <c r="J10565" t="s">
        <v>2444</v>
      </c>
      <c r="K10565" t="s">
        <v>226</v>
      </c>
    </row>
    <row r="10566" spans="1:11" x14ac:dyDescent="0.35">
      <c r="A10566" s="3" t="s">
        <v>227</v>
      </c>
      <c r="B10566" s="3" t="s">
        <v>263</v>
      </c>
      <c r="C10566" s="4">
        <v>0.50309999999999999</v>
      </c>
      <c r="D10566" s="4">
        <v>0.47649999999999998</v>
      </c>
      <c r="E10566" s="5"/>
      <c r="F10566" s="4">
        <v>3.7699999999999997E-2</v>
      </c>
      <c r="G10566" s="5"/>
      <c r="H10566" s="5"/>
      <c r="I10566" s="5"/>
      <c r="J10566" s="5"/>
      <c r="K10566" s="5" t="s">
        <v>326</v>
      </c>
    </row>
    <row r="10567" spans="1:11" x14ac:dyDescent="0.35">
      <c r="A10567" s="3" t="s">
        <v>227</v>
      </c>
      <c r="B10567" s="3" t="s">
        <v>262</v>
      </c>
      <c r="C10567" s="4">
        <v>0.68510000000000004</v>
      </c>
      <c r="D10567" s="4">
        <v>9.5000000000000001E-2</v>
      </c>
      <c r="E10567" s="4">
        <v>1.72E-2</v>
      </c>
      <c r="F10567" s="4">
        <v>0.1799</v>
      </c>
      <c r="G10567" s="4">
        <v>0.11890000000000001</v>
      </c>
      <c r="H10567" s="5"/>
      <c r="I10567" s="5"/>
      <c r="J10567" s="4">
        <v>8.0999999999999996E-3</v>
      </c>
      <c r="K10567" s="5" t="s">
        <v>425</v>
      </c>
    </row>
    <row r="10568" spans="1:11" x14ac:dyDescent="0.35">
      <c r="A10568" s="3" t="s">
        <v>227</v>
      </c>
      <c r="B10568" s="3" t="s">
        <v>261</v>
      </c>
      <c r="C10568" s="4">
        <v>0.66920000000000002</v>
      </c>
      <c r="D10568" s="4">
        <v>0.11700000000000001</v>
      </c>
      <c r="E10568" s="4">
        <v>0.18790000000000001</v>
      </c>
      <c r="F10568" s="4">
        <v>2.8E-3</v>
      </c>
      <c r="G10568" s="5"/>
      <c r="H10568" s="4">
        <v>1.7299999999999999E-2</v>
      </c>
      <c r="I10568" s="4">
        <v>8.6E-3</v>
      </c>
      <c r="J10568" s="4">
        <v>2.8E-3</v>
      </c>
      <c r="K10568" s="5" t="s">
        <v>477</v>
      </c>
    </row>
    <row r="10569" spans="1:11" x14ac:dyDescent="0.35">
      <c r="A10569" t="s">
        <v>228</v>
      </c>
      <c r="B10569" t="s">
        <v>228</v>
      </c>
      <c r="C10569" s="2">
        <v>0.63229999999999997</v>
      </c>
      <c r="D10569" s="2">
        <v>0.2006</v>
      </c>
      <c r="E10569" s="2">
        <v>9.1700000000000004E-2</v>
      </c>
      <c r="F10569" s="2">
        <v>6.2600000000000003E-2</v>
      </c>
      <c r="G10569" s="2">
        <v>3.4299999999999997E-2</v>
      </c>
      <c r="H10569" s="2">
        <v>8.0000000000000002E-3</v>
      </c>
      <c r="I10569" s="2">
        <v>4.0000000000000001E-3</v>
      </c>
      <c r="J10569" s="2">
        <v>3.5999999999999999E-3</v>
      </c>
      <c r="K10569">
        <v>48</v>
      </c>
    </row>
    <row r="10571" spans="1:11" x14ac:dyDescent="0.35">
      <c r="A10571" s="1" t="s">
        <v>2450</v>
      </c>
    </row>
    <row r="10572" spans="1:11" x14ac:dyDescent="0.35">
      <c r="A10572" t="s">
        <v>219</v>
      </c>
      <c r="B10572" t="s">
        <v>301</v>
      </c>
      <c r="C10572" t="s">
        <v>2439</v>
      </c>
      <c r="D10572" t="s">
        <v>2440</v>
      </c>
      <c r="E10572" t="s">
        <v>2441</v>
      </c>
      <c r="F10572" t="s">
        <v>2442</v>
      </c>
      <c r="G10572" t="s">
        <v>282</v>
      </c>
      <c r="H10572" t="s">
        <v>318</v>
      </c>
      <c r="I10572" t="s">
        <v>2443</v>
      </c>
      <c r="J10572" t="s">
        <v>2444</v>
      </c>
      <c r="K10572" t="s">
        <v>226</v>
      </c>
    </row>
    <row r="10573" spans="1:11" x14ac:dyDescent="0.35">
      <c r="A10573" s="3" t="s">
        <v>227</v>
      </c>
      <c r="B10573" s="3" t="s">
        <v>248</v>
      </c>
      <c r="C10573" s="4">
        <v>0.53849999999999998</v>
      </c>
      <c r="D10573" s="4">
        <v>0.1168</v>
      </c>
      <c r="E10573" s="5"/>
      <c r="F10573" s="4">
        <v>0.23069999999999999</v>
      </c>
      <c r="G10573" s="4">
        <v>0.1696</v>
      </c>
      <c r="H10573" s="5"/>
      <c r="I10573" s="5"/>
      <c r="J10573" s="5"/>
      <c r="K10573" s="5" t="s">
        <v>423</v>
      </c>
    </row>
    <row r="10574" spans="1:11" x14ac:dyDescent="0.35">
      <c r="A10574" s="3" t="s">
        <v>227</v>
      </c>
      <c r="B10574" s="3" t="s">
        <v>249</v>
      </c>
      <c r="C10574" s="4">
        <v>0.77210000000000001</v>
      </c>
      <c r="D10574" s="5"/>
      <c r="E10574" s="4">
        <v>0.20669999999999999</v>
      </c>
      <c r="F10574" s="5"/>
      <c r="G10574" s="5"/>
      <c r="H10574" s="5"/>
      <c r="I10574" s="4">
        <v>2.12E-2</v>
      </c>
      <c r="J10574" s="5"/>
      <c r="K10574" s="5" t="s">
        <v>366</v>
      </c>
    </row>
    <row r="10575" spans="1:11" x14ac:dyDescent="0.35">
      <c r="A10575" s="3" t="s">
        <v>227</v>
      </c>
      <c r="B10575" s="3" t="s">
        <v>247</v>
      </c>
      <c r="C10575" s="4">
        <v>0.62019999999999997</v>
      </c>
      <c r="D10575" s="4">
        <v>0.28999999999999998</v>
      </c>
      <c r="E10575" s="4">
        <v>8.6699999999999999E-2</v>
      </c>
      <c r="F10575" s="4">
        <v>2.6200000000000001E-2</v>
      </c>
      <c r="G10575" s="5"/>
      <c r="H10575" s="4">
        <v>1.3100000000000001E-2</v>
      </c>
      <c r="I10575" s="5"/>
      <c r="J10575" s="4">
        <v>5.8999999999999999E-3</v>
      </c>
      <c r="K10575" s="5" t="s">
        <v>432</v>
      </c>
    </row>
    <row r="10576" spans="1:11" x14ac:dyDescent="0.35">
      <c r="A10576" t="s">
        <v>228</v>
      </c>
      <c r="B10576" t="s">
        <v>228</v>
      </c>
      <c r="C10576" s="2">
        <v>0.63229999999999997</v>
      </c>
      <c r="D10576" s="2">
        <v>0.2006</v>
      </c>
      <c r="E10576" s="2">
        <v>9.1700000000000004E-2</v>
      </c>
      <c r="F10576" s="2">
        <v>6.2600000000000003E-2</v>
      </c>
      <c r="G10576" s="2">
        <v>3.4299999999999997E-2</v>
      </c>
      <c r="H10576" s="2">
        <v>8.0000000000000002E-3</v>
      </c>
      <c r="I10576" s="2">
        <v>4.0000000000000001E-3</v>
      </c>
      <c r="J10576" s="2">
        <v>3.5999999999999999E-3</v>
      </c>
      <c r="K10576">
        <v>48</v>
      </c>
    </row>
    <row r="10578" spans="1:11" x14ac:dyDescent="0.35">
      <c r="A10578" s="1" t="s">
        <v>2451</v>
      </c>
    </row>
    <row r="10579" spans="1:11" x14ac:dyDescent="0.35">
      <c r="A10579" t="s">
        <v>219</v>
      </c>
      <c r="B10579" t="s">
        <v>301</v>
      </c>
      <c r="C10579" t="s">
        <v>2439</v>
      </c>
      <c r="D10579" t="s">
        <v>2440</v>
      </c>
      <c r="E10579" t="s">
        <v>2441</v>
      </c>
      <c r="F10579" t="s">
        <v>2442</v>
      </c>
      <c r="G10579" t="s">
        <v>282</v>
      </c>
      <c r="H10579" t="s">
        <v>318</v>
      </c>
      <c r="I10579" t="s">
        <v>2443</v>
      </c>
      <c r="J10579" t="s">
        <v>2444</v>
      </c>
      <c r="K10579" t="s">
        <v>226</v>
      </c>
    </row>
    <row r="10580" spans="1:11" x14ac:dyDescent="0.35">
      <c r="A10580" s="3" t="s">
        <v>227</v>
      </c>
      <c r="B10580" s="3" t="s">
        <v>245</v>
      </c>
      <c r="C10580" s="4">
        <v>0.4909</v>
      </c>
      <c r="D10580" s="4">
        <v>0.32179999999999997</v>
      </c>
      <c r="E10580" s="4">
        <v>6.1000000000000004E-3</v>
      </c>
      <c r="F10580" s="4">
        <v>0.1095</v>
      </c>
      <c r="G10580" s="4">
        <v>7.2999999999999995E-2</v>
      </c>
      <c r="H10580" s="4">
        <v>1.83E-2</v>
      </c>
      <c r="I10580" s="4">
        <v>9.1000000000000004E-3</v>
      </c>
      <c r="J10580" s="4">
        <v>8.3000000000000001E-3</v>
      </c>
      <c r="K10580" s="5" t="s">
        <v>429</v>
      </c>
    </row>
    <row r="10581" spans="1:11" x14ac:dyDescent="0.35">
      <c r="A10581" s="3" t="s">
        <v>227</v>
      </c>
      <c r="B10581" s="3" t="s">
        <v>244</v>
      </c>
      <c r="C10581" s="4">
        <v>0.74209999999999998</v>
      </c>
      <c r="D10581" s="4">
        <v>0.10630000000000001</v>
      </c>
      <c r="E10581" s="4">
        <v>0.1583</v>
      </c>
      <c r="F10581" s="4">
        <v>2.6100000000000002E-2</v>
      </c>
      <c r="G10581" s="4">
        <v>4.1000000000000003E-3</v>
      </c>
      <c r="H10581" s="5"/>
      <c r="I10581" s="5"/>
      <c r="J10581" s="5"/>
      <c r="K10581" s="5" t="s">
        <v>851</v>
      </c>
    </row>
    <row r="10582" spans="1:11" x14ac:dyDescent="0.35">
      <c r="A10582" t="s">
        <v>228</v>
      </c>
      <c r="B10582" t="s">
        <v>228</v>
      </c>
      <c r="C10582" s="2">
        <v>0.63229999999999997</v>
      </c>
      <c r="D10582" s="2">
        <v>0.2006</v>
      </c>
      <c r="E10582" s="2">
        <v>9.1700000000000004E-2</v>
      </c>
      <c r="F10582" s="2">
        <v>6.2600000000000003E-2</v>
      </c>
      <c r="G10582" s="2">
        <v>3.4299999999999997E-2</v>
      </c>
      <c r="H10582" s="2">
        <v>8.0000000000000002E-3</v>
      </c>
      <c r="I10582" s="2">
        <v>4.0000000000000001E-3</v>
      </c>
      <c r="J10582" s="2">
        <v>3.5999999999999999E-3</v>
      </c>
      <c r="K10582">
        <v>48</v>
      </c>
    </row>
    <row r="10584" spans="1:11" x14ac:dyDescent="0.35">
      <c r="A10584" s="1" t="s">
        <v>2452</v>
      </c>
    </row>
    <row r="10585" spans="1:11" x14ac:dyDescent="0.35">
      <c r="A10585" t="s">
        <v>219</v>
      </c>
      <c r="B10585" t="s">
        <v>301</v>
      </c>
      <c r="C10585" t="s">
        <v>2439</v>
      </c>
      <c r="D10585" t="s">
        <v>2440</v>
      </c>
      <c r="E10585" t="s">
        <v>2441</v>
      </c>
      <c r="F10585" t="s">
        <v>2442</v>
      </c>
      <c r="G10585" t="s">
        <v>282</v>
      </c>
      <c r="H10585" t="s">
        <v>318</v>
      </c>
      <c r="I10585" t="s">
        <v>2443</v>
      </c>
      <c r="J10585" t="s">
        <v>2444</v>
      </c>
      <c r="K10585" t="s">
        <v>226</v>
      </c>
    </row>
    <row r="10586" spans="1:11" x14ac:dyDescent="0.35">
      <c r="A10586" s="3" t="s">
        <v>227</v>
      </c>
      <c r="B10586" s="3" t="s">
        <v>257</v>
      </c>
      <c r="C10586" s="4">
        <v>0.53029999999999999</v>
      </c>
      <c r="D10586" s="4">
        <v>0.1318</v>
      </c>
      <c r="E10586" s="4">
        <v>0.2389</v>
      </c>
      <c r="F10586" s="4">
        <v>0.1303</v>
      </c>
      <c r="G10586" s="5"/>
      <c r="H10586" s="5"/>
      <c r="I10586" s="5"/>
      <c r="J10586" s="5"/>
      <c r="K10586" s="5" t="s">
        <v>848</v>
      </c>
    </row>
    <row r="10587" spans="1:11" x14ac:dyDescent="0.35">
      <c r="A10587" s="3" t="s">
        <v>227</v>
      </c>
      <c r="B10587" s="3" t="s">
        <v>256</v>
      </c>
      <c r="C10587" s="4">
        <v>0.66080000000000005</v>
      </c>
      <c r="D10587" s="4">
        <v>0.24979999999999999</v>
      </c>
      <c r="E10587" s="4">
        <v>9.1999999999999998E-3</v>
      </c>
      <c r="F10587" s="5"/>
      <c r="G10587" s="4">
        <v>5.8400000000000001E-2</v>
      </c>
      <c r="H10587" s="4">
        <v>1.46E-2</v>
      </c>
      <c r="I10587" s="4">
        <v>7.3000000000000001E-3</v>
      </c>
      <c r="J10587" s="5"/>
      <c r="K10587" s="5" t="s">
        <v>429</v>
      </c>
    </row>
    <row r="10588" spans="1:11" x14ac:dyDescent="0.35">
      <c r="A10588" s="3" t="s">
        <v>227</v>
      </c>
      <c r="B10588" s="3" t="s">
        <v>258</v>
      </c>
      <c r="C10588" s="4">
        <v>0.85</v>
      </c>
      <c r="D10588" s="4">
        <v>0.17610000000000001</v>
      </c>
      <c r="E10588" s="4">
        <v>1.3599999999999999E-2</v>
      </c>
      <c r="F10588" s="4">
        <v>0.1671</v>
      </c>
      <c r="G10588" s="4">
        <v>2.4400000000000002E-2</v>
      </c>
      <c r="H10588" s="5"/>
      <c r="I10588" s="5"/>
      <c r="J10588" s="4">
        <v>3.7900000000000003E-2</v>
      </c>
      <c r="K10588" s="5" t="s">
        <v>423</v>
      </c>
    </row>
    <row r="10589" spans="1:11" x14ac:dyDescent="0.35">
      <c r="A10589" t="s">
        <v>228</v>
      </c>
      <c r="B10589" t="s">
        <v>228</v>
      </c>
      <c r="C10589" s="2">
        <v>0.63229999999999997</v>
      </c>
      <c r="D10589" s="2">
        <v>0.2006</v>
      </c>
      <c r="E10589" s="2">
        <v>9.1700000000000004E-2</v>
      </c>
      <c r="F10589" s="2">
        <v>6.2600000000000003E-2</v>
      </c>
      <c r="G10589" s="2">
        <v>3.4299999999999997E-2</v>
      </c>
      <c r="H10589" s="2">
        <v>8.0000000000000002E-3</v>
      </c>
      <c r="I10589" s="2">
        <v>4.0000000000000001E-3</v>
      </c>
      <c r="J10589" s="2">
        <v>3.5999999999999999E-3</v>
      </c>
      <c r="K10589">
        <v>48</v>
      </c>
    </row>
    <row r="10591" spans="1:11" x14ac:dyDescent="0.35">
      <c r="A10591" s="1" t="s">
        <v>2453</v>
      </c>
    </row>
    <row r="10592" spans="1:11" x14ac:dyDescent="0.35">
      <c r="A10592" t="s">
        <v>219</v>
      </c>
      <c r="B10592" t="s">
        <v>301</v>
      </c>
      <c r="C10592" t="s">
        <v>2439</v>
      </c>
      <c r="D10592" t="s">
        <v>2440</v>
      </c>
      <c r="E10592" t="s">
        <v>2441</v>
      </c>
      <c r="F10592" t="s">
        <v>2442</v>
      </c>
      <c r="G10592" t="s">
        <v>282</v>
      </c>
      <c r="H10592" t="s">
        <v>318</v>
      </c>
      <c r="I10592" t="s">
        <v>2443</v>
      </c>
      <c r="J10592" t="s">
        <v>2444</v>
      </c>
      <c r="K10592" t="s">
        <v>226</v>
      </c>
    </row>
    <row r="10593" spans="1:11" x14ac:dyDescent="0.35">
      <c r="A10593" s="3" t="s">
        <v>227</v>
      </c>
      <c r="B10593" s="3" t="s">
        <v>343</v>
      </c>
      <c r="C10593" s="4">
        <v>0.53029999999999999</v>
      </c>
      <c r="D10593" s="4">
        <v>0.1318</v>
      </c>
      <c r="E10593" s="4">
        <v>0.2389</v>
      </c>
      <c r="F10593" s="4">
        <v>0.1303</v>
      </c>
      <c r="G10593" s="5"/>
      <c r="H10593" s="5"/>
      <c r="I10593" s="5"/>
      <c r="J10593" s="5"/>
      <c r="K10593" s="5" t="s">
        <v>848</v>
      </c>
    </row>
    <row r="10594" spans="1:11" x14ac:dyDescent="0.35">
      <c r="A10594" t="s">
        <v>227</v>
      </c>
      <c r="B10594" t="s">
        <v>344</v>
      </c>
      <c r="C10594" s="2">
        <v>0.68899999999999995</v>
      </c>
      <c r="D10594" s="2">
        <v>0.23880000000000001</v>
      </c>
      <c r="E10594" s="2">
        <v>9.7999999999999997E-3</v>
      </c>
      <c r="F10594" s="2">
        <v>2.4899999999999999E-2</v>
      </c>
      <c r="G10594" s="2">
        <v>5.33E-2</v>
      </c>
      <c r="H10594" s="2">
        <v>1.24E-2</v>
      </c>
      <c r="I10594" s="2">
        <v>6.1999999999999998E-3</v>
      </c>
      <c r="J10594" s="2">
        <v>5.5999999999999999E-3</v>
      </c>
      <c r="K10594">
        <v>33</v>
      </c>
    </row>
    <row r="10595" spans="1:11" x14ac:dyDescent="0.35">
      <c r="A10595" t="s">
        <v>228</v>
      </c>
      <c r="B10595" t="s">
        <v>228</v>
      </c>
      <c r="C10595" s="2">
        <v>0.63229999999999997</v>
      </c>
      <c r="D10595" s="2">
        <v>0.2006</v>
      </c>
      <c r="E10595" s="2">
        <v>9.1700000000000004E-2</v>
      </c>
      <c r="F10595" s="2">
        <v>6.2600000000000003E-2</v>
      </c>
      <c r="G10595" s="2">
        <v>3.4299999999999997E-2</v>
      </c>
      <c r="H10595" s="2">
        <v>8.0000000000000002E-3</v>
      </c>
      <c r="I10595" s="2">
        <v>4.0000000000000001E-3</v>
      </c>
      <c r="J10595" s="2">
        <v>3.5999999999999999E-3</v>
      </c>
      <c r="K10595">
        <v>48</v>
      </c>
    </row>
    <row r="10597" spans="1:11" x14ac:dyDescent="0.35">
      <c r="A10597" s="1" t="s">
        <v>2454</v>
      </c>
    </row>
    <row r="10598" spans="1:11" x14ac:dyDescent="0.35">
      <c r="A10598" t="s">
        <v>219</v>
      </c>
      <c r="B10598" t="s">
        <v>301</v>
      </c>
      <c r="C10598" t="s">
        <v>2439</v>
      </c>
      <c r="D10598" t="s">
        <v>2440</v>
      </c>
      <c r="E10598" t="s">
        <v>2441</v>
      </c>
      <c r="F10598" t="s">
        <v>2442</v>
      </c>
      <c r="G10598" t="s">
        <v>282</v>
      </c>
      <c r="H10598" t="s">
        <v>318</v>
      </c>
      <c r="I10598" t="s">
        <v>2443</v>
      </c>
      <c r="J10598" t="s">
        <v>2444</v>
      </c>
      <c r="K10598" t="s">
        <v>226</v>
      </c>
    </row>
    <row r="10599" spans="1:11" x14ac:dyDescent="0.35">
      <c r="A10599" s="3" t="s">
        <v>227</v>
      </c>
      <c r="B10599" s="3" t="s">
        <v>346</v>
      </c>
      <c r="C10599" s="4">
        <v>0.625</v>
      </c>
      <c r="D10599" s="4">
        <v>0.18679999999999999</v>
      </c>
      <c r="E10599" s="4">
        <v>9.5799999999999996E-2</v>
      </c>
      <c r="F10599" s="4">
        <v>6.1800000000000001E-2</v>
      </c>
      <c r="G10599" s="4">
        <v>3.5299999999999998E-2</v>
      </c>
      <c r="H10599" s="5"/>
      <c r="I10599" s="5"/>
      <c r="J10599" s="5"/>
      <c r="K10599" s="5" t="s">
        <v>432</v>
      </c>
    </row>
    <row r="10600" spans="1:11" x14ac:dyDescent="0.35">
      <c r="A10600" s="3" t="s">
        <v>227</v>
      </c>
      <c r="B10600" s="3" t="s">
        <v>347</v>
      </c>
      <c r="C10600" s="4">
        <v>0.5625</v>
      </c>
      <c r="D10600" s="4">
        <v>0.1867</v>
      </c>
      <c r="E10600" s="4">
        <v>0.10009999999999999</v>
      </c>
      <c r="F10600" s="4">
        <v>0.24879999999999999</v>
      </c>
      <c r="G10600" s="5"/>
      <c r="H10600" s="5"/>
      <c r="I10600" s="4">
        <v>0.1507</v>
      </c>
      <c r="J10600" s="4">
        <v>4.9200000000000001E-2</v>
      </c>
      <c r="K10600" s="5" t="s">
        <v>307</v>
      </c>
    </row>
    <row r="10601" spans="1:11" x14ac:dyDescent="0.35">
      <c r="A10601" s="3" t="s">
        <v>227</v>
      </c>
      <c r="B10601" s="3" t="s">
        <v>348</v>
      </c>
      <c r="C10601" s="4">
        <v>0.75590000000000002</v>
      </c>
      <c r="D10601" s="4">
        <v>0.38819999999999999</v>
      </c>
      <c r="E10601" s="4">
        <v>3.4200000000000001E-2</v>
      </c>
      <c r="F10601" s="5"/>
      <c r="G10601" s="4">
        <v>3.4200000000000001E-2</v>
      </c>
      <c r="H10601" s="4">
        <v>0.1174</v>
      </c>
      <c r="I10601" s="5"/>
      <c r="J10601" s="4">
        <v>3.4200000000000001E-2</v>
      </c>
      <c r="K10601" s="5" t="s">
        <v>606</v>
      </c>
    </row>
    <row r="10602" spans="1:11" x14ac:dyDescent="0.35">
      <c r="A10602" t="s">
        <v>228</v>
      </c>
      <c r="B10602" t="s">
        <v>228</v>
      </c>
      <c r="C10602" s="2">
        <v>0.63229999999999997</v>
      </c>
      <c r="D10602" s="2">
        <v>0.2006</v>
      </c>
      <c r="E10602" s="2">
        <v>9.1700000000000004E-2</v>
      </c>
      <c r="F10602" s="2">
        <v>6.2600000000000003E-2</v>
      </c>
      <c r="G10602" s="2">
        <v>3.4299999999999997E-2</v>
      </c>
      <c r="H10602" s="2">
        <v>8.0000000000000002E-3</v>
      </c>
      <c r="I10602" s="2">
        <v>4.0000000000000001E-3</v>
      </c>
      <c r="J10602" s="2">
        <v>3.5999999999999999E-3</v>
      </c>
      <c r="K10602">
        <v>48</v>
      </c>
    </row>
    <row r="10604" spans="1:11" x14ac:dyDescent="0.35">
      <c r="A10604" s="1" t="s">
        <v>2455</v>
      </c>
    </row>
    <row r="10605" spans="1:11" x14ac:dyDescent="0.35">
      <c r="A10605" t="s">
        <v>219</v>
      </c>
      <c r="B10605" t="s">
        <v>301</v>
      </c>
      <c r="C10605" t="s">
        <v>2439</v>
      </c>
      <c r="D10605" t="s">
        <v>2440</v>
      </c>
      <c r="E10605" t="s">
        <v>2441</v>
      </c>
      <c r="F10605" t="s">
        <v>2442</v>
      </c>
      <c r="G10605" t="s">
        <v>282</v>
      </c>
      <c r="H10605" t="s">
        <v>318</v>
      </c>
      <c r="I10605" t="s">
        <v>2443</v>
      </c>
      <c r="J10605" t="s">
        <v>2444</v>
      </c>
      <c r="K10605" t="s">
        <v>226</v>
      </c>
    </row>
    <row r="10606" spans="1:11" x14ac:dyDescent="0.35">
      <c r="A10606" s="3" t="s">
        <v>227</v>
      </c>
      <c r="B10606" s="3" t="s">
        <v>251</v>
      </c>
      <c r="C10606" s="4">
        <v>0.74209999999999998</v>
      </c>
      <c r="D10606" s="4">
        <v>0.10630000000000001</v>
      </c>
      <c r="E10606" s="4">
        <v>0.1583</v>
      </c>
      <c r="F10606" s="4">
        <v>2.6100000000000002E-2</v>
      </c>
      <c r="G10606" s="4">
        <v>4.1000000000000003E-3</v>
      </c>
      <c r="H10606" s="5"/>
      <c r="I10606" s="5"/>
      <c r="J10606" s="5"/>
      <c r="K10606" s="5" t="s">
        <v>851</v>
      </c>
    </row>
    <row r="10607" spans="1:11" x14ac:dyDescent="0.35">
      <c r="A10607" s="3" t="s">
        <v>227</v>
      </c>
      <c r="B10607" s="3" t="s">
        <v>252</v>
      </c>
      <c r="C10607" s="4">
        <v>0.58760000000000001</v>
      </c>
      <c r="D10607" s="4">
        <v>0.37390000000000001</v>
      </c>
      <c r="E10607" s="4">
        <v>3.8999999999999998E-3</v>
      </c>
      <c r="F10607" s="4">
        <v>3.7000000000000002E-3</v>
      </c>
      <c r="G10607" s="5"/>
      <c r="H10607" s="4">
        <v>2.3099999999999999E-2</v>
      </c>
      <c r="I10607" s="4">
        <v>1.15E-2</v>
      </c>
      <c r="J10607" s="4">
        <v>1.0500000000000001E-2</v>
      </c>
      <c r="K10607" s="5" t="s">
        <v>848</v>
      </c>
    </row>
    <row r="10608" spans="1:11" x14ac:dyDescent="0.35">
      <c r="A10608" s="3" t="s">
        <v>227</v>
      </c>
      <c r="B10608" s="3" t="s">
        <v>253</v>
      </c>
      <c r="C10608" s="4">
        <v>0.12330000000000001</v>
      </c>
      <c r="D10608" s="4">
        <v>0.12330000000000001</v>
      </c>
      <c r="E10608" s="4">
        <v>1.47E-2</v>
      </c>
      <c r="F10608" s="4">
        <v>0.51149999999999995</v>
      </c>
      <c r="G10608" s="4">
        <v>0.35049999999999998</v>
      </c>
      <c r="H10608" s="5"/>
      <c r="I10608" s="5"/>
      <c r="J10608" s="5"/>
      <c r="K10608" s="5" t="s">
        <v>341</v>
      </c>
    </row>
    <row r="10609" spans="1:11" x14ac:dyDescent="0.35">
      <c r="A10609" t="s">
        <v>228</v>
      </c>
      <c r="B10609" t="s">
        <v>228</v>
      </c>
      <c r="C10609" s="2">
        <v>0.63229999999999997</v>
      </c>
      <c r="D10609" s="2">
        <v>0.2006</v>
      </c>
      <c r="E10609" s="2">
        <v>9.1700000000000004E-2</v>
      </c>
      <c r="F10609" s="2">
        <v>6.2600000000000003E-2</v>
      </c>
      <c r="G10609" s="2">
        <v>3.4299999999999997E-2</v>
      </c>
      <c r="H10609" s="2">
        <v>8.0000000000000002E-3</v>
      </c>
      <c r="I10609" s="2">
        <v>4.0000000000000001E-3</v>
      </c>
      <c r="J10609" s="2">
        <v>3.5999999999999999E-3</v>
      </c>
      <c r="K10609">
        <v>48</v>
      </c>
    </row>
    <row r="10611" spans="1:11" x14ac:dyDescent="0.35">
      <c r="A10611" s="1" t="s">
        <v>2456</v>
      </c>
    </row>
    <row r="10612" spans="1:11" x14ac:dyDescent="0.35">
      <c r="A10612" t="s">
        <v>219</v>
      </c>
      <c r="B10612" t="s">
        <v>301</v>
      </c>
      <c r="C10612" t="s">
        <v>2439</v>
      </c>
      <c r="D10612" t="s">
        <v>2440</v>
      </c>
      <c r="E10612" t="s">
        <v>2441</v>
      </c>
      <c r="F10612" t="s">
        <v>2442</v>
      </c>
      <c r="G10612" t="s">
        <v>282</v>
      </c>
      <c r="H10612" t="s">
        <v>318</v>
      </c>
      <c r="I10612" t="s">
        <v>2443</v>
      </c>
      <c r="J10612" t="s">
        <v>2444</v>
      </c>
      <c r="K10612" t="s">
        <v>226</v>
      </c>
    </row>
    <row r="10613" spans="1:11" x14ac:dyDescent="0.35">
      <c r="A10613" s="3" t="s">
        <v>227</v>
      </c>
      <c r="B10613" s="3" t="s">
        <v>1335</v>
      </c>
      <c r="C10613" s="4">
        <v>0.79610000000000003</v>
      </c>
      <c r="D10613" s="4">
        <v>0.15329999999999999</v>
      </c>
      <c r="E10613" s="5"/>
      <c r="F10613" s="4">
        <v>3.6400000000000002E-2</v>
      </c>
      <c r="G10613" s="5"/>
      <c r="H10613" s="4">
        <v>3.09E-2</v>
      </c>
      <c r="I10613" s="5"/>
      <c r="J10613" s="5"/>
      <c r="K10613" s="5" t="s">
        <v>423</v>
      </c>
    </row>
    <row r="10614" spans="1:11" x14ac:dyDescent="0.35">
      <c r="A10614" t="s">
        <v>227</v>
      </c>
      <c r="B10614" t="s">
        <v>1337</v>
      </c>
      <c r="C10614" s="2">
        <v>0.57509999999999994</v>
      </c>
      <c r="D10614" s="2">
        <v>0.21709999999999999</v>
      </c>
      <c r="E10614" s="2">
        <v>0.12379999999999999</v>
      </c>
      <c r="F10614" s="2">
        <v>7.17E-2</v>
      </c>
      <c r="G10614" s="2">
        <v>4.6199999999999998E-2</v>
      </c>
      <c r="I10614" s="2">
        <v>5.4000000000000003E-3</v>
      </c>
      <c r="J10614" s="2">
        <v>4.8999999999999998E-3</v>
      </c>
      <c r="K10614">
        <v>34</v>
      </c>
    </row>
    <row r="10615" spans="1:11" x14ac:dyDescent="0.35">
      <c r="A10615" t="s">
        <v>228</v>
      </c>
      <c r="B10615" t="s">
        <v>228</v>
      </c>
      <c r="C10615" s="2">
        <v>0.63229999999999997</v>
      </c>
      <c r="D10615" s="2">
        <v>0.2006</v>
      </c>
      <c r="E10615" s="2">
        <v>9.1700000000000004E-2</v>
      </c>
      <c r="F10615" s="2">
        <v>6.2600000000000003E-2</v>
      </c>
      <c r="G10615" s="2">
        <v>3.4299999999999997E-2</v>
      </c>
      <c r="H10615" s="2">
        <v>8.0000000000000002E-3</v>
      </c>
      <c r="I10615" s="2">
        <v>4.0000000000000001E-3</v>
      </c>
      <c r="J10615" s="2">
        <v>3.5999999999999999E-3</v>
      </c>
      <c r="K10615">
        <v>48</v>
      </c>
    </row>
    <row r="10617" spans="1:11" x14ac:dyDescent="0.35">
      <c r="A10617" s="1" t="s">
        <v>2457</v>
      </c>
    </row>
    <row r="10618" spans="1:11" x14ac:dyDescent="0.35">
      <c r="A10618" t="s">
        <v>219</v>
      </c>
      <c r="B10618" t="s">
        <v>301</v>
      </c>
      <c r="C10618" t="s">
        <v>2439</v>
      </c>
      <c r="D10618" t="s">
        <v>2440</v>
      </c>
      <c r="E10618" t="s">
        <v>2441</v>
      </c>
      <c r="F10618" t="s">
        <v>2442</v>
      </c>
      <c r="G10618" t="s">
        <v>282</v>
      </c>
      <c r="H10618" t="s">
        <v>318</v>
      </c>
      <c r="I10618" t="s">
        <v>2443</v>
      </c>
      <c r="J10618" t="s">
        <v>2444</v>
      </c>
      <c r="K10618" t="s">
        <v>226</v>
      </c>
    </row>
    <row r="10619" spans="1:11" x14ac:dyDescent="0.35">
      <c r="A10619" s="3" t="s">
        <v>227</v>
      </c>
      <c r="B10619" s="3" t="s">
        <v>1340</v>
      </c>
      <c r="C10619" s="4">
        <v>0.40639999999999998</v>
      </c>
      <c r="D10619" s="4">
        <v>0.48430000000000001</v>
      </c>
      <c r="E10619" s="4">
        <v>7.6E-3</v>
      </c>
      <c r="F10619" s="4">
        <v>5.5E-2</v>
      </c>
      <c r="G10619" s="5"/>
      <c r="H10619" s="4">
        <v>4.6699999999999998E-2</v>
      </c>
      <c r="I10619" s="5"/>
      <c r="J10619" s="5"/>
      <c r="K10619" s="5" t="s">
        <v>326</v>
      </c>
    </row>
    <row r="10620" spans="1:11" x14ac:dyDescent="0.35">
      <c r="A10620" s="3" t="s">
        <v>227</v>
      </c>
      <c r="B10620" s="3" t="s">
        <v>1341</v>
      </c>
      <c r="C10620" s="4">
        <v>0.6895</v>
      </c>
      <c r="D10620" s="4">
        <v>0.16639999999999999</v>
      </c>
      <c r="E10620" s="4">
        <v>9.2200000000000004E-2</v>
      </c>
      <c r="F10620" s="4">
        <v>8.8999999999999996E-2</v>
      </c>
      <c r="G10620" s="5"/>
      <c r="H10620" s="5"/>
      <c r="I10620" s="5"/>
      <c r="J10620" s="4">
        <v>6.1000000000000004E-3</v>
      </c>
      <c r="K10620" s="5" t="s">
        <v>432</v>
      </c>
    </row>
    <row r="10621" spans="1:11" x14ac:dyDescent="0.35">
      <c r="A10621" s="3" t="s">
        <v>227</v>
      </c>
      <c r="B10621" s="3" t="s">
        <v>1342</v>
      </c>
      <c r="C10621" s="4">
        <v>0.65180000000000005</v>
      </c>
      <c r="D10621" s="4">
        <v>7.9000000000000001E-2</v>
      </c>
      <c r="E10621" s="4">
        <v>0.1527</v>
      </c>
      <c r="F10621" s="5"/>
      <c r="G10621" s="4">
        <v>0.14779999999999999</v>
      </c>
      <c r="H10621" s="5"/>
      <c r="I10621" s="4">
        <v>1.72E-2</v>
      </c>
      <c r="J10621" s="5"/>
      <c r="K10621" s="5" t="s">
        <v>321</v>
      </c>
    </row>
    <row r="10622" spans="1:11" x14ac:dyDescent="0.35">
      <c r="A10622" t="s">
        <v>228</v>
      </c>
      <c r="B10622" t="s">
        <v>228</v>
      </c>
      <c r="C10622" s="2">
        <v>0.63229999999999997</v>
      </c>
      <c r="D10622" s="2">
        <v>0.2006</v>
      </c>
      <c r="E10622" s="2">
        <v>9.1700000000000004E-2</v>
      </c>
      <c r="F10622" s="2">
        <v>6.2600000000000003E-2</v>
      </c>
      <c r="G10622" s="2">
        <v>3.4299999999999997E-2</v>
      </c>
      <c r="H10622" s="2">
        <v>8.0000000000000002E-3</v>
      </c>
      <c r="I10622" s="2">
        <v>4.0000000000000001E-3</v>
      </c>
      <c r="J10622" s="2">
        <v>3.5999999999999999E-3</v>
      </c>
      <c r="K10622">
        <v>48</v>
      </c>
    </row>
    <row r="10624" spans="1:11" x14ac:dyDescent="0.35">
      <c r="A10624" s="1" t="s">
        <v>2458</v>
      </c>
    </row>
    <row r="10625" spans="1:17" x14ac:dyDescent="0.35">
      <c r="A10625" t="s">
        <v>219</v>
      </c>
      <c r="B10625" t="s">
        <v>301</v>
      </c>
      <c r="C10625" t="s">
        <v>325</v>
      </c>
      <c r="D10625" t="s">
        <v>2439</v>
      </c>
      <c r="E10625" t="s">
        <v>2440</v>
      </c>
      <c r="F10625" t="s">
        <v>2441</v>
      </c>
      <c r="G10625" t="s">
        <v>2442</v>
      </c>
      <c r="H10625" t="s">
        <v>282</v>
      </c>
      <c r="I10625" t="s">
        <v>318</v>
      </c>
      <c r="J10625" t="s">
        <v>2443</v>
      </c>
      <c r="K10625" t="s">
        <v>2444</v>
      </c>
      <c r="L10625" t="s">
        <v>226</v>
      </c>
    </row>
    <row r="10626" spans="1:17" x14ac:dyDescent="0.35">
      <c r="A10626" s="3" t="s">
        <v>227</v>
      </c>
      <c r="B10626" s="3" t="s">
        <v>1335</v>
      </c>
      <c r="C10626" s="3" t="s">
        <v>1340</v>
      </c>
      <c r="D10626" s="4">
        <v>0.69510000000000005</v>
      </c>
      <c r="E10626" s="5"/>
      <c r="F10626" s="5"/>
      <c r="G10626" s="4">
        <v>0.16500000000000001</v>
      </c>
      <c r="H10626" s="5"/>
      <c r="I10626" s="4">
        <v>0.1399</v>
      </c>
      <c r="J10626" s="5"/>
      <c r="K10626" s="5"/>
      <c r="L10626" s="5" t="s">
        <v>341</v>
      </c>
    </row>
    <row r="10627" spans="1:17" x14ac:dyDescent="0.35">
      <c r="A10627" s="3" t="s">
        <v>227</v>
      </c>
      <c r="B10627" s="3" t="s">
        <v>1335</v>
      </c>
      <c r="C10627" s="3" t="s">
        <v>1341</v>
      </c>
      <c r="D10627" s="4">
        <v>0.76700000000000002</v>
      </c>
      <c r="E10627" s="4">
        <v>0.26450000000000001</v>
      </c>
      <c r="F10627" s="5"/>
      <c r="G10627" s="5"/>
      <c r="H10627" s="5"/>
      <c r="I10627" s="5"/>
      <c r="J10627" s="5"/>
      <c r="K10627" s="5"/>
      <c r="L10627" s="5" t="s">
        <v>437</v>
      </c>
    </row>
    <row r="10628" spans="1:17" x14ac:dyDescent="0.35">
      <c r="A10628" s="3" t="s">
        <v>227</v>
      </c>
      <c r="B10628" s="3" t="s">
        <v>1335</v>
      </c>
      <c r="C10628" s="3" t="s">
        <v>1342</v>
      </c>
      <c r="D10628" s="4">
        <v>0.9466</v>
      </c>
      <c r="E10628" s="4">
        <v>5.3400000000000003E-2</v>
      </c>
      <c r="F10628" s="5"/>
      <c r="G10628" s="5"/>
      <c r="H10628" s="5"/>
      <c r="I10628" s="5"/>
      <c r="J10628" s="5"/>
      <c r="K10628" s="5"/>
      <c r="L10628" s="5" t="s">
        <v>341</v>
      </c>
    </row>
    <row r="10629" spans="1:17" x14ac:dyDescent="0.35">
      <c r="A10629" s="3" t="s">
        <v>227</v>
      </c>
      <c r="B10629" s="3" t="s">
        <v>1337</v>
      </c>
      <c r="C10629" s="3" t="s">
        <v>1340</v>
      </c>
      <c r="D10629" s="4">
        <v>0.26200000000000001</v>
      </c>
      <c r="E10629" s="4">
        <v>0.72670000000000001</v>
      </c>
      <c r="F10629" s="4">
        <v>1.14E-2</v>
      </c>
      <c r="G10629" s="5"/>
      <c r="H10629" s="5"/>
      <c r="I10629" s="5"/>
      <c r="J10629" s="5"/>
      <c r="K10629" s="5"/>
      <c r="L10629" s="5" t="s">
        <v>341</v>
      </c>
    </row>
    <row r="10630" spans="1:17" x14ac:dyDescent="0.35">
      <c r="A10630" s="3" t="s">
        <v>227</v>
      </c>
      <c r="B10630" s="3" t="s">
        <v>1337</v>
      </c>
      <c r="C10630" s="3" t="s">
        <v>1341</v>
      </c>
      <c r="D10630" s="4">
        <v>0.66639999999999999</v>
      </c>
      <c r="E10630" s="4">
        <v>0.1371</v>
      </c>
      <c r="F10630" s="4">
        <v>0.1197</v>
      </c>
      <c r="G10630" s="4">
        <v>0.11550000000000001</v>
      </c>
      <c r="H10630" s="5"/>
      <c r="I10630" s="5"/>
      <c r="J10630" s="5"/>
      <c r="K10630" s="4">
        <v>7.9000000000000008E-3</v>
      </c>
      <c r="L10630" s="5" t="s">
        <v>1552</v>
      </c>
    </row>
    <row r="10631" spans="1:17" x14ac:dyDescent="0.35">
      <c r="A10631" s="3" t="s">
        <v>227</v>
      </c>
      <c r="B10631" s="3" t="s">
        <v>1337</v>
      </c>
      <c r="C10631" s="3" t="s">
        <v>1342</v>
      </c>
      <c r="D10631" s="4">
        <v>0.53739999999999999</v>
      </c>
      <c r="E10631" s="4">
        <v>8.8999999999999996E-2</v>
      </c>
      <c r="F10631" s="4">
        <v>0.21190000000000001</v>
      </c>
      <c r="G10631" s="5"/>
      <c r="H10631" s="4">
        <v>0.2051</v>
      </c>
      <c r="I10631" s="5"/>
      <c r="J10631" s="4">
        <v>2.3800000000000002E-2</v>
      </c>
      <c r="K10631" s="5"/>
      <c r="L10631" s="5" t="s">
        <v>515</v>
      </c>
    </row>
    <row r="10632" spans="1:17" x14ac:dyDescent="0.35">
      <c r="A10632" t="s">
        <v>228</v>
      </c>
      <c r="B10632" t="s">
        <v>228</v>
      </c>
      <c r="C10632" t="s">
        <v>228</v>
      </c>
      <c r="D10632" s="2">
        <v>0.63229999999999997</v>
      </c>
      <c r="E10632" s="2">
        <v>0.2006</v>
      </c>
      <c r="F10632" s="2">
        <v>9.1700000000000004E-2</v>
      </c>
      <c r="G10632" s="2">
        <v>6.2600000000000003E-2</v>
      </c>
      <c r="H10632" s="2">
        <v>3.4299999999999997E-2</v>
      </c>
      <c r="I10632" s="2">
        <v>8.0000000000000002E-3</v>
      </c>
      <c r="J10632" s="2">
        <v>4.0000000000000001E-3</v>
      </c>
      <c r="K10632" s="2">
        <v>3.5999999999999999E-3</v>
      </c>
      <c r="L10632">
        <v>48</v>
      </c>
    </row>
    <row r="10634" spans="1:17" x14ac:dyDescent="0.35">
      <c r="A10634" s="1" t="s">
        <v>2459</v>
      </c>
    </row>
    <row r="10635" spans="1:17" x14ac:dyDescent="0.35">
      <c r="A10635" t="s">
        <v>219</v>
      </c>
      <c r="B10635" t="s">
        <v>2460</v>
      </c>
      <c r="C10635" t="s">
        <v>2461</v>
      </c>
      <c r="D10635" t="s">
        <v>2462</v>
      </c>
      <c r="E10635" t="s">
        <v>2463</v>
      </c>
      <c r="F10635" t="s">
        <v>2464</v>
      </c>
      <c r="G10635" t="s">
        <v>2465</v>
      </c>
      <c r="H10635" t="s">
        <v>540</v>
      </c>
      <c r="I10635" t="s">
        <v>277</v>
      </c>
      <c r="J10635" t="s">
        <v>2466</v>
      </c>
      <c r="K10635" t="s">
        <v>2467</v>
      </c>
      <c r="L10635" t="s">
        <v>2468</v>
      </c>
      <c r="M10635" t="s">
        <v>2469</v>
      </c>
      <c r="N10635" t="s">
        <v>282</v>
      </c>
      <c r="O10635" t="s">
        <v>2470</v>
      </c>
      <c r="P10635" t="s">
        <v>226</v>
      </c>
    </row>
    <row r="10636" spans="1:17" x14ac:dyDescent="0.35">
      <c r="A10636" t="s">
        <v>227</v>
      </c>
      <c r="B10636" s="2">
        <v>0.39529999999999998</v>
      </c>
      <c r="C10636" s="2">
        <v>0.21199999999999999</v>
      </c>
      <c r="D10636" s="2">
        <v>0.1988</v>
      </c>
      <c r="E10636" s="2">
        <v>0.16139999999999999</v>
      </c>
      <c r="F10636" s="2">
        <v>0.15060000000000001</v>
      </c>
      <c r="G10636" s="2">
        <v>0.1434</v>
      </c>
      <c r="H10636" s="2">
        <v>0.12470000000000001</v>
      </c>
      <c r="I10636" s="2">
        <v>8.5999999999999993E-2</v>
      </c>
      <c r="J10636" s="2">
        <v>4.0599999999999997E-2</v>
      </c>
      <c r="K10636" s="2">
        <v>3.9300000000000002E-2</v>
      </c>
      <c r="L10636" s="2">
        <v>3.9199999999999999E-2</v>
      </c>
      <c r="M10636" s="2">
        <v>3.3799999999999997E-2</v>
      </c>
      <c r="N10636" s="2">
        <v>4.3E-3</v>
      </c>
      <c r="O10636" s="2">
        <v>4.0000000000000002E-4</v>
      </c>
      <c r="P10636">
        <v>2813</v>
      </c>
    </row>
    <row r="10637" spans="1:17" x14ac:dyDescent="0.35">
      <c r="A10637" t="s">
        <v>228</v>
      </c>
      <c r="B10637" s="2">
        <v>0.39529999999999998</v>
      </c>
      <c r="C10637" s="2">
        <v>0.21199999999999999</v>
      </c>
      <c r="D10637" s="2">
        <v>0.1988</v>
      </c>
      <c r="E10637" s="2">
        <v>0.16139999999999999</v>
      </c>
      <c r="F10637" s="2">
        <v>0.15060000000000001</v>
      </c>
      <c r="G10637" s="2">
        <v>0.1434</v>
      </c>
      <c r="H10637" s="2">
        <v>0.12470000000000001</v>
      </c>
      <c r="I10637" s="2">
        <v>8.5999999999999993E-2</v>
      </c>
      <c r="J10637" s="2">
        <v>4.0599999999999997E-2</v>
      </c>
      <c r="K10637" s="2">
        <v>3.9300000000000002E-2</v>
      </c>
      <c r="L10637" s="2">
        <v>3.9199999999999999E-2</v>
      </c>
      <c r="M10637" s="2">
        <v>3.3799999999999997E-2</v>
      </c>
      <c r="N10637" s="2">
        <v>4.3E-3</v>
      </c>
      <c r="O10637" s="2">
        <v>4.0000000000000002E-4</v>
      </c>
      <c r="P10637">
        <v>2813</v>
      </c>
    </row>
    <row r="10639" spans="1:17" x14ac:dyDescent="0.35">
      <c r="A10639" s="1" t="s">
        <v>2471</v>
      </c>
    </row>
    <row r="10640" spans="1:17" x14ac:dyDescent="0.35">
      <c r="A10640" t="s">
        <v>219</v>
      </c>
      <c r="B10640" t="s">
        <v>301</v>
      </c>
      <c r="C10640" t="s">
        <v>2460</v>
      </c>
      <c r="D10640" t="s">
        <v>2461</v>
      </c>
      <c r="E10640" t="s">
        <v>2462</v>
      </c>
      <c r="F10640" t="s">
        <v>2463</v>
      </c>
      <c r="G10640" t="s">
        <v>2464</v>
      </c>
      <c r="H10640" t="s">
        <v>2465</v>
      </c>
      <c r="I10640" t="s">
        <v>540</v>
      </c>
      <c r="J10640" t="s">
        <v>277</v>
      </c>
      <c r="K10640" t="s">
        <v>2466</v>
      </c>
      <c r="L10640" t="s">
        <v>2467</v>
      </c>
      <c r="M10640" t="s">
        <v>2468</v>
      </c>
      <c r="N10640" t="s">
        <v>2469</v>
      </c>
      <c r="O10640" t="s">
        <v>282</v>
      </c>
      <c r="P10640" t="s">
        <v>2470</v>
      </c>
      <c r="Q10640" t="s">
        <v>226</v>
      </c>
    </row>
    <row r="10641" spans="1:17" x14ac:dyDescent="0.35">
      <c r="A10641" t="s">
        <v>227</v>
      </c>
      <c r="B10641" t="s">
        <v>238</v>
      </c>
      <c r="C10641" s="2">
        <v>0.36809999999999998</v>
      </c>
      <c r="D10641" s="2">
        <v>0.22589999999999999</v>
      </c>
      <c r="E10641" s="2">
        <v>0.16800000000000001</v>
      </c>
      <c r="F10641" s="2">
        <v>0.16930000000000001</v>
      </c>
      <c r="G10641" s="2">
        <v>0.1285</v>
      </c>
      <c r="H10641" s="2">
        <v>0.1925</v>
      </c>
      <c r="I10641" s="2">
        <v>0.151</v>
      </c>
      <c r="J10641" s="2">
        <v>5.9799999999999999E-2</v>
      </c>
      <c r="K10641" s="2">
        <v>5.5399999999999998E-2</v>
      </c>
      <c r="L10641" s="2">
        <v>3.15E-2</v>
      </c>
      <c r="M10641" s="2">
        <v>3.7400000000000003E-2</v>
      </c>
      <c r="N10641" s="2">
        <v>2.23E-2</v>
      </c>
      <c r="O10641" s="2">
        <v>5.0000000000000001E-4</v>
      </c>
      <c r="P10641" s="2">
        <v>1E-3</v>
      </c>
      <c r="Q10641">
        <v>1005</v>
      </c>
    </row>
    <row r="10642" spans="1:17" x14ac:dyDescent="0.35">
      <c r="A10642" t="s">
        <v>227</v>
      </c>
      <c r="B10642" t="s">
        <v>237</v>
      </c>
      <c r="C10642" s="2">
        <v>0.41110000000000002</v>
      </c>
      <c r="D10642" s="2">
        <v>0.20380000000000001</v>
      </c>
      <c r="E10642" s="2">
        <v>0.21679999999999999</v>
      </c>
      <c r="F10642" s="2">
        <v>0.15690000000000001</v>
      </c>
      <c r="G10642" s="2">
        <v>0.16350000000000001</v>
      </c>
      <c r="H10642" s="2">
        <v>0.1148</v>
      </c>
      <c r="I10642" s="2">
        <v>0.1094</v>
      </c>
      <c r="J10642" s="2">
        <v>0.1013</v>
      </c>
      <c r="K10642" s="2">
        <v>3.2000000000000001E-2</v>
      </c>
      <c r="L10642" s="2">
        <v>4.3799999999999999E-2</v>
      </c>
      <c r="M10642" s="2">
        <v>4.02E-2</v>
      </c>
      <c r="N10642" s="2">
        <v>4.0500000000000001E-2</v>
      </c>
      <c r="O10642" s="2">
        <v>6.4999999999999997E-3</v>
      </c>
      <c r="Q10642">
        <v>1808</v>
      </c>
    </row>
    <row r="10643" spans="1:17" x14ac:dyDescent="0.35">
      <c r="A10643" t="s">
        <v>228</v>
      </c>
      <c r="B10643" t="s">
        <v>228</v>
      </c>
      <c r="C10643" s="2">
        <v>0.39529999999999998</v>
      </c>
      <c r="D10643" s="2">
        <v>0.21199999999999999</v>
      </c>
      <c r="E10643" s="2">
        <v>0.1988</v>
      </c>
      <c r="F10643" s="2">
        <v>0.16139999999999999</v>
      </c>
      <c r="G10643" s="2">
        <v>0.15060000000000001</v>
      </c>
      <c r="H10643" s="2">
        <v>0.1434</v>
      </c>
      <c r="I10643" s="2">
        <v>0.12470000000000001</v>
      </c>
      <c r="J10643" s="2">
        <v>8.5999999999999993E-2</v>
      </c>
      <c r="K10643" s="2">
        <v>4.0599999999999997E-2</v>
      </c>
      <c r="L10643" s="2">
        <v>3.9300000000000002E-2</v>
      </c>
      <c r="M10643" s="2">
        <v>3.9199999999999999E-2</v>
      </c>
      <c r="N10643" s="2">
        <v>3.3799999999999997E-2</v>
      </c>
      <c r="O10643" s="2">
        <v>4.3E-3</v>
      </c>
      <c r="P10643" s="2">
        <v>4.0000000000000002E-4</v>
      </c>
      <c r="Q10643">
        <v>2813</v>
      </c>
    </row>
    <row r="10645" spans="1:17" x14ac:dyDescent="0.35">
      <c r="A10645" s="1" t="s">
        <v>2472</v>
      </c>
    </row>
    <row r="10646" spans="1:17" x14ac:dyDescent="0.35">
      <c r="A10646" t="s">
        <v>219</v>
      </c>
      <c r="B10646" t="s">
        <v>301</v>
      </c>
      <c r="C10646" t="s">
        <v>2460</v>
      </c>
      <c r="D10646" t="s">
        <v>2461</v>
      </c>
      <c r="E10646" t="s">
        <v>2462</v>
      </c>
      <c r="F10646" t="s">
        <v>2463</v>
      </c>
      <c r="G10646" t="s">
        <v>2464</v>
      </c>
      <c r="H10646" t="s">
        <v>2465</v>
      </c>
      <c r="I10646" t="s">
        <v>540</v>
      </c>
      <c r="J10646" t="s">
        <v>277</v>
      </c>
      <c r="K10646" t="s">
        <v>2466</v>
      </c>
      <c r="L10646" t="s">
        <v>2467</v>
      </c>
      <c r="M10646" t="s">
        <v>2468</v>
      </c>
      <c r="N10646" t="s">
        <v>2469</v>
      </c>
      <c r="O10646" t="s">
        <v>282</v>
      </c>
      <c r="P10646" t="s">
        <v>2470</v>
      </c>
      <c r="Q10646" t="s">
        <v>226</v>
      </c>
    </row>
    <row r="10647" spans="1:17" x14ac:dyDescent="0.35">
      <c r="A10647" t="s">
        <v>227</v>
      </c>
      <c r="B10647" t="s">
        <v>235</v>
      </c>
      <c r="C10647" s="2">
        <v>0.32929999999999998</v>
      </c>
      <c r="D10647" s="2">
        <v>0.2331</v>
      </c>
      <c r="E10647" s="2">
        <v>0.16830000000000001</v>
      </c>
      <c r="F10647" s="2">
        <v>0.16189999999999999</v>
      </c>
      <c r="G10647" s="2">
        <v>8.4500000000000006E-2</v>
      </c>
      <c r="H10647" s="2">
        <v>0.1724</v>
      </c>
      <c r="I10647" s="2">
        <v>0.1268</v>
      </c>
      <c r="J10647" s="2">
        <v>9.0399999999999994E-2</v>
      </c>
      <c r="K10647" s="2">
        <v>3.2800000000000003E-2</v>
      </c>
      <c r="L10647" s="2">
        <v>3.0300000000000001E-2</v>
      </c>
      <c r="M10647" s="2">
        <v>2.6499999999999999E-2</v>
      </c>
      <c r="N10647" s="2">
        <v>1.77E-2</v>
      </c>
      <c r="O10647" s="2">
        <v>7.1000000000000004E-3</v>
      </c>
      <c r="Q10647">
        <v>992</v>
      </c>
    </row>
    <row r="10648" spans="1:17" x14ac:dyDescent="0.35">
      <c r="A10648" t="s">
        <v>227</v>
      </c>
      <c r="B10648" t="s">
        <v>234</v>
      </c>
      <c r="C10648" s="2">
        <v>0.4229</v>
      </c>
      <c r="D10648" s="2">
        <v>0.2031</v>
      </c>
      <c r="E10648" s="2">
        <v>0.21160000000000001</v>
      </c>
      <c r="F10648" s="2">
        <v>0.16120000000000001</v>
      </c>
      <c r="G10648" s="2">
        <v>0.17829999999999999</v>
      </c>
      <c r="H10648" s="2">
        <v>0.1313</v>
      </c>
      <c r="I10648" s="2">
        <v>0.12379999999999999</v>
      </c>
      <c r="J10648" s="2">
        <v>8.4199999999999997E-2</v>
      </c>
      <c r="K10648" s="2">
        <v>4.3900000000000002E-2</v>
      </c>
      <c r="L10648" s="2">
        <v>4.3099999999999999E-2</v>
      </c>
      <c r="M10648" s="2">
        <v>4.4499999999999998E-2</v>
      </c>
      <c r="N10648" s="2">
        <v>4.0500000000000001E-2</v>
      </c>
      <c r="O10648" s="2">
        <v>3.0999999999999999E-3</v>
      </c>
      <c r="P10648" s="2">
        <v>5.0000000000000001E-4</v>
      </c>
      <c r="Q10648">
        <v>1821</v>
      </c>
    </row>
    <row r="10649" spans="1:17" x14ac:dyDescent="0.35">
      <c r="A10649" t="s">
        <v>228</v>
      </c>
      <c r="B10649" t="s">
        <v>228</v>
      </c>
      <c r="C10649" s="2">
        <v>0.39529999999999998</v>
      </c>
      <c r="D10649" s="2">
        <v>0.21199999999999999</v>
      </c>
      <c r="E10649" s="2">
        <v>0.1988</v>
      </c>
      <c r="F10649" s="2">
        <v>0.16139999999999999</v>
      </c>
      <c r="G10649" s="2">
        <v>0.15060000000000001</v>
      </c>
      <c r="H10649" s="2">
        <v>0.1434</v>
      </c>
      <c r="I10649" s="2">
        <v>0.12470000000000001</v>
      </c>
      <c r="J10649" s="2">
        <v>8.5999999999999993E-2</v>
      </c>
      <c r="K10649" s="2">
        <v>4.0599999999999997E-2</v>
      </c>
      <c r="L10649" s="2">
        <v>3.9300000000000002E-2</v>
      </c>
      <c r="M10649" s="2">
        <v>3.9199999999999999E-2</v>
      </c>
      <c r="N10649" s="2">
        <v>3.3799999999999997E-2</v>
      </c>
      <c r="O10649" s="2">
        <v>4.3E-3</v>
      </c>
      <c r="P10649" s="2">
        <v>4.0000000000000002E-4</v>
      </c>
      <c r="Q10649">
        <v>2813</v>
      </c>
    </row>
    <row r="10651" spans="1:17" x14ac:dyDescent="0.35">
      <c r="A10651" s="1" t="s">
        <v>2473</v>
      </c>
    </row>
    <row r="10652" spans="1:17" x14ac:dyDescent="0.35">
      <c r="A10652" t="s">
        <v>219</v>
      </c>
      <c r="B10652" t="s">
        <v>301</v>
      </c>
      <c r="C10652" t="s">
        <v>2460</v>
      </c>
      <c r="D10652" t="s">
        <v>2461</v>
      </c>
      <c r="E10652" t="s">
        <v>2462</v>
      </c>
      <c r="F10652" t="s">
        <v>2463</v>
      </c>
      <c r="G10652" t="s">
        <v>2464</v>
      </c>
      <c r="H10652" t="s">
        <v>2465</v>
      </c>
      <c r="I10652" t="s">
        <v>540</v>
      </c>
      <c r="J10652" t="s">
        <v>277</v>
      </c>
      <c r="K10652" t="s">
        <v>2466</v>
      </c>
      <c r="L10652" t="s">
        <v>2467</v>
      </c>
      <c r="M10652" t="s">
        <v>2468</v>
      </c>
      <c r="N10652" t="s">
        <v>2469</v>
      </c>
      <c r="O10652" t="s">
        <v>282</v>
      </c>
      <c r="P10652" t="s">
        <v>2470</v>
      </c>
      <c r="Q10652" t="s">
        <v>226</v>
      </c>
    </row>
    <row r="10653" spans="1:17" x14ac:dyDescent="0.35">
      <c r="A10653" t="s">
        <v>227</v>
      </c>
      <c r="B10653" t="s">
        <v>240</v>
      </c>
      <c r="C10653" s="2">
        <v>0.41289999999999999</v>
      </c>
      <c r="D10653" s="2">
        <v>0.21490000000000001</v>
      </c>
      <c r="E10653" s="2">
        <v>0.22409999999999999</v>
      </c>
      <c r="F10653" s="2">
        <v>0.1724</v>
      </c>
      <c r="G10653" s="2">
        <v>0.16589999999999999</v>
      </c>
      <c r="H10653" s="2">
        <v>0.1343</v>
      </c>
      <c r="I10653" s="2">
        <v>0.108</v>
      </c>
      <c r="J10653" s="2">
        <v>7.5800000000000006E-2</v>
      </c>
      <c r="K10653" s="2">
        <v>4.3999999999999997E-2</v>
      </c>
      <c r="L10653" s="2">
        <v>4.4600000000000001E-2</v>
      </c>
      <c r="M10653" s="2">
        <v>4.8000000000000001E-2</v>
      </c>
      <c r="N10653" s="2">
        <v>3.2000000000000001E-2</v>
      </c>
      <c r="O10653" s="2">
        <v>3.8999999999999998E-3</v>
      </c>
      <c r="Q10653">
        <v>1756</v>
      </c>
    </row>
    <row r="10654" spans="1:17" x14ac:dyDescent="0.35">
      <c r="A10654" t="s">
        <v>227</v>
      </c>
      <c r="B10654" t="s">
        <v>241</v>
      </c>
      <c r="C10654" s="2">
        <v>0.32740000000000002</v>
      </c>
      <c r="D10654" s="2">
        <v>0.20300000000000001</v>
      </c>
      <c r="E10654" s="2">
        <v>0.14849999999999999</v>
      </c>
      <c r="F10654" s="2">
        <v>0.1389</v>
      </c>
      <c r="G10654" s="2">
        <v>0.1215</v>
      </c>
      <c r="H10654" s="2">
        <v>0.1502</v>
      </c>
      <c r="I10654" s="2">
        <v>0.16919999999999999</v>
      </c>
      <c r="J10654" s="2">
        <v>0.11749999999999999</v>
      </c>
      <c r="K10654" s="2">
        <v>3.9699999999999999E-2</v>
      </c>
      <c r="L10654" s="2">
        <v>3.3099999999999997E-2</v>
      </c>
      <c r="M10654" s="2">
        <v>2.87E-2</v>
      </c>
      <c r="N10654" s="2">
        <v>4.02E-2</v>
      </c>
      <c r="O10654" s="2">
        <v>6.1999999999999998E-3</v>
      </c>
      <c r="P10654" s="2">
        <v>1.2999999999999999E-3</v>
      </c>
      <c r="Q10654">
        <v>891</v>
      </c>
    </row>
    <row r="10655" spans="1:17" x14ac:dyDescent="0.35">
      <c r="A10655" t="s">
        <v>227</v>
      </c>
      <c r="B10655" t="s">
        <v>242</v>
      </c>
      <c r="C10655" s="2">
        <v>0.5272</v>
      </c>
      <c r="D10655" s="2">
        <v>0.2238</v>
      </c>
      <c r="E10655" s="2">
        <v>0.17810000000000001</v>
      </c>
      <c r="F10655" s="2">
        <v>0.15540000000000001</v>
      </c>
      <c r="G10655" s="2">
        <v>0.1321</v>
      </c>
      <c r="H10655" s="2">
        <v>0.2014</v>
      </c>
      <c r="I10655" s="2">
        <v>8.7599999999999997E-2</v>
      </c>
      <c r="J10655" s="2">
        <v>4.4999999999999998E-2</v>
      </c>
      <c r="K10655" s="2">
        <v>1.18E-2</v>
      </c>
      <c r="L10655" s="2">
        <v>1.55E-2</v>
      </c>
      <c r="N10655" s="2">
        <v>2.24E-2</v>
      </c>
      <c r="O10655" s="2">
        <v>4.0000000000000002E-4</v>
      </c>
      <c r="Q10655">
        <v>166</v>
      </c>
    </row>
    <row r="10656" spans="1:17" x14ac:dyDescent="0.35">
      <c r="A10656" t="s">
        <v>228</v>
      </c>
      <c r="B10656" t="s">
        <v>228</v>
      </c>
      <c r="C10656" s="2">
        <v>0.39529999999999998</v>
      </c>
      <c r="D10656" s="2">
        <v>0.21199999999999999</v>
      </c>
      <c r="E10656" s="2">
        <v>0.1988</v>
      </c>
      <c r="F10656" s="2">
        <v>0.16139999999999999</v>
      </c>
      <c r="G10656" s="2">
        <v>0.15060000000000001</v>
      </c>
      <c r="H10656" s="2">
        <v>0.1434</v>
      </c>
      <c r="I10656" s="2">
        <v>0.12470000000000001</v>
      </c>
      <c r="J10656" s="2">
        <v>8.5999999999999993E-2</v>
      </c>
      <c r="K10656" s="2">
        <v>4.0599999999999997E-2</v>
      </c>
      <c r="L10656" s="2">
        <v>3.9300000000000002E-2</v>
      </c>
      <c r="M10656" s="2">
        <v>3.9199999999999999E-2</v>
      </c>
      <c r="N10656" s="2">
        <v>3.3799999999999997E-2</v>
      </c>
      <c r="O10656" s="2">
        <v>4.3E-3</v>
      </c>
      <c r="P10656" s="2">
        <v>4.0000000000000002E-4</v>
      </c>
      <c r="Q10656">
        <v>2813</v>
      </c>
    </row>
    <row r="10658" spans="1:17" x14ac:dyDescent="0.35">
      <c r="A10658" s="1" t="s">
        <v>2474</v>
      </c>
    </row>
    <row r="10659" spans="1:17" x14ac:dyDescent="0.35">
      <c r="A10659" t="s">
        <v>219</v>
      </c>
      <c r="B10659" t="s">
        <v>301</v>
      </c>
      <c r="C10659" t="s">
        <v>2460</v>
      </c>
      <c r="D10659" t="s">
        <v>2461</v>
      </c>
      <c r="E10659" t="s">
        <v>2462</v>
      </c>
      <c r="F10659" t="s">
        <v>2463</v>
      </c>
      <c r="G10659" t="s">
        <v>2464</v>
      </c>
      <c r="H10659" t="s">
        <v>2465</v>
      </c>
      <c r="I10659" t="s">
        <v>540</v>
      </c>
      <c r="J10659" t="s">
        <v>277</v>
      </c>
      <c r="K10659" t="s">
        <v>2466</v>
      </c>
      <c r="L10659" t="s">
        <v>2467</v>
      </c>
      <c r="M10659" t="s">
        <v>2468</v>
      </c>
      <c r="N10659" t="s">
        <v>2469</v>
      </c>
      <c r="O10659" t="s">
        <v>282</v>
      </c>
      <c r="P10659" t="s">
        <v>2470</v>
      </c>
      <c r="Q10659" t="s">
        <v>226</v>
      </c>
    </row>
    <row r="10660" spans="1:17" x14ac:dyDescent="0.35">
      <c r="A10660" t="s">
        <v>227</v>
      </c>
      <c r="B10660" t="s">
        <v>334</v>
      </c>
      <c r="C10660" s="2">
        <v>0.28699999999999998</v>
      </c>
      <c r="D10660" s="2">
        <v>0.19500000000000001</v>
      </c>
      <c r="E10660" s="2">
        <v>0.1143</v>
      </c>
      <c r="F10660" s="2">
        <v>0.161</v>
      </c>
      <c r="G10660" s="2">
        <v>5.8900000000000001E-2</v>
      </c>
      <c r="H10660" s="2">
        <v>0.1588</v>
      </c>
      <c r="I10660" s="2">
        <v>0.1489</v>
      </c>
      <c r="J10660" s="2">
        <v>0.13919999999999999</v>
      </c>
      <c r="K10660" s="2">
        <v>2.63E-2</v>
      </c>
      <c r="L10660" s="2">
        <v>4.3499999999999997E-2</v>
      </c>
      <c r="M10660" s="2">
        <v>1.67E-2</v>
      </c>
      <c r="N10660" s="2">
        <v>1.6299999999999999E-2</v>
      </c>
      <c r="O10660" s="2">
        <v>1.5E-3</v>
      </c>
      <c r="Q10660">
        <v>625</v>
      </c>
    </row>
    <row r="10661" spans="1:17" x14ac:dyDescent="0.35">
      <c r="A10661" t="s">
        <v>227</v>
      </c>
      <c r="B10661" t="s">
        <v>335</v>
      </c>
      <c r="C10661" s="2">
        <v>0.48599999999999999</v>
      </c>
      <c r="D10661" s="2">
        <v>0.22239999999999999</v>
      </c>
      <c r="E10661" s="2">
        <v>0.29089999999999999</v>
      </c>
      <c r="F10661" s="2">
        <v>0.17680000000000001</v>
      </c>
      <c r="G10661" s="2">
        <v>0.2354</v>
      </c>
      <c r="H10661" s="2">
        <v>9.0200000000000002E-2</v>
      </c>
      <c r="I10661" s="2">
        <v>0.1014</v>
      </c>
      <c r="J10661" s="2">
        <v>5.9799999999999999E-2</v>
      </c>
      <c r="K10661" s="2">
        <v>7.1199999999999999E-2</v>
      </c>
      <c r="L10661" s="2">
        <v>3.7999999999999999E-2</v>
      </c>
      <c r="M10661" s="2">
        <v>6.2E-2</v>
      </c>
      <c r="N10661" s="2">
        <v>4.8099999999999997E-2</v>
      </c>
      <c r="P10661" s="2">
        <v>1.2999999999999999E-3</v>
      </c>
      <c r="Q10661">
        <v>628</v>
      </c>
    </row>
    <row r="10662" spans="1:17" x14ac:dyDescent="0.35">
      <c r="A10662" t="s">
        <v>227</v>
      </c>
      <c r="B10662" t="s">
        <v>336</v>
      </c>
      <c r="C10662" s="2">
        <v>0.34870000000000001</v>
      </c>
      <c r="D10662" s="2">
        <v>0.18859999999999999</v>
      </c>
      <c r="E10662" s="2">
        <v>0.1283</v>
      </c>
      <c r="F10662" s="2">
        <v>0.15240000000000001</v>
      </c>
      <c r="G10662" s="2">
        <v>0.1072</v>
      </c>
      <c r="H10662" s="2">
        <v>0.20680000000000001</v>
      </c>
      <c r="I10662" s="2">
        <v>0.13469999999999999</v>
      </c>
      <c r="J10662" s="2">
        <v>0.1018</v>
      </c>
      <c r="K10662" s="2">
        <v>3.1800000000000002E-2</v>
      </c>
      <c r="L10662" s="2">
        <v>5.0500000000000003E-2</v>
      </c>
      <c r="M10662" s="2">
        <v>4.4400000000000002E-2</v>
      </c>
      <c r="N10662" s="2">
        <v>1.4999999999999999E-2</v>
      </c>
      <c r="O10662" s="2">
        <v>1.7899999999999999E-2</v>
      </c>
      <c r="Q10662">
        <v>621</v>
      </c>
    </row>
    <row r="10663" spans="1:17" x14ac:dyDescent="0.35">
      <c r="A10663" t="s">
        <v>227</v>
      </c>
      <c r="B10663" t="s">
        <v>337</v>
      </c>
      <c r="C10663" s="2">
        <v>0.40839999999999999</v>
      </c>
      <c r="D10663" s="2">
        <v>0.2165</v>
      </c>
      <c r="E10663" s="2">
        <v>0.1968</v>
      </c>
      <c r="F10663" s="2">
        <v>0.15679999999999999</v>
      </c>
      <c r="G10663" s="2">
        <v>0.14630000000000001</v>
      </c>
      <c r="H10663" s="2">
        <v>0.1452</v>
      </c>
      <c r="I10663" s="2">
        <v>0.1217</v>
      </c>
      <c r="J10663" s="2">
        <v>7.2499999999999995E-2</v>
      </c>
      <c r="K10663" s="2">
        <v>2.5600000000000001E-2</v>
      </c>
      <c r="L10663" s="2">
        <v>2.3099999999999999E-2</v>
      </c>
      <c r="M10663" s="2">
        <v>2.7699999999999999E-2</v>
      </c>
      <c r="N10663" s="2">
        <v>4.82E-2</v>
      </c>
      <c r="O10663" s="2">
        <v>2.0000000000000001E-4</v>
      </c>
      <c r="Q10663">
        <v>602</v>
      </c>
    </row>
    <row r="10664" spans="1:17" x14ac:dyDescent="0.35">
      <c r="A10664" t="s">
        <v>228</v>
      </c>
      <c r="B10664" t="s">
        <v>228</v>
      </c>
      <c r="C10664" s="2">
        <v>0.39529999999999998</v>
      </c>
      <c r="D10664" s="2">
        <v>0.21199999999999999</v>
      </c>
      <c r="E10664" s="2">
        <v>0.1988</v>
      </c>
      <c r="F10664" s="2">
        <v>0.16139999999999999</v>
      </c>
      <c r="G10664" s="2">
        <v>0.15060000000000001</v>
      </c>
      <c r="H10664" s="2">
        <v>0.1434</v>
      </c>
      <c r="I10664" s="2">
        <v>0.12470000000000001</v>
      </c>
      <c r="J10664" s="2">
        <v>8.5999999999999993E-2</v>
      </c>
      <c r="K10664" s="2">
        <v>4.0599999999999997E-2</v>
      </c>
      <c r="L10664" s="2">
        <v>3.9300000000000002E-2</v>
      </c>
      <c r="M10664" s="2">
        <v>3.9199999999999999E-2</v>
      </c>
      <c r="N10664" s="2">
        <v>3.3799999999999997E-2</v>
      </c>
      <c r="O10664" s="2">
        <v>4.3E-3</v>
      </c>
      <c r="P10664" s="2">
        <v>4.0000000000000002E-4</v>
      </c>
      <c r="Q10664">
        <v>2476</v>
      </c>
    </row>
    <row r="10666" spans="1:17" x14ac:dyDescent="0.35">
      <c r="A10666" s="1" t="s">
        <v>2475</v>
      </c>
    </row>
    <row r="10667" spans="1:17" x14ac:dyDescent="0.35">
      <c r="A10667" t="s">
        <v>219</v>
      </c>
      <c r="B10667" t="s">
        <v>301</v>
      </c>
      <c r="C10667" t="s">
        <v>2460</v>
      </c>
      <c r="D10667" t="s">
        <v>2461</v>
      </c>
      <c r="E10667" t="s">
        <v>2462</v>
      </c>
      <c r="F10667" t="s">
        <v>2463</v>
      </c>
      <c r="G10667" t="s">
        <v>2464</v>
      </c>
      <c r="H10667" t="s">
        <v>2465</v>
      </c>
      <c r="I10667" t="s">
        <v>540</v>
      </c>
      <c r="J10667" t="s">
        <v>277</v>
      </c>
      <c r="K10667" t="s">
        <v>2466</v>
      </c>
      <c r="L10667" t="s">
        <v>2467</v>
      </c>
      <c r="M10667" t="s">
        <v>2468</v>
      </c>
      <c r="N10667" t="s">
        <v>2469</v>
      </c>
      <c r="O10667" t="s">
        <v>282</v>
      </c>
      <c r="P10667" t="s">
        <v>2470</v>
      </c>
      <c r="Q10667" t="s">
        <v>226</v>
      </c>
    </row>
    <row r="10668" spans="1:17" x14ac:dyDescent="0.35">
      <c r="A10668" t="s">
        <v>227</v>
      </c>
      <c r="B10668" t="s">
        <v>263</v>
      </c>
      <c r="C10668" s="2">
        <v>0.40450000000000003</v>
      </c>
      <c r="D10668" s="2">
        <v>0.22389999999999999</v>
      </c>
      <c r="E10668" s="2">
        <v>0.21049999999999999</v>
      </c>
      <c r="F10668" s="2">
        <v>0.15529999999999999</v>
      </c>
      <c r="G10668" s="2">
        <v>0.15140000000000001</v>
      </c>
      <c r="H10668" s="2">
        <v>0.14979999999999999</v>
      </c>
      <c r="I10668" s="2">
        <v>0.1201</v>
      </c>
      <c r="J10668" s="2">
        <v>9.7299999999999998E-2</v>
      </c>
      <c r="K10668" s="2">
        <v>4.3400000000000001E-2</v>
      </c>
      <c r="L10668" s="2">
        <v>3.8800000000000001E-2</v>
      </c>
      <c r="M10668" s="2">
        <v>3.78E-2</v>
      </c>
      <c r="N10668" s="2">
        <v>4.24E-2</v>
      </c>
      <c r="O10668" s="2">
        <v>9.7999999999999997E-3</v>
      </c>
      <c r="Q10668">
        <v>589</v>
      </c>
    </row>
    <row r="10669" spans="1:17" x14ac:dyDescent="0.35">
      <c r="A10669" t="s">
        <v>227</v>
      </c>
      <c r="B10669" t="s">
        <v>262</v>
      </c>
      <c r="C10669" s="2">
        <v>0.35709999999999997</v>
      </c>
      <c r="D10669" s="2">
        <v>0.18940000000000001</v>
      </c>
      <c r="E10669" s="2">
        <v>0.15679999999999999</v>
      </c>
      <c r="F10669" s="2">
        <v>0.1394</v>
      </c>
      <c r="G10669" s="2">
        <v>0.13020000000000001</v>
      </c>
      <c r="H10669" s="2">
        <v>0.1507</v>
      </c>
      <c r="I10669" s="2">
        <v>0.14419999999999999</v>
      </c>
      <c r="J10669" s="2">
        <v>0.1009</v>
      </c>
      <c r="K10669" s="2">
        <v>3.5799999999999998E-2</v>
      </c>
      <c r="L10669" s="2">
        <v>3.6499999999999998E-2</v>
      </c>
      <c r="M10669" s="2">
        <v>2.6499999999999999E-2</v>
      </c>
      <c r="N10669" s="2">
        <v>3.5000000000000003E-2</v>
      </c>
      <c r="O10669" s="2">
        <v>2.9999999999999997E-4</v>
      </c>
      <c r="P10669" s="2">
        <v>1E-3</v>
      </c>
      <c r="Q10669">
        <v>1160</v>
      </c>
    </row>
    <row r="10670" spans="1:17" x14ac:dyDescent="0.35">
      <c r="A10670" t="s">
        <v>227</v>
      </c>
      <c r="B10670" t="s">
        <v>261</v>
      </c>
      <c r="C10670" s="2">
        <v>0.4249</v>
      </c>
      <c r="D10670" s="2">
        <v>0.22320000000000001</v>
      </c>
      <c r="E10670" s="2">
        <v>0.22850000000000001</v>
      </c>
      <c r="F10670" s="2">
        <v>0.184</v>
      </c>
      <c r="G10670" s="2">
        <v>0.16689999999999999</v>
      </c>
      <c r="H10670" s="2">
        <v>0.1328</v>
      </c>
      <c r="I10670" s="2">
        <v>0.1104</v>
      </c>
      <c r="J10670" s="2">
        <v>6.7900000000000002E-2</v>
      </c>
      <c r="K10670" s="2">
        <v>4.3499999999999997E-2</v>
      </c>
      <c r="L10670" s="2">
        <v>4.2099999999999999E-2</v>
      </c>
      <c r="M10670" s="2">
        <v>5.0900000000000001E-2</v>
      </c>
      <c r="N10670" s="2">
        <v>2.86E-2</v>
      </c>
      <c r="O10670" s="2">
        <v>5.1000000000000004E-3</v>
      </c>
      <c r="Q10670">
        <v>1062</v>
      </c>
    </row>
    <row r="10671" spans="1:17" x14ac:dyDescent="0.35">
      <c r="A10671" s="3" t="s">
        <v>227</v>
      </c>
      <c r="B10671" s="3" t="s">
        <v>232</v>
      </c>
      <c r="C10671" s="5"/>
      <c r="D10671" s="4">
        <v>1</v>
      </c>
      <c r="E10671" s="4">
        <v>0.5</v>
      </c>
      <c r="F10671" s="5"/>
      <c r="G10671" s="4">
        <v>0.5</v>
      </c>
      <c r="H10671" s="4">
        <v>0.5</v>
      </c>
      <c r="I10671" s="5"/>
      <c r="J10671" s="5"/>
      <c r="K10671" s="5"/>
      <c r="L10671" s="5"/>
      <c r="M10671" s="5"/>
      <c r="N10671" s="5"/>
      <c r="O10671" s="5"/>
      <c r="P10671" s="5"/>
      <c r="Q10671" s="5" t="s">
        <v>434</v>
      </c>
    </row>
    <row r="10672" spans="1:17" x14ac:dyDescent="0.35">
      <c r="A10672" t="s">
        <v>228</v>
      </c>
      <c r="B10672" t="s">
        <v>228</v>
      </c>
      <c r="C10672" s="2">
        <v>0.39529999999999998</v>
      </c>
      <c r="D10672" s="2">
        <v>0.21199999999999999</v>
      </c>
      <c r="E10672" s="2">
        <v>0.1988</v>
      </c>
      <c r="F10672" s="2">
        <v>0.16139999999999999</v>
      </c>
      <c r="G10672" s="2">
        <v>0.15060000000000001</v>
      </c>
      <c r="H10672" s="2">
        <v>0.1434</v>
      </c>
      <c r="I10672" s="2">
        <v>0.12470000000000001</v>
      </c>
      <c r="J10672" s="2">
        <v>8.5999999999999993E-2</v>
      </c>
      <c r="K10672" s="2">
        <v>4.0599999999999997E-2</v>
      </c>
      <c r="L10672" s="2">
        <v>3.9300000000000002E-2</v>
      </c>
      <c r="M10672" s="2">
        <v>3.9199999999999999E-2</v>
      </c>
      <c r="N10672" s="2">
        <v>3.3799999999999997E-2</v>
      </c>
      <c r="O10672" s="2">
        <v>4.3E-3</v>
      </c>
      <c r="P10672" s="2">
        <v>4.0000000000000002E-4</v>
      </c>
      <c r="Q10672">
        <v>2813</v>
      </c>
    </row>
    <row r="10674" spans="1:17" x14ac:dyDescent="0.35">
      <c r="A10674" s="1" t="s">
        <v>2476</v>
      </c>
    </row>
    <row r="10675" spans="1:17" x14ac:dyDescent="0.35">
      <c r="A10675" t="s">
        <v>219</v>
      </c>
      <c r="B10675" t="s">
        <v>301</v>
      </c>
      <c r="C10675" t="s">
        <v>2460</v>
      </c>
      <c r="D10675" t="s">
        <v>2461</v>
      </c>
      <c r="E10675" t="s">
        <v>2462</v>
      </c>
      <c r="F10675" t="s">
        <v>2463</v>
      </c>
      <c r="G10675" t="s">
        <v>2464</v>
      </c>
      <c r="H10675" t="s">
        <v>2465</v>
      </c>
      <c r="I10675" t="s">
        <v>540</v>
      </c>
      <c r="J10675" t="s">
        <v>277</v>
      </c>
      <c r="K10675" t="s">
        <v>2466</v>
      </c>
      <c r="L10675" t="s">
        <v>2467</v>
      </c>
      <c r="M10675" t="s">
        <v>2468</v>
      </c>
      <c r="N10675" t="s">
        <v>2469</v>
      </c>
      <c r="O10675" t="s">
        <v>282</v>
      </c>
      <c r="P10675" t="s">
        <v>2470</v>
      </c>
      <c r="Q10675" t="s">
        <v>226</v>
      </c>
    </row>
    <row r="10676" spans="1:17" x14ac:dyDescent="0.35">
      <c r="A10676" t="s">
        <v>227</v>
      </c>
      <c r="B10676" t="s">
        <v>248</v>
      </c>
      <c r="C10676" s="2">
        <v>0.26040000000000002</v>
      </c>
      <c r="D10676" s="2">
        <v>0.19359999999999999</v>
      </c>
      <c r="E10676" s="2">
        <v>0.1072</v>
      </c>
      <c r="F10676" s="2">
        <v>0.20449999999999999</v>
      </c>
      <c r="G10676" s="2">
        <v>6.4299999999999996E-2</v>
      </c>
      <c r="H10676" s="2">
        <v>0.1447</v>
      </c>
      <c r="I10676" s="2">
        <v>0.16589999999999999</v>
      </c>
      <c r="J10676" s="2">
        <v>0.11799999999999999</v>
      </c>
      <c r="K10676" s="2">
        <v>2.75E-2</v>
      </c>
      <c r="L10676" s="2">
        <v>3.09E-2</v>
      </c>
      <c r="M10676" s="2">
        <v>2.5899999999999999E-2</v>
      </c>
      <c r="N10676" s="2">
        <v>1.8100000000000002E-2</v>
      </c>
      <c r="O10676" s="2">
        <v>1.37E-2</v>
      </c>
      <c r="Q10676">
        <v>796</v>
      </c>
    </row>
    <row r="10677" spans="1:17" x14ac:dyDescent="0.35">
      <c r="A10677" t="s">
        <v>227</v>
      </c>
      <c r="B10677" t="s">
        <v>249</v>
      </c>
      <c r="C10677" s="2">
        <v>0.3508</v>
      </c>
      <c r="D10677" s="2">
        <v>0.22470000000000001</v>
      </c>
      <c r="E10677" s="2">
        <v>0.21440000000000001</v>
      </c>
      <c r="F10677" s="2">
        <v>0.17369999999999999</v>
      </c>
      <c r="G10677" s="2">
        <v>0.13339999999999999</v>
      </c>
      <c r="H10677" s="2">
        <v>0.1726</v>
      </c>
      <c r="I10677" s="2">
        <v>0.1484</v>
      </c>
      <c r="J10677" s="2">
        <v>6.1100000000000002E-2</v>
      </c>
      <c r="K10677" s="2">
        <v>6.5000000000000002E-2</v>
      </c>
      <c r="L10677" s="2">
        <v>6.5799999999999997E-2</v>
      </c>
      <c r="M10677" s="2">
        <v>4.82E-2</v>
      </c>
      <c r="N10677" s="2">
        <v>5.1400000000000001E-2</v>
      </c>
      <c r="O10677" s="2">
        <v>1.1000000000000001E-3</v>
      </c>
      <c r="Q10677">
        <v>541</v>
      </c>
    </row>
    <row r="10678" spans="1:17" x14ac:dyDescent="0.35">
      <c r="A10678" t="s">
        <v>227</v>
      </c>
      <c r="B10678" t="s">
        <v>247</v>
      </c>
      <c r="C10678" s="2">
        <v>0.48110000000000003</v>
      </c>
      <c r="D10678" s="2">
        <v>0.21679999999999999</v>
      </c>
      <c r="E10678" s="2">
        <v>0.24049999999999999</v>
      </c>
      <c r="F10678" s="2">
        <v>0.13469999999999999</v>
      </c>
      <c r="G10678" s="2">
        <v>0.20150000000000001</v>
      </c>
      <c r="H10678" s="2">
        <v>0.1321</v>
      </c>
      <c r="I10678" s="2">
        <v>9.4700000000000006E-2</v>
      </c>
      <c r="J10678" s="2">
        <v>7.8600000000000003E-2</v>
      </c>
      <c r="K10678" s="2">
        <v>3.85E-2</v>
      </c>
      <c r="L10678" s="2">
        <v>3.4000000000000002E-2</v>
      </c>
      <c r="M10678" s="2">
        <v>4.2700000000000002E-2</v>
      </c>
      <c r="N10678" s="2">
        <v>3.5499999999999997E-2</v>
      </c>
      <c r="O10678" s="2">
        <v>5.9999999999999995E-4</v>
      </c>
      <c r="P10678" s="2">
        <v>6.9999999999999999E-4</v>
      </c>
      <c r="Q10678">
        <v>1476</v>
      </c>
    </row>
    <row r="10679" spans="1:17" x14ac:dyDescent="0.35">
      <c r="A10679" t="s">
        <v>228</v>
      </c>
      <c r="B10679" t="s">
        <v>228</v>
      </c>
      <c r="C10679" s="2">
        <v>0.39529999999999998</v>
      </c>
      <c r="D10679" s="2">
        <v>0.21199999999999999</v>
      </c>
      <c r="E10679" s="2">
        <v>0.1988</v>
      </c>
      <c r="F10679" s="2">
        <v>0.16139999999999999</v>
      </c>
      <c r="G10679" s="2">
        <v>0.15060000000000001</v>
      </c>
      <c r="H10679" s="2">
        <v>0.1434</v>
      </c>
      <c r="I10679" s="2">
        <v>0.12470000000000001</v>
      </c>
      <c r="J10679" s="2">
        <v>8.5999999999999993E-2</v>
      </c>
      <c r="K10679" s="2">
        <v>4.0599999999999997E-2</v>
      </c>
      <c r="L10679" s="2">
        <v>3.9300000000000002E-2</v>
      </c>
      <c r="M10679" s="2">
        <v>3.9199999999999999E-2</v>
      </c>
      <c r="N10679" s="2">
        <v>3.3799999999999997E-2</v>
      </c>
      <c r="O10679" s="2">
        <v>4.3E-3</v>
      </c>
      <c r="P10679" s="2">
        <v>4.0000000000000002E-4</v>
      </c>
      <c r="Q10679">
        <v>2813</v>
      </c>
    </row>
    <row r="10681" spans="1:17" x14ac:dyDescent="0.35">
      <c r="A10681" s="1" t="s">
        <v>2477</v>
      </c>
    </row>
    <row r="10682" spans="1:17" x14ac:dyDescent="0.35">
      <c r="A10682" t="s">
        <v>219</v>
      </c>
      <c r="B10682" t="s">
        <v>301</v>
      </c>
      <c r="C10682" t="s">
        <v>2460</v>
      </c>
      <c r="D10682" t="s">
        <v>2461</v>
      </c>
      <c r="E10682" t="s">
        <v>2462</v>
      </c>
      <c r="F10682" t="s">
        <v>2463</v>
      </c>
      <c r="G10682" t="s">
        <v>2464</v>
      </c>
      <c r="H10682" t="s">
        <v>2465</v>
      </c>
      <c r="I10682" t="s">
        <v>540</v>
      </c>
      <c r="J10682" t="s">
        <v>277</v>
      </c>
      <c r="K10682" t="s">
        <v>2466</v>
      </c>
      <c r="L10682" t="s">
        <v>2467</v>
      </c>
      <c r="M10682" t="s">
        <v>2468</v>
      </c>
      <c r="N10682" t="s">
        <v>2469</v>
      </c>
      <c r="O10682" t="s">
        <v>282</v>
      </c>
      <c r="P10682" t="s">
        <v>2470</v>
      </c>
      <c r="Q10682" t="s">
        <v>226</v>
      </c>
    </row>
    <row r="10683" spans="1:17" x14ac:dyDescent="0.35">
      <c r="A10683" t="s">
        <v>227</v>
      </c>
      <c r="B10683" t="s">
        <v>245</v>
      </c>
      <c r="C10683" s="2">
        <v>0.47310000000000002</v>
      </c>
      <c r="D10683" s="2">
        <v>0.22020000000000001</v>
      </c>
      <c r="E10683" s="2">
        <v>0.20960000000000001</v>
      </c>
      <c r="F10683" s="2">
        <v>0.1414</v>
      </c>
      <c r="G10683" s="2">
        <v>0.1673</v>
      </c>
      <c r="H10683" s="2">
        <v>0.13539999999999999</v>
      </c>
      <c r="I10683" s="2">
        <v>7.8100000000000003E-2</v>
      </c>
      <c r="J10683" s="2">
        <v>7.4700000000000003E-2</v>
      </c>
      <c r="K10683" s="2">
        <v>1.4800000000000001E-2</v>
      </c>
      <c r="L10683" s="2">
        <v>2.76E-2</v>
      </c>
      <c r="M10683" s="2">
        <v>2.9000000000000001E-2</v>
      </c>
      <c r="N10683" s="2">
        <v>1.7500000000000002E-2</v>
      </c>
      <c r="O10683" s="2">
        <v>5.9999999999999995E-4</v>
      </c>
      <c r="Q10683">
        <v>783</v>
      </c>
    </row>
    <row r="10684" spans="1:17" x14ac:dyDescent="0.35">
      <c r="A10684" t="s">
        <v>227</v>
      </c>
      <c r="B10684" t="s">
        <v>244</v>
      </c>
      <c r="C10684" s="2">
        <v>0.3644</v>
      </c>
      <c r="D10684" s="2">
        <v>0.2087</v>
      </c>
      <c r="E10684" s="2">
        <v>0.19450000000000001</v>
      </c>
      <c r="F10684" s="2">
        <v>0.1694</v>
      </c>
      <c r="G10684" s="2">
        <v>0.14399999999999999</v>
      </c>
      <c r="H10684" s="2">
        <v>0.14660000000000001</v>
      </c>
      <c r="I10684" s="2">
        <v>0.1431</v>
      </c>
      <c r="J10684" s="2">
        <v>9.0499999999999997E-2</v>
      </c>
      <c r="K10684" s="2">
        <v>5.0799999999999998E-2</v>
      </c>
      <c r="L10684" s="2">
        <v>4.3999999999999997E-2</v>
      </c>
      <c r="M10684" s="2">
        <v>4.3200000000000002E-2</v>
      </c>
      <c r="N10684" s="2">
        <v>4.02E-2</v>
      </c>
      <c r="O10684" s="2">
        <v>5.7999999999999996E-3</v>
      </c>
      <c r="P10684" s="2">
        <v>5.0000000000000001E-4</v>
      </c>
      <c r="Q10684">
        <v>2030</v>
      </c>
    </row>
    <row r="10685" spans="1:17" x14ac:dyDescent="0.35">
      <c r="A10685" t="s">
        <v>228</v>
      </c>
      <c r="B10685" t="s">
        <v>228</v>
      </c>
      <c r="C10685" s="2">
        <v>0.39529999999999998</v>
      </c>
      <c r="D10685" s="2">
        <v>0.21199999999999999</v>
      </c>
      <c r="E10685" s="2">
        <v>0.1988</v>
      </c>
      <c r="F10685" s="2">
        <v>0.16139999999999999</v>
      </c>
      <c r="G10685" s="2">
        <v>0.15060000000000001</v>
      </c>
      <c r="H10685" s="2">
        <v>0.1434</v>
      </c>
      <c r="I10685" s="2">
        <v>0.12470000000000001</v>
      </c>
      <c r="J10685" s="2">
        <v>8.5999999999999993E-2</v>
      </c>
      <c r="K10685" s="2">
        <v>4.0599999999999997E-2</v>
      </c>
      <c r="L10685" s="2">
        <v>3.9300000000000002E-2</v>
      </c>
      <c r="M10685" s="2">
        <v>3.9199999999999999E-2</v>
      </c>
      <c r="N10685" s="2">
        <v>3.3799999999999997E-2</v>
      </c>
      <c r="O10685" s="2">
        <v>4.3E-3</v>
      </c>
      <c r="P10685" s="2">
        <v>4.0000000000000002E-4</v>
      </c>
      <c r="Q10685">
        <v>2813</v>
      </c>
    </row>
    <row r="10687" spans="1:17" x14ac:dyDescent="0.35">
      <c r="A10687" s="1" t="s">
        <v>2478</v>
      </c>
    </row>
    <row r="10688" spans="1:17" x14ac:dyDescent="0.35">
      <c r="A10688" t="s">
        <v>219</v>
      </c>
      <c r="B10688" t="s">
        <v>301</v>
      </c>
      <c r="C10688" t="s">
        <v>2460</v>
      </c>
      <c r="D10688" t="s">
        <v>2461</v>
      </c>
      <c r="E10688" t="s">
        <v>2462</v>
      </c>
      <c r="F10688" t="s">
        <v>2463</v>
      </c>
      <c r="G10688" t="s">
        <v>2464</v>
      </c>
      <c r="H10688" t="s">
        <v>2465</v>
      </c>
      <c r="I10688" t="s">
        <v>540</v>
      </c>
      <c r="J10688" t="s">
        <v>277</v>
      </c>
      <c r="K10688" t="s">
        <v>2466</v>
      </c>
      <c r="L10688" t="s">
        <v>2467</v>
      </c>
      <c r="M10688" t="s">
        <v>2468</v>
      </c>
      <c r="N10688" t="s">
        <v>2469</v>
      </c>
      <c r="O10688" t="s">
        <v>282</v>
      </c>
      <c r="P10688" t="s">
        <v>2470</v>
      </c>
      <c r="Q10688" t="s">
        <v>226</v>
      </c>
    </row>
    <row r="10689" spans="1:17" x14ac:dyDescent="0.35">
      <c r="A10689" t="s">
        <v>227</v>
      </c>
      <c r="B10689" t="s">
        <v>259</v>
      </c>
      <c r="C10689" s="2">
        <v>0.63759999999999994</v>
      </c>
      <c r="D10689" s="2">
        <v>0.1381</v>
      </c>
      <c r="E10689" s="2">
        <v>0.15210000000000001</v>
      </c>
      <c r="F10689" s="2">
        <v>7.9200000000000007E-2</v>
      </c>
      <c r="G10689" s="2">
        <v>0.13689999999999999</v>
      </c>
      <c r="H10689" s="2">
        <v>4.6300000000000001E-2</v>
      </c>
      <c r="I10689" s="2">
        <v>7.5899999999999995E-2</v>
      </c>
      <c r="J10689" s="2">
        <v>0.11210000000000001</v>
      </c>
      <c r="L10689" s="2">
        <v>8.3999999999999995E-3</v>
      </c>
      <c r="M10689" s="2">
        <v>0.11609999999999999</v>
      </c>
      <c r="N10689" s="2">
        <v>2.3E-2</v>
      </c>
      <c r="Q10689">
        <v>69</v>
      </c>
    </row>
    <row r="10690" spans="1:17" x14ac:dyDescent="0.35">
      <c r="A10690" t="s">
        <v>227</v>
      </c>
      <c r="B10690" t="s">
        <v>257</v>
      </c>
      <c r="C10690" s="2">
        <v>0.39300000000000002</v>
      </c>
      <c r="D10690" s="2">
        <v>0.22489999999999999</v>
      </c>
      <c r="E10690" s="2">
        <v>0.13400000000000001</v>
      </c>
      <c r="F10690" s="2">
        <v>6.9199999999999998E-2</v>
      </c>
      <c r="G10690" s="2">
        <v>0.1595</v>
      </c>
      <c r="H10690" s="2">
        <v>0.19520000000000001</v>
      </c>
      <c r="I10690" s="2">
        <v>0.1138</v>
      </c>
      <c r="J10690" s="2">
        <v>6.0999999999999999E-2</v>
      </c>
      <c r="K10690" s="2">
        <v>2.4299999999999999E-2</v>
      </c>
      <c r="L10690" s="2">
        <v>2.6100000000000002E-2</v>
      </c>
      <c r="M10690" s="2">
        <v>3.1300000000000001E-2</v>
      </c>
      <c r="N10690" s="2">
        <v>1.3299999999999999E-2</v>
      </c>
      <c r="O10690" s="2">
        <v>2.9999999999999997E-4</v>
      </c>
      <c r="Q10690">
        <v>405</v>
      </c>
    </row>
    <row r="10691" spans="1:17" x14ac:dyDescent="0.35">
      <c r="A10691" t="s">
        <v>227</v>
      </c>
      <c r="B10691" t="s">
        <v>256</v>
      </c>
      <c r="C10691" s="2">
        <v>0.36259999999999998</v>
      </c>
      <c r="D10691" s="2">
        <v>0.1915</v>
      </c>
      <c r="E10691" s="2">
        <v>0.1981</v>
      </c>
      <c r="F10691" s="2">
        <v>0.18559999999999999</v>
      </c>
      <c r="G10691" s="2">
        <v>0.13550000000000001</v>
      </c>
      <c r="H10691" s="2">
        <v>0.13109999999999999</v>
      </c>
      <c r="I10691" s="2">
        <v>0.13650000000000001</v>
      </c>
      <c r="J10691" s="2">
        <v>9.5000000000000001E-2</v>
      </c>
      <c r="K10691" s="2">
        <v>4.6199999999999998E-2</v>
      </c>
      <c r="L10691" s="2">
        <v>3.8300000000000001E-2</v>
      </c>
      <c r="M10691" s="2">
        <v>3.6299999999999999E-2</v>
      </c>
      <c r="N10691" s="2">
        <v>3.2500000000000001E-2</v>
      </c>
      <c r="O10691" s="2">
        <v>6.0000000000000001E-3</v>
      </c>
      <c r="P10691" s="2">
        <v>5.9999999999999995E-4</v>
      </c>
      <c r="Q10691">
        <v>1803</v>
      </c>
    </row>
    <row r="10692" spans="1:17" x14ac:dyDescent="0.35">
      <c r="A10692" s="3" t="s">
        <v>227</v>
      </c>
      <c r="B10692" s="3" t="s">
        <v>232</v>
      </c>
      <c r="C10692" s="4">
        <v>0.32869999999999999</v>
      </c>
      <c r="D10692" s="4">
        <v>6.7599999999999993E-2</v>
      </c>
      <c r="E10692" s="4">
        <v>0.1822</v>
      </c>
      <c r="F10692" s="5"/>
      <c r="G10692" s="4">
        <v>0.18729999999999999</v>
      </c>
      <c r="H10692" s="4">
        <v>0.1583</v>
      </c>
      <c r="I10692" s="4">
        <v>0.58940000000000003</v>
      </c>
      <c r="J10692" s="4">
        <v>5.7500000000000002E-2</v>
      </c>
      <c r="K10692" s="5"/>
      <c r="L10692" s="5"/>
      <c r="M10692" s="5"/>
      <c r="N10692" s="5"/>
      <c r="O10692" s="5"/>
      <c r="P10692" s="5"/>
      <c r="Q10692" s="5" t="s">
        <v>307</v>
      </c>
    </row>
    <row r="10693" spans="1:17" x14ac:dyDescent="0.35">
      <c r="A10693" t="s">
        <v>227</v>
      </c>
      <c r="B10693" t="s">
        <v>258</v>
      </c>
      <c r="C10693" s="2">
        <v>0.51849999999999996</v>
      </c>
      <c r="D10693" s="2">
        <v>0.29959999999999998</v>
      </c>
      <c r="E10693" s="2">
        <v>0.28220000000000001</v>
      </c>
      <c r="F10693" s="2">
        <v>0.1699</v>
      </c>
      <c r="G10693" s="2">
        <v>0.20979999999999999</v>
      </c>
      <c r="H10693" s="2">
        <v>0.15060000000000001</v>
      </c>
      <c r="I10693" s="2">
        <v>8.3400000000000002E-2</v>
      </c>
      <c r="J10693" s="2">
        <v>7.17E-2</v>
      </c>
      <c r="K10693" s="2">
        <v>3.95E-2</v>
      </c>
      <c r="L10693" s="2">
        <v>6.3100000000000003E-2</v>
      </c>
      <c r="M10693" s="2">
        <v>5.2900000000000003E-2</v>
      </c>
      <c r="N10693" s="2">
        <v>6.5000000000000002E-2</v>
      </c>
      <c r="O10693" s="2">
        <v>1.9E-3</v>
      </c>
      <c r="Q10693">
        <v>525</v>
      </c>
    </row>
    <row r="10694" spans="1:17" x14ac:dyDescent="0.35">
      <c r="A10694" t="s">
        <v>228</v>
      </c>
      <c r="B10694" t="s">
        <v>228</v>
      </c>
      <c r="C10694" s="2">
        <v>0.39529999999999998</v>
      </c>
      <c r="D10694" s="2">
        <v>0.21199999999999999</v>
      </c>
      <c r="E10694" s="2">
        <v>0.1988</v>
      </c>
      <c r="F10694" s="2">
        <v>0.16139999999999999</v>
      </c>
      <c r="G10694" s="2">
        <v>0.15060000000000001</v>
      </c>
      <c r="H10694" s="2">
        <v>0.1434</v>
      </c>
      <c r="I10694" s="2">
        <v>0.12470000000000001</v>
      </c>
      <c r="J10694" s="2">
        <v>8.5999999999999993E-2</v>
      </c>
      <c r="K10694" s="2">
        <v>4.0599999999999997E-2</v>
      </c>
      <c r="L10694" s="2">
        <v>3.9300000000000002E-2</v>
      </c>
      <c r="M10694" s="2">
        <v>3.9199999999999999E-2</v>
      </c>
      <c r="N10694" s="2">
        <v>3.3799999999999997E-2</v>
      </c>
      <c r="O10694" s="2">
        <v>4.3E-3</v>
      </c>
      <c r="P10694" s="2">
        <v>4.0000000000000002E-4</v>
      </c>
      <c r="Q10694">
        <v>2813</v>
      </c>
    </row>
    <row r="10696" spans="1:17" x14ac:dyDescent="0.35">
      <c r="A10696" s="1" t="s">
        <v>2479</v>
      </c>
    </row>
    <row r="10697" spans="1:17" x14ac:dyDescent="0.35">
      <c r="A10697" t="s">
        <v>219</v>
      </c>
      <c r="B10697" t="s">
        <v>301</v>
      </c>
      <c r="C10697" t="s">
        <v>2460</v>
      </c>
      <c r="D10697" t="s">
        <v>2461</v>
      </c>
      <c r="E10697" t="s">
        <v>2462</v>
      </c>
      <c r="F10697" t="s">
        <v>2463</v>
      </c>
      <c r="G10697" t="s">
        <v>2464</v>
      </c>
      <c r="H10697" t="s">
        <v>2465</v>
      </c>
      <c r="I10697" t="s">
        <v>540</v>
      </c>
      <c r="J10697" t="s">
        <v>277</v>
      </c>
      <c r="K10697" t="s">
        <v>2466</v>
      </c>
      <c r="L10697" t="s">
        <v>2467</v>
      </c>
      <c r="M10697" t="s">
        <v>2468</v>
      </c>
      <c r="N10697" t="s">
        <v>2469</v>
      </c>
      <c r="O10697" t="s">
        <v>282</v>
      </c>
      <c r="P10697" t="s">
        <v>2470</v>
      </c>
      <c r="Q10697" t="s">
        <v>226</v>
      </c>
    </row>
    <row r="10698" spans="1:17" x14ac:dyDescent="0.35">
      <c r="A10698" t="s">
        <v>227</v>
      </c>
      <c r="B10698" t="s">
        <v>343</v>
      </c>
      <c r="C10698" s="2">
        <v>0.39300000000000002</v>
      </c>
      <c r="D10698" s="2">
        <v>0.22489999999999999</v>
      </c>
      <c r="E10698" s="2">
        <v>0.13400000000000001</v>
      </c>
      <c r="F10698" s="2">
        <v>6.9199999999999998E-2</v>
      </c>
      <c r="G10698" s="2">
        <v>0.1595</v>
      </c>
      <c r="H10698" s="2">
        <v>0.19520000000000001</v>
      </c>
      <c r="I10698" s="2">
        <v>0.1138</v>
      </c>
      <c r="J10698" s="2">
        <v>6.0999999999999999E-2</v>
      </c>
      <c r="K10698" s="2">
        <v>2.4299999999999999E-2</v>
      </c>
      <c r="L10698" s="2">
        <v>2.6100000000000002E-2</v>
      </c>
      <c r="M10698" s="2">
        <v>3.1300000000000001E-2</v>
      </c>
      <c r="N10698" s="2">
        <v>1.3299999999999999E-2</v>
      </c>
      <c r="O10698" s="2">
        <v>2.9999999999999997E-4</v>
      </c>
      <c r="Q10698">
        <v>405</v>
      </c>
    </row>
    <row r="10699" spans="1:17" x14ac:dyDescent="0.35">
      <c r="A10699" t="s">
        <v>227</v>
      </c>
      <c r="B10699" t="s">
        <v>344</v>
      </c>
      <c r="C10699" s="2">
        <v>0.3957</v>
      </c>
      <c r="D10699" s="2">
        <v>0.20930000000000001</v>
      </c>
      <c r="E10699" s="2">
        <v>0.21199999999999999</v>
      </c>
      <c r="F10699" s="2">
        <v>0.1802</v>
      </c>
      <c r="G10699" s="2">
        <v>0.14879999999999999</v>
      </c>
      <c r="H10699" s="2">
        <v>0.13289999999999999</v>
      </c>
      <c r="I10699" s="2">
        <v>0.12690000000000001</v>
      </c>
      <c r="J10699" s="2">
        <v>9.11E-2</v>
      </c>
      <c r="K10699" s="2">
        <v>4.3900000000000002E-2</v>
      </c>
      <c r="L10699" s="2">
        <v>4.2000000000000003E-2</v>
      </c>
      <c r="M10699" s="2">
        <v>4.0800000000000003E-2</v>
      </c>
      <c r="N10699" s="2">
        <v>3.7999999999999999E-2</v>
      </c>
      <c r="O10699" s="2">
        <v>5.1000000000000004E-3</v>
      </c>
      <c r="P10699" s="2">
        <v>5.0000000000000001E-4</v>
      </c>
      <c r="Q10699">
        <v>2408</v>
      </c>
    </row>
    <row r="10700" spans="1:17" x14ac:dyDescent="0.35">
      <c r="A10700" t="s">
        <v>228</v>
      </c>
      <c r="B10700" t="s">
        <v>228</v>
      </c>
      <c r="C10700" s="2">
        <v>0.39529999999999998</v>
      </c>
      <c r="D10700" s="2">
        <v>0.21199999999999999</v>
      </c>
      <c r="E10700" s="2">
        <v>0.1988</v>
      </c>
      <c r="F10700" s="2">
        <v>0.16139999999999999</v>
      </c>
      <c r="G10700" s="2">
        <v>0.15060000000000001</v>
      </c>
      <c r="H10700" s="2">
        <v>0.1434</v>
      </c>
      <c r="I10700" s="2">
        <v>0.12470000000000001</v>
      </c>
      <c r="J10700" s="2">
        <v>8.5999999999999993E-2</v>
      </c>
      <c r="K10700" s="2">
        <v>4.0599999999999997E-2</v>
      </c>
      <c r="L10700" s="2">
        <v>3.9300000000000002E-2</v>
      </c>
      <c r="M10700" s="2">
        <v>3.9199999999999999E-2</v>
      </c>
      <c r="N10700" s="2">
        <v>3.3799999999999997E-2</v>
      </c>
      <c r="O10700" s="2">
        <v>4.3E-3</v>
      </c>
      <c r="P10700" s="2">
        <v>4.0000000000000002E-4</v>
      </c>
      <c r="Q10700">
        <v>2813</v>
      </c>
    </row>
    <row r="10702" spans="1:17" x14ac:dyDescent="0.35">
      <c r="A10702" s="1" t="s">
        <v>2480</v>
      </c>
    </row>
    <row r="10703" spans="1:17" x14ac:dyDescent="0.35">
      <c r="A10703" t="s">
        <v>219</v>
      </c>
      <c r="B10703" t="s">
        <v>301</v>
      </c>
      <c r="C10703" t="s">
        <v>2460</v>
      </c>
      <c r="D10703" t="s">
        <v>2461</v>
      </c>
      <c r="E10703" t="s">
        <v>2462</v>
      </c>
      <c r="F10703" t="s">
        <v>2463</v>
      </c>
      <c r="G10703" t="s">
        <v>2464</v>
      </c>
      <c r="H10703" t="s">
        <v>2465</v>
      </c>
      <c r="I10703" t="s">
        <v>540</v>
      </c>
      <c r="J10703" t="s">
        <v>277</v>
      </c>
      <c r="K10703" t="s">
        <v>2466</v>
      </c>
      <c r="L10703" t="s">
        <v>2467</v>
      </c>
      <c r="M10703" t="s">
        <v>2468</v>
      </c>
      <c r="N10703" t="s">
        <v>2469</v>
      </c>
      <c r="O10703" t="s">
        <v>282</v>
      </c>
      <c r="P10703" t="s">
        <v>2470</v>
      </c>
      <c r="Q10703" t="s">
        <v>226</v>
      </c>
    </row>
    <row r="10704" spans="1:17" x14ac:dyDescent="0.35">
      <c r="A10704" t="s">
        <v>227</v>
      </c>
      <c r="B10704" t="s">
        <v>346</v>
      </c>
      <c r="C10704" s="2">
        <v>0.38190000000000002</v>
      </c>
      <c r="D10704" s="2">
        <v>0.20169999999999999</v>
      </c>
      <c r="E10704" s="2">
        <v>0.20219999999999999</v>
      </c>
      <c r="F10704" s="2">
        <v>0.17119999999999999</v>
      </c>
      <c r="G10704" s="2">
        <v>0.153</v>
      </c>
      <c r="H10704" s="2">
        <v>0.13100000000000001</v>
      </c>
      <c r="I10704" s="2">
        <v>0.13059999999999999</v>
      </c>
      <c r="J10704" s="2">
        <v>8.7800000000000003E-2</v>
      </c>
      <c r="K10704" s="2">
        <v>4.2000000000000003E-2</v>
      </c>
      <c r="L10704" s="2">
        <v>3.9399999999999998E-2</v>
      </c>
      <c r="M10704" s="2">
        <v>3.9899999999999998E-2</v>
      </c>
      <c r="N10704" s="2">
        <v>3.2399999999999998E-2</v>
      </c>
      <c r="O10704" s="2">
        <v>4.1000000000000003E-3</v>
      </c>
      <c r="P10704" s="2">
        <v>4.0000000000000002E-4</v>
      </c>
      <c r="Q10704">
        <v>1463</v>
      </c>
    </row>
    <row r="10705" spans="1:17" x14ac:dyDescent="0.35">
      <c r="A10705" t="s">
        <v>227</v>
      </c>
      <c r="B10705" t="s">
        <v>347</v>
      </c>
      <c r="C10705" s="2">
        <v>0.47520000000000001</v>
      </c>
      <c r="D10705" s="2">
        <v>0.27929999999999999</v>
      </c>
      <c r="E10705" s="2">
        <v>0.156</v>
      </c>
      <c r="F10705" s="2">
        <v>0.1055</v>
      </c>
      <c r="G10705" s="2">
        <v>0.1042</v>
      </c>
      <c r="H10705" s="2">
        <v>0.2399</v>
      </c>
      <c r="I10705" s="2">
        <v>7.5600000000000001E-2</v>
      </c>
      <c r="J10705" s="2">
        <v>6.7100000000000007E-2</v>
      </c>
      <c r="K10705" s="2">
        <v>2.0299999999999999E-2</v>
      </c>
      <c r="L10705" s="2">
        <v>3.2399999999999998E-2</v>
      </c>
      <c r="M10705" s="2">
        <v>1.77E-2</v>
      </c>
      <c r="N10705" s="2">
        <v>1.6400000000000001E-2</v>
      </c>
      <c r="O10705" s="2">
        <v>8.3999999999999995E-3</v>
      </c>
      <c r="Q10705">
        <v>585</v>
      </c>
    </row>
    <row r="10706" spans="1:17" x14ac:dyDescent="0.35">
      <c r="A10706" t="s">
        <v>227</v>
      </c>
      <c r="B10706" t="s">
        <v>348</v>
      </c>
      <c r="C10706" s="2">
        <v>0.48599999999999999</v>
      </c>
      <c r="D10706" s="2">
        <v>0.27910000000000001</v>
      </c>
      <c r="E10706" s="2">
        <v>0.18479999999999999</v>
      </c>
      <c r="F10706" s="2">
        <v>9.4200000000000006E-2</v>
      </c>
      <c r="G10706" s="2">
        <v>0.14680000000000001</v>
      </c>
      <c r="H10706" s="2">
        <v>0.219</v>
      </c>
      <c r="I10706" s="2">
        <v>8.9800000000000005E-2</v>
      </c>
      <c r="J10706" s="2">
        <v>7.6700000000000004E-2</v>
      </c>
      <c r="K10706" s="2">
        <v>3.5900000000000001E-2</v>
      </c>
      <c r="L10706" s="2">
        <v>4.1099999999999998E-2</v>
      </c>
      <c r="M10706" s="2">
        <v>4.0599999999999997E-2</v>
      </c>
      <c r="N10706" s="2">
        <v>5.2499999999999998E-2</v>
      </c>
      <c r="O10706" s="2">
        <v>5.0000000000000001E-3</v>
      </c>
      <c r="Q10706">
        <v>765</v>
      </c>
    </row>
    <row r="10707" spans="1:17" x14ac:dyDescent="0.35">
      <c r="A10707" t="s">
        <v>228</v>
      </c>
      <c r="B10707" t="s">
        <v>228</v>
      </c>
      <c r="C10707" s="2">
        <v>0.39529999999999998</v>
      </c>
      <c r="D10707" s="2">
        <v>0.21199999999999999</v>
      </c>
      <c r="E10707" s="2">
        <v>0.1988</v>
      </c>
      <c r="F10707" s="2">
        <v>0.16139999999999999</v>
      </c>
      <c r="G10707" s="2">
        <v>0.15060000000000001</v>
      </c>
      <c r="H10707" s="2">
        <v>0.1434</v>
      </c>
      <c r="I10707" s="2">
        <v>0.12470000000000001</v>
      </c>
      <c r="J10707" s="2">
        <v>8.5999999999999993E-2</v>
      </c>
      <c r="K10707" s="2">
        <v>4.0599999999999997E-2</v>
      </c>
      <c r="L10707" s="2">
        <v>3.9300000000000002E-2</v>
      </c>
      <c r="M10707" s="2">
        <v>3.9199999999999999E-2</v>
      </c>
      <c r="N10707" s="2">
        <v>3.3799999999999997E-2</v>
      </c>
      <c r="O10707" s="2">
        <v>4.3E-3</v>
      </c>
      <c r="P10707" s="2">
        <v>4.0000000000000002E-4</v>
      </c>
      <c r="Q10707">
        <v>2813</v>
      </c>
    </row>
    <row r="10709" spans="1:17" x14ac:dyDescent="0.35">
      <c r="A10709" s="1" t="s">
        <v>2481</v>
      </c>
    </row>
    <row r="10710" spans="1:17" x14ac:dyDescent="0.35">
      <c r="A10710" t="s">
        <v>219</v>
      </c>
      <c r="B10710" t="s">
        <v>301</v>
      </c>
      <c r="C10710" t="s">
        <v>2460</v>
      </c>
      <c r="D10710" t="s">
        <v>2461</v>
      </c>
      <c r="E10710" t="s">
        <v>2462</v>
      </c>
      <c r="F10710" t="s">
        <v>2463</v>
      </c>
      <c r="G10710" t="s">
        <v>2464</v>
      </c>
      <c r="H10710" t="s">
        <v>2465</v>
      </c>
      <c r="I10710" t="s">
        <v>540</v>
      </c>
      <c r="J10710" t="s">
        <v>277</v>
      </c>
      <c r="K10710" t="s">
        <v>2466</v>
      </c>
      <c r="L10710" t="s">
        <v>2467</v>
      </c>
      <c r="M10710" t="s">
        <v>2468</v>
      </c>
      <c r="N10710" t="s">
        <v>2469</v>
      </c>
      <c r="O10710" t="s">
        <v>282</v>
      </c>
      <c r="P10710" t="s">
        <v>2470</v>
      </c>
      <c r="Q10710" t="s">
        <v>226</v>
      </c>
    </row>
    <row r="10711" spans="1:17" x14ac:dyDescent="0.35">
      <c r="A10711" t="s">
        <v>227</v>
      </c>
      <c r="B10711" t="s">
        <v>251</v>
      </c>
      <c r="C10711" s="2">
        <v>0.3644</v>
      </c>
      <c r="D10711" s="2">
        <v>0.2087</v>
      </c>
      <c r="E10711" s="2">
        <v>0.19450000000000001</v>
      </c>
      <c r="F10711" s="2">
        <v>0.1694</v>
      </c>
      <c r="G10711" s="2">
        <v>0.14399999999999999</v>
      </c>
      <c r="H10711" s="2">
        <v>0.14660000000000001</v>
      </c>
      <c r="I10711" s="2">
        <v>0.1431</v>
      </c>
      <c r="J10711" s="2">
        <v>9.0499999999999997E-2</v>
      </c>
      <c r="K10711" s="2">
        <v>5.0799999999999998E-2</v>
      </c>
      <c r="L10711" s="2">
        <v>4.3999999999999997E-2</v>
      </c>
      <c r="M10711" s="2">
        <v>4.3200000000000002E-2</v>
      </c>
      <c r="N10711" s="2">
        <v>4.02E-2</v>
      </c>
      <c r="O10711" s="2">
        <v>5.7999999999999996E-3</v>
      </c>
      <c r="P10711" s="2">
        <v>5.0000000000000001E-4</v>
      </c>
      <c r="Q10711">
        <v>2030</v>
      </c>
    </row>
    <row r="10712" spans="1:17" x14ac:dyDescent="0.35">
      <c r="A10712" t="s">
        <v>227</v>
      </c>
      <c r="B10712" t="s">
        <v>252</v>
      </c>
      <c r="C10712" s="2">
        <v>0.46760000000000002</v>
      </c>
      <c r="D10712" s="2">
        <v>0.20730000000000001</v>
      </c>
      <c r="E10712" s="2">
        <v>0.1981</v>
      </c>
      <c r="F10712" s="2">
        <v>0.15609999999999999</v>
      </c>
      <c r="G10712" s="2">
        <v>0.1835</v>
      </c>
      <c r="H10712" s="2">
        <v>0.1381</v>
      </c>
      <c r="I10712" s="2">
        <v>8.77E-2</v>
      </c>
      <c r="J10712" s="2">
        <v>7.2599999999999998E-2</v>
      </c>
      <c r="K10712" s="2">
        <v>1.7299999999999999E-2</v>
      </c>
      <c r="L10712" s="2">
        <v>3.3399999999999999E-2</v>
      </c>
      <c r="M10712" s="2">
        <v>2.9700000000000001E-2</v>
      </c>
      <c r="N10712" s="2">
        <v>1.7999999999999999E-2</v>
      </c>
      <c r="O10712" s="2">
        <v>2.0000000000000001E-4</v>
      </c>
      <c r="Q10712">
        <v>621</v>
      </c>
    </row>
    <row r="10713" spans="1:17" x14ac:dyDescent="0.35">
      <c r="A10713" t="s">
        <v>227</v>
      </c>
      <c r="B10713" t="s">
        <v>253</v>
      </c>
      <c r="C10713" s="2">
        <v>0.49509999999999998</v>
      </c>
      <c r="D10713" s="2">
        <v>0.2797</v>
      </c>
      <c r="E10713" s="2">
        <v>0.26740000000000003</v>
      </c>
      <c r="F10713" s="2">
        <v>6.7699999999999996E-2</v>
      </c>
      <c r="G10713" s="2">
        <v>0.1024</v>
      </c>
      <c r="H10713" s="2">
        <v>0.1203</v>
      </c>
      <c r="I10713" s="2">
        <v>3.7199999999999997E-2</v>
      </c>
      <c r="J10713" s="2">
        <v>8.6199999999999999E-2</v>
      </c>
      <c r="K10713" s="2">
        <v>4.4999999999999997E-3</v>
      </c>
      <c r="L10713" s="2">
        <v>3.2000000000000002E-3</v>
      </c>
      <c r="M10713" s="2">
        <v>2.7099999999999999E-2</v>
      </c>
      <c r="N10713" s="2">
        <v>1.5599999999999999E-2</v>
      </c>
      <c r="Q10713">
        <v>153</v>
      </c>
    </row>
    <row r="10714" spans="1:17" x14ac:dyDescent="0.35">
      <c r="A10714" s="3" t="s">
        <v>227</v>
      </c>
      <c r="B10714" s="3" t="s">
        <v>254</v>
      </c>
      <c r="C10714" s="4">
        <v>0.53349999999999997</v>
      </c>
      <c r="D10714" s="4">
        <v>0.13350000000000001</v>
      </c>
      <c r="E10714" s="5"/>
      <c r="F10714" s="4">
        <v>0.40560000000000002</v>
      </c>
      <c r="G10714" s="5"/>
      <c r="H10714" s="4">
        <v>0.22819999999999999</v>
      </c>
      <c r="I10714" s="4">
        <v>5.1200000000000002E-2</v>
      </c>
      <c r="J10714" s="5"/>
      <c r="K10714" s="5"/>
      <c r="L10714" s="5"/>
      <c r="M10714" s="5"/>
      <c r="N10714" s="5"/>
      <c r="O10714" s="4">
        <v>5.8000000000000003E-2</v>
      </c>
      <c r="P10714" s="5"/>
      <c r="Q10714" s="5" t="s">
        <v>515</v>
      </c>
    </row>
    <row r="10715" spans="1:17" x14ac:dyDescent="0.35">
      <c r="A10715" t="s">
        <v>228</v>
      </c>
      <c r="B10715" t="s">
        <v>228</v>
      </c>
      <c r="C10715" s="2">
        <v>0.39529999999999998</v>
      </c>
      <c r="D10715" s="2">
        <v>0.21199999999999999</v>
      </c>
      <c r="E10715" s="2">
        <v>0.1988</v>
      </c>
      <c r="F10715" s="2">
        <v>0.16139999999999999</v>
      </c>
      <c r="G10715" s="2">
        <v>0.15060000000000001</v>
      </c>
      <c r="H10715" s="2">
        <v>0.1434</v>
      </c>
      <c r="I10715" s="2">
        <v>0.12470000000000001</v>
      </c>
      <c r="J10715" s="2">
        <v>8.5999999999999993E-2</v>
      </c>
      <c r="K10715" s="2">
        <v>4.0599999999999997E-2</v>
      </c>
      <c r="L10715" s="2">
        <v>3.9300000000000002E-2</v>
      </c>
      <c r="M10715" s="2">
        <v>3.9199999999999999E-2</v>
      </c>
      <c r="N10715" s="2">
        <v>3.3799999999999997E-2</v>
      </c>
      <c r="O10715" s="2">
        <v>4.3E-3</v>
      </c>
      <c r="P10715" s="2">
        <v>4.0000000000000002E-4</v>
      </c>
      <c r="Q10715">
        <v>2813</v>
      </c>
    </row>
    <row r="10717" spans="1:17" x14ac:dyDescent="0.35">
      <c r="A10717" s="1" t="s">
        <v>2482</v>
      </c>
    </row>
    <row r="10718" spans="1:17" x14ac:dyDescent="0.35">
      <c r="A10718" t="s">
        <v>219</v>
      </c>
      <c r="B10718" t="s">
        <v>301</v>
      </c>
      <c r="C10718" t="s">
        <v>2460</v>
      </c>
      <c r="D10718" t="s">
        <v>2461</v>
      </c>
      <c r="E10718" t="s">
        <v>2462</v>
      </c>
      <c r="F10718" t="s">
        <v>2463</v>
      </c>
      <c r="G10718" t="s">
        <v>2464</v>
      </c>
      <c r="H10718" t="s">
        <v>2465</v>
      </c>
      <c r="I10718" t="s">
        <v>540</v>
      </c>
      <c r="J10718" t="s">
        <v>277</v>
      </c>
      <c r="K10718" t="s">
        <v>2466</v>
      </c>
      <c r="L10718" t="s">
        <v>2467</v>
      </c>
      <c r="M10718" t="s">
        <v>2468</v>
      </c>
      <c r="N10718" t="s">
        <v>2469</v>
      </c>
      <c r="O10718" t="s">
        <v>282</v>
      </c>
      <c r="P10718" t="s">
        <v>2470</v>
      </c>
      <c r="Q10718" t="s">
        <v>226</v>
      </c>
    </row>
    <row r="10719" spans="1:17" x14ac:dyDescent="0.35">
      <c r="A10719" t="s">
        <v>227</v>
      </c>
      <c r="B10719" t="s">
        <v>1335</v>
      </c>
      <c r="C10719" s="2">
        <v>0.40970000000000001</v>
      </c>
      <c r="D10719" s="2">
        <v>0.23169999999999999</v>
      </c>
      <c r="E10719" s="2">
        <v>0.2087</v>
      </c>
      <c r="F10719" s="2">
        <v>0.21049999999999999</v>
      </c>
      <c r="G10719" s="2">
        <v>0.16250000000000001</v>
      </c>
      <c r="H10719" s="2">
        <v>0.13089999999999999</v>
      </c>
      <c r="I10719" s="2">
        <v>0.12720000000000001</v>
      </c>
      <c r="J10719" s="2">
        <v>7.5899999999999995E-2</v>
      </c>
      <c r="K10719" s="2">
        <v>5.1900000000000002E-2</v>
      </c>
      <c r="L10719" s="2">
        <v>4.6800000000000001E-2</v>
      </c>
      <c r="M10719" s="2">
        <v>5.8900000000000001E-2</v>
      </c>
      <c r="N10719" s="2">
        <v>4.3200000000000002E-2</v>
      </c>
      <c r="O10719" s="2">
        <v>1.0500000000000001E-2</v>
      </c>
      <c r="Q10719">
        <v>848</v>
      </c>
    </row>
    <row r="10720" spans="1:17" x14ac:dyDescent="0.35">
      <c r="A10720" s="3" t="s">
        <v>227</v>
      </c>
      <c r="B10720" s="3" t="s">
        <v>1336</v>
      </c>
      <c r="C10720" s="5"/>
      <c r="D10720" s="4">
        <v>0.40660000000000002</v>
      </c>
      <c r="E10720" s="4">
        <v>0.40660000000000002</v>
      </c>
      <c r="F10720" s="5"/>
      <c r="G10720" s="4">
        <v>0.40660000000000002</v>
      </c>
      <c r="H10720" s="4">
        <v>1</v>
      </c>
      <c r="I10720" s="5"/>
      <c r="J10720" s="5"/>
      <c r="K10720" s="5"/>
      <c r="L10720" s="5"/>
      <c r="M10720" s="5"/>
      <c r="N10720" s="5"/>
      <c r="O10720" s="5"/>
      <c r="P10720" s="5"/>
      <c r="Q10720" s="5" t="s">
        <v>434</v>
      </c>
    </row>
    <row r="10721" spans="1:18" x14ac:dyDescent="0.35">
      <c r="A10721" t="s">
        <v>227</v>
      </c>
      <c r="B10721" t="s">
        <v>1337</v>
      </c>
      <c r="C10721" s="2">
        <v>0.38890000000000002</v>
      </c>
      <c r="D10721" s="2">
        <v>0.20150000000000001</v>
      </c>
      <c r="E10721" s="2">
        <v>0.19339999999999999</v>
      </c>
      <c r="F10721" s="2">
        <v>0.13719999999999999</v>
      </c>
      <c r="G10721" s="2">
        <v>0.14399999999999999</v>
      </c>
      <c r="H10721" s="2">
        <v>0.14760000000000001</v>
      </c>
      <c r="I10721" s="2">
        <v>0.1237</v>
      </c>
      <c r="J10721" s="2">
        <v>9.1300000000000006E-2</v>
      </c>
      <c r="K10721" s="2">
        <v>3.5099999999999999E-2</v>
      </c>
      <c r="L10721" s="2">
        <v>3.56E-2</v>
      </c>
      <c r="M10721" s="2">
        <v>2.9399999999999999E-2</v>
      </c>
      <c r="N10721" s="2">
        <v>2.9100000000000001E-2</v>
      </c>
      <c r="O10721" s="2">
        <v>1.1999999999999999E-3</v>
      </c>
      <c r="P10721" s="2">
        <v>5.9999999999999995E-4</v>
      </c>
      <c r="Q10721">
        <v>1963</v>
      </c>
    </row>
    <row r="10722" spans="1:18" x14ac:dyDescent="0.35">
      <c r="A10722" t="s">
        <v>228</v>
      </c>
      <c r="B10722" t="s">
        <v>228</v>
      </c>
      <c r="C10722" s="2">
        <v>0.39529999999999998</v>
      </c>
      <c r="D10722" s="2">
        <v>0.21199999999999999</v>
      </c>
      <c r="E10722" s="2">
        <v>0.1988</v>
      </c>
      <c r="F10722" s="2">
        <v>0.16139999999999999</v>
      </c>
      <c r="G10722" s="2">
        <v>0.15060000000000001</v>
      </c>
      <c r="H10722" s="2">
        <v>0.1434</v>
      </c>
      <c r="I10722" s="2">
        <v>0.12470000000000001</v>
      </c>
      <c r="J10722" s="2">
        <v>8.5999999999999993E-2</v>
      </c>
      <c r="K10722" s="2">
        <v>4.0599999999999997E-2</v>
      </c>
      <c r="L10722" s="2">
        <v>3.9300000000000002E-2</v>
      </c>
      <c r="M10722" s="2">
        <v>3.9199999999999999E-2</v>
      </c>
      <c r="N10722" s="2">
        <v>3.3799999999999997E-2</v>
      </c>
      <c r="O10722" s="2">
        <v>4.3E-3</v>
      </c>
      <c r="P10722" s="2">
        <v>4.0000000000000002E-4</v>
      </c>
      <c r="Q10722">
        <v>2813</v>
      </c>
    </row>
    <row r="10724" spans="1:18" x14ac:dyDescent="0.35">
      <c r="A10724" s="1" t="s">
        <v>2483</v>
      </c>
    </row>
    <row r="10725" spans="1:18" x14ac:dyDescent="0.35">
      <c r="A10725" t="s">
        <v>219</v>
      </c>
      <c r="B10725" t="s">
        <v>301</v>
      </c>
      <c r="C10725" t="s">
        <v>2460</v>
      </c>
      <c r="D10725" t="s">
        <v>2461</v>
      </c>
      <c r="E10725" t="s">
        <v>2462</v>
      </c>
      <c r="F10725" t="s">
        <v>2463</v>
      </c>
      <c r="G10725" t="s">
        <v>2464</v>
      </c>
      <c r="H10725" t="s">
        <v>2465</v>
      </c>
      <c r="I10725" t="s">
        <v>540</v>
      </c>
      <c r="J10725" t="s">
        <v>277</v>
      </c>
      <c r="K10725" t="s">
        <v>2466</v>
      </c>
      <c r="L10725" t="s">
        <v>2467</v>
      </c>
      <c r="M10725" t="s">
        <v>2468</v>
      </c>
      <c r="N10725" t="s">
        <v>2469</v>
      </c>
      <c r="O10725" t="s">
        <v>282</v>
      </c>
      <c r="P10725" t="s">
        <v>2470</v>
      </c>
      <c r="Q10725" t="s">
        <v>226</v>
      </c>
    </row>
    <row r="10726" spans="1:18" x14ac:dyDescent="0.35">
      <c r="A10726" t="s">
        <v>227</v>
      </c>
      <c r="B10726" t="s">
        <v>1339</v>
      </c>
      <c r="C10726" s="2">
        <v>0.66620000000000001</v>
      </c>
      <c r="D10726" s="2">
        <v>0.50719999999999998</v>
      </c>
      <c r="E10726" s="2">
        <v>0.34139999999999998</v>
      </c>
      <c r="F10726" s="2">
        <v>0.17730000000000001</v>
      </c>
      <c r="G10726" s="2">
        <v>0.32640000000000002</v>
      </c>
      <c r="H10726" s="2">
        <v>0.17499999999999999</v>
      </c>
      <c r="I10726" s="2">
        <v>6.6799999999999998E-2</v>
      </c>
      <c r="J10726" s="2">
        <v>5.8999999999999999E-3</v>
      </c>
      <c r="K10726" s="2">
        <v>8.3799999999999999E-2</v>
      </c>
      <c r="L10726" s="2">
        <v>7.3800000000000004E-2</v>
      </c>
      <c r="M10726" s="2">
        <v>4.7699999999999999E-2</v>
      </c>
      <c r="N10726" s="2">
        <v>1.84E-2</v>
      </c>
      <c r="O10726" s="2">
        <v>1.1999999999999999E-3</v>
      </c>
      <c r="Q10726">
        <v>51</v>
      </c>
    </row>
    <row r="10727" spans="1:18" x14ac:dyDescent="0.35">
      <c r="A10727" t="s">
        <v>227</v>
      </c>
      <c r="B10727" t="s">
        <v>1340</v>
      </c>
      <c r="C10727" s="2">
        <v>0.50580000000000003</v>
      </c>
      <c r="D10727" s="2">
        <v>0.17119999999999999</v>
      </c>
      <c r="E10727" s="2">
        <v>0.28799999999999998</v>
      </c>
      <c r="F10727" s="2">
        <v>0.13059999999999999</v>
      </c>
      <c r="G10727" s="2">
        <v>0.22020000000000001</v>
      </c>
      <c r="H10727" s="2">
        <v>0.11559999999999999</v>
      </c>
      <c r="I10727" s="2">
        <v>9.0899999999999995E-2</v>
      </c>
      <c r="J10727" s="2">
        <v>5.2499999999999998E-2</v>
      </c>
      <c r="K10727" s="2">
        <v>3.0700000000000002E-2</v>
      </c>
      <c r="L10727" s="2">
        <v>3.8699999999999998E-2</v>
      </c>
      <c r="M10727" s="2">
        <v>4.8300000000000003E-2</v>
      </c>
      <c r="N10727" s="2">
        <v>3.39E-2</v>
      </c>
      <c r="O10727" s="2">
        <v>5.9999999999999995E-4</v>
      </c>
      <c r="Q10727">
        <v>729</v>
      </c>
    </row>
    <row r="10728" spans="1:18" x14ac:dyDescent="0.35">
      <c r="A10728" t="s">
        <v>227</v>
      </c>
      <c r="B10728" t="s">
        <v>1341</v>
      </c>
      <c r="C10728" s="2">
        <v>0.40529999999999999</v>
      </c>
      <c r="D10728" s="2">
        <v>0.2288</v>
      </c>
      <c r="E10728" s="2">
        <v>0.20530000000000001</v>
      </c>
      <c r="F10728" s="2">
        <v>0.15429999999999999</v>
      </c>
      <c r="G10728" s="2">
        <v>0.1598</v>
      </c>
      <c r="H10728" s="2">
        <v>0.14599999999999999</v>
      </c>
      <c r="I10728" s="2">
        <v>0.11700000000000001</v>
      </c>
      <c r="J10728" s="2">
        <v>8.8300000000000003E-2</v>
      </c>
      <c r="K10728" s="2">
        <v>4.3999999999999997E-2</v>
      </c>
      <c r="L10728" s="2">
        <v>3.85E-2</v>
      </c>
      <c r="M10728" s="2">
        <v>3.8600000000000002E-2</v>
      </c>
      <c r="N10728" s="2">
        <v>4.3200000000000002E-2</v>
      </c>
      <c r="O10728" s="2">
        <v>4.1000000000000003E-3</v>
      </c>
      <c r="P10728" s="2">
        <v>8.0000000000000004E-4</v>
      </c>
      <c r="Q10728">
        <v>1344</v>
      </c>
    </row>
    <row r="10729" spans="1:18" x14ac:dyDescent="0.35">
      <c r="A10729" t="s">
        <v>227</v>
      </c>
      <c r="B10729" t="s">
        <v>1342</v>
      </c>
      <c r="C10729" s="2">
        <v>0.2346</v>
      </c>
      <c r="D10729" s="2">
        <v>0.18859999999999999</v>
      </c>
      <c r="E10729" s="2">
        <v>8.0100000000000005E-2</v>
      </c>
      <c r="F10729" s="2">
        <v>0.20680000000000001</v>
      </c>
      <c r="G10729" s="2">
        <v>4.2900000000000001E-2</v>
      </c>
      <c r="H10729" s="2">
        <v>0.16309999999999999</v>
      </c>
      <c r="I10729" s="2">
        <v>0.1812</v>
      </c>
      <c r="J10729" s="2">
        <v>0.123</v>
      </c>
      <c r="K10729" s="2">
        <v>3.9300000000000002E-2</v>
      </c>
      <c r="L10729" s="2">
        <v>3.8300000000000001E-2</v>
      </c>
      <c r="M10729" s="2">
        <v>3.0200000000000001E-2</v>
      </c>
      <c r="N10729" s="2">
        <v>1.49E-2</v>
      </c>
      <c r="O10729" s="2">
        <v>8.9999999999999993E-3</v>
      </c>
      <c r="Q10729">
        <v>689</v>
      </c>
    </row>
    <row r="10730" spans="1:18" x14ac:dyDescent="0.35">
      <c r="A10730" t="s">
        <v>228</v>
      </c>
      <c r="B10730" t="s">
        <v>228</v>
      </c>
      <c r="C10730" s="2">
        <v>0.39529999999999998</v>
      </c>
      <c r="D10730" s="2">
        <v>0.21199999999999999</v>
      </c>
      <c r="E10730" s="2">
        <v>0.1988</v>
      </c>
      <c r="F10730" s="2">
        <v>0.16139999999999999</v>
      </c>
      <c r="G10730" s="2">
        <v>0.15060000000000001</v>
      </c>
      <c r="H10730" s="2">
        <v>0.1434</v>
      </c>
      <c r="I10730" s="2">
        <v>0.12470000000000001</v>
      </c>
      <c r="J10730" s="2">
        <v>8.5999999999999993E-2</v>
      </c>
      <c r="K10730" s="2">
        <v>4.0599999999999997E-2</v>
      </c>
      <c r="L10730" s="2">
        <v>3.9300000000000002E-2</v>
      </c>
      <c r="M10730" s="2">
        <v>3.9199999999999999E-2</v>
      </c>
      <c r="N10730" s="2">
        <v>3.3799999999999997E-2</v>
      </c>
      <c r="O10730" s="2">
        <v>4.3E-3</v>
      </c>
      <c r="P10730" s="2">
        <v>4.0000000000000002E-4</v>
      </c>
      <c r="Q10730">
        <v>2813</v>
      </c>
    </row>
    <row r="10732" spans="1:18" x14ac:dyDescent="0.35">
      <c r="A10732" s="1" t="s">
        <v>2484</v>
      </c>
    </row>
    <row r="10733" spans="1:18" x14ac:dyDescent="0.35">
      <c r="A10733" t="s">
        <v>219</v>
      </c>
      <c r="B10733" t="s">
        <v>301</v>
      </c>
      <c r="C10733" t="s">
        <v>325</v>
      </c>
      <c r="D10733" t="s">
        <v>2460</v>
      </c>
      <c r="E10733" t="s">
        <v>2461</v>
      </c>
      <c r="F10733" t="s">
        <v>2462</v>
      </c>
      <c r="G10733" t="s">
        <v>2463</v>
      </c>
      <c r="H10733" t="s">
        <v>2464</v>
      </c>
      <c r="I10733" t="s">
        <v>2465</v>
      </c>
      <c r="J10733" t="s">
        <v>540</v>
      </c>
      <c r="K10733" t="s">
        <v>277</v>
      </c>
      <c r="L10733" t="s">
        <v>2466</v>
      </c>
      <c r="M10733" t="s">
        <v>2467</v>
      </c>
      <c r="N10733" t="s">
        <v>2468</v>
      </c>
      <c r="O10733" t="s">
        <v>2469</v>
      </c>
      <c r="P10733" t="s">
        <v>282</v>
      </c>
      <c r="Q10733" t="s">
        <v>2470</v>
      </c>
      <c r="R10733" t="s">
        <v>226</v>
      </c>
    </row>
    <row r="10734" spans="1:18" x14ac:dyDescent="0.35">
      <c r="A10734" s="3" t="s">
        <v>227</v>
      </c>
      <c r="B10734" s="3" t="s">
        <v>1335</v>
      </c>
      <c r="C10734" s="3" t="s">
        <v>1339</v>
      </c>
      <c r="D10734" s="4">
        <v>0.76029999999999998</v>
      </c>
      <c r="E10734" s="4">
        <v>0.46960000000000002</v>
      </c>
      <c r="F10734" s="4">
        <v>0.3009</v>
      </c>
      <c r="G10734" s="4">
        <v>0.2722</v>
      </c>
      <c r="H10734" s="4">
        <v>0.37840000000000001</v>
      </c>
      <c r="I10734" s="4">
        <v>3.2599999999999997E-2</v>
      </c>
      <c r="J10734" s="4">
        <v>2.7300000000000001E-2</v>
      </c>
      <c r="K10734" s="4">
        <v>3.3E-3</v>
      </c>
      <c r="L10734" s="4">
        <v>0.22889999999999999</v>
      </c>
      <c r="M10734" s="4">
        <v>0.2016</v>
      </c>
      <c r="N10734" s="4">
        <v>2.7300000000000001E-2</v>
      </c>
      <c r="O10734" s="4">
        <v>2.29E-2</v>
      </c>
      <c r="P10734" s="5"/>
      <c r="Q10734" s="5"/>
      <c r="R10734" s="5" t="s">
        <v>427</v>
      </c>
    </row>
    <row r="10735" spans="1:18" x14ac:dyDescent="0.35">
      <c r="A10735" t="s">
        <v>227</v>
      </c>
      <c r="B10735" t="s">
        <v>1335</v>
      </c>
      <c r="C10735" t="s">
        <v>1340</v>
      </c>
      <c r="D10735" s="2">
        <v>0.54369999999999996</v>
      </c>
      <c r="E10735" s="2">
        <v>0.18590000000000001</v>
      </c>
      <c r="F10735" s="2">
        <v>0.25469999999999998</v>
      </c>
      <c r="G10735" s="2">
        <v>0.17660000000000001</v>
      </c>
      <c r="H10735" s="2">
        <v>0.22450000000000001</v>
      </c>
      <c r="I10735" s="2">
        <v>0.14799999999999999</v>
      </c>
      <c r="J10735" s="2">
        <v>9.6100000000000005E-2</v>
      </c>
      <c r="K10735" s="2">
        <v>7.7899999999999997E-2</v>
      </c>
      <c r="L10735" s="2">
        <v>5.2299999999999999E-2</v>
      </c>
      <c r="M10735" s="2">
        <v>5.3800000000000001E-2</v>
      </c>
      <c r="N10735" s="2">
        <v>5.8999999999999997E-2</v>
      </c>
      <c r="O10735" s="2">
        <v>5.3199999999999997E-2</v>
      </c>
      <c r="P10735" s="2">
        <v>1.1999999999999999E-3</v>
      </c>
      <c r="R10735">
        <v>252</v>
      </c>
    </row>
    <row r="10736" spans="1:18" x14ac:dyDescent="0.35">
      <c r="A10736" t="s">
        <v>227</v>
      </c>
      <c r="B10736" t="s">
        <v>1335</v>
      </c>
      <c r="C10736" t="s">
        <v>1341</v>
      </c>
      <c r="D10736" s="2">
        <v>0.39040000000000002</v>
      </c>
      <c r="E10736" s="2">
        <v>0.24260000000000001</v>
      </c>
      <c r="F10736" s="2">
        <v>0.20699999999999999</v>
      </c>
      <c r="G10736" s="2">
        <v>0.2014</v>
      </c>
      <c r="H10736" s="2">
        <v>0.14929999999999999</v>
      </c>
      <c r="I10736" s="2">
        <v>0.13750000000000001</v>
      </c>
      <c r="J10736" s="2">
        <v>0.127</v>
      </c>
      <c r="K10736" s="2">
        <v>9.2399999999999996E-2</v>
      </c>
      <c r="L10736" s="2">
        <v>4.2799999999999998E-2</v>
      </c>
      <c r="M10736" s="2">
        <v>5.04E-2</v>
      </c>
      <c r="N10736" s="2">
        <v>5.1299999999999998E-2</v>
      </c>
      <c r="O10736" s="2">
        <v>4.3200000000000002E-2</v>
      </c>
      <c r="P10736" s="2">
        <v>9.5999999999999992E-3</v>
      </c>
      <c r="R10736">
        <v>419</v>
      </c>
    </row>
    <row r="10737" spans="1:18" x14ac:dyDescent="0.35">
      <c r="A10737" t="s">
        <v>227</v>
      </c>
      <c r="B10737" t="s">
        <v>1335</v>
      </c>
      <c r="C10737" t="s">
        <v>1342</v>
      </c>
      <c r="D10737" s="2">
        <v>0.23860000000000001</v>
      </c>
      <c r="E10737" s="2">
        <v>0.23300000000000001</v>
      </c>
      <c r="F10737" s="2">
        <v>0.14019999999999999</v>
      </c>
      <c r="G10737" s="2">
        <v>0.27189999999999998</v>
      </c>
      <c r="H10737" s="2">
        <v>8.7900000000000006E-2</v>
      </c>
      <c r="I10737" s="2">
        <v>0.1028</v>
      </c>
      <c r="J10737" s="2">
        <v>0.18210000000000001</v>
      </c>
      <c r="K10737" s="2">
        <v>3.8300000000000001E-2</v>
      </c>
      <c r="L10737" s="2">
        <v>5.2999999999999999E-2</v>
      </c>
      <c r="M10737" s="2">
        <v>7.9000000000000008E-3</v>
      </c>
      <c r="N10737" s="2">
        <v>8.3099999999999993E-2</v>
      </c>
      <c r="O10737" s="2">
        <v>3.2399999999999998E-2</v>
      </c>
      <c r="P10737" s="2">
        <v>2.6499999999999999E-2</v>
      </c>
      <c r="R10737">
        <v>157</v>
      </c>
    </row>
    <row r="10738" spans="1:18" x14ac:dyDescent="0.35">
      <c r="A10738" s="3" t="s">
        <v>227</v>
      </c>
      <c r="B10738" s="3" t="s">
        <v>1336</v>
      </c>
      <c r="C10738" s="3" t="s">
        <v>1341</v>
      </c>
      <c r="D10738" s="5"/>
      <c r="E10738" s="4">
        <v>0.40660000000000002</v>
      </c>
      <c r="F10738" s="4">
        <v>0.40660000000000002</v>
      </c>
      <c r="G10738" s="5"/>
      <c r="H10738" s="4">
        <v>0.40660000000000002</v>
      </c>
      <c r="I10738" s="4">
        <v>1</v>
      </c>
      <c r="J10738" s="5"/>
      <c r="K10738" s="5"/>
      <c r="L10738" s="5"/>
      <c r="M10738" s="5"/>
      <c r="N10738" s="5"/>
      <c r="O10738" s="5"/>
      <c r="P10738" s="5"/>
      <c r="Q10738" s="5"/>
      <c r="R10738" s="5" t="s">
        <v>434</v>
      </c>
    </row>
    <row r="10739" spans="1:18" x14ac:dyDescent="0.35">
      <c r="A10739" t="s">
        <v>227</v>
      </c>
      <c r="B10739" t="s">
        <v>1337</v>
      </c>
      <c r="C10739" t="s">
        <v>1339</v>
      </c>
      <c r="D10739" s="2">
        <v>0.61180000000000001</v>
      </c>
      <c r="E10739" s="2">
        <v>0.52890000000000004</v>
      </c>
      <c r="F10739" s="2">
        <v>0.36480000000000001</v>
      </c>
      <c r="G10739" s="2">
        <v>0.1225</v>
      </c>
      <c r="H10739" s="2">
        <v>0.29630000000000001</v>
      </c>
      <c r="I10739" s="2">
        <v>0.25729999999999997</v>
      </c>
      <c r="J10739" s="2">
        <v>8.9700000000000002E-2</v>
      </c>
      <c r="K10739" s="2">
        <v>7.4000000000000003E-3</v>
      </c>
      <c r="N10739" s="2">
        <v>5.9400000000000001E-2</v>
      </c>
      <c r="O10739" s="2">
        <v>1.5800000000000002E-2</v>
      </c>
      <c r="P10739" s="2">
        <v>1.9E-3</v>
      </c>
      <c r="R10739">
        <v>31</v>
      </c>
    </row>
    <row r="10740" spans="1:18" x14ac:dyDescent="0.35">
      <c r="A10740" t="s">
        <v>227</v>
      </c>
      <c r="B10740" t="s">
        <v>1337</v>
      </c>
      <c r="C10740" t="s">
        <v>1340</v>
      </c>
      <c r="D10740" s="2">
        <v>0.48430000000000001</v>
      </c>
      <c r="E10740" s="2">
        <v>0.1628</v>
      </c>
      <c r="F10740" s="2">
        <v>0.307</v>
      </c>
      <c r="G10740" s="2">
        <v>0.10440000000000001</v>
      </c>
      <c r="H10740" s="2">
        <v>0.21779999999999999</v>
      </c>
      <c r="I10740" s="2">
        <v>9.7199999999999995E-2</v>
      </c>
      <c r="J10740" s="2">
        <v>8.7999999999999995E-2</v>
      </c>
      <c r="K10740" s="2">
        <v>3.8100000000000002E-2</v>
      </c>
      <c r="L10740" s="2">
        <v>1.84E-2</v>
      </c>
      <c r="M10740" s="2">
        <v>3.0099999999999998E-2</v>
      </c>
      <c r="N10740" s="2">
        <v>4.2200000000000001E-2</v>
      </c>
      <c r="O10740" s="2">
        <v>2.29E-2</v>
      </c>
      <c r="P10740" s="2">
        <v>2.0000000000000001E-4</v>
      </c>
      <c r="R10740">
        <v>477</v>
      </c>
    </row>
    <row r="10741" spans="1:18" x14ac:dyDescent="0.35">
      <c r="A10741" t="s">
        <v>227</v>
      </c>
      <c r="B10741" t="s">
        <v>1337</v>
      </c>
      <c r="C10741" t="s">
        <v>1341</v>
      </c>
      <c r="D10741" s="2">
        <v>0.41520000000000001</v>
      </c>
      <c r="E10741" s="2">
        <v>0.22059999999999999</v>
      </c>
      <c r="F10741" s="2">
        <v>0.2034</v>
      </c>
      <c r="G10741" s="2">
        <v>0.13</v>
      </c>
      <c r="H10741" s="2">
        <v>0.16420000000000001</v>
      </c>
      <c r="I10741" s="2">
        <v>0.14630000000000001</v>
      </c>
      <c r="J10741" s="2">
        <v>0.1123</v>
      </c>
      <c r="K10741" s="2">
        <v>8.6599999999999996E-2</v>
      </c>
      <c r="L10741" s="2">
        <v>4.48E-2</v>
      </c>
      <c r="M10741" s="2">
        <v>3.2399999999999998E-2</v>
      </c>
      <c r="N10741" s="2">
        <v>3.2099999999999997E-2</v>
      </c>
      <c r="O10741" s="2">
        <v>4.3400000000000001E-2</v>
      </c>
      <c r="P10741" s="2">
        <v>1.1999999999999999E-3</v>
      </c>
      <c r="Q10741" s="2">
        <v>1.1999999999999999E-3</v>
      </c>
      <c r="R10741">
        <v>923</v>
      </c>
    </row>
    <row r="10742" spans="1:18" x14ac:dyDescent="0.35">
      <c r="A10742" t="s">
        <v>227</v>
      </c>
      <c r="B10742" t="s">
        <v>1337</v>
      </c>
      <c r="C10742" t="s">
        <v>1342</v>
      </c>
      <c r="D10742" s="2">
        <v>0.2331</v>
      </c>
      <c r="E10742" s="2">
        <v>0.17150000000000001</v>
      </c>
      <c r="F10742" s="2">
        <v>5.7099999999999998E-2</v>
      </c>
      <c r="G10742" s="2">
        <v>0.1817</v>
      </c>
      <c r="H10742" s="2">
        <v>2.5600000000000001E-2</v>
      </c>
      <c r="I10742" s="2">
        <v>0.18629999999999999</v>
      </c>
      <c r="J10742" s="2">
        <v>0.18079999999999999</v>
      </c>
      <c r="K10742" s="2">
        <v>0.1555</v>
      </c>
      <c r="L10742" s="2">
        <v>3.4099999999999998E-2</v>
      </c>
      <c r="M10742" s="2">
        <v>4.99E-2</v>
      </c>
      <c r="N10742" s="2">
        <v>9.9000000000000008E-3</v>
      </c>
      <c r="O10742" s="2">
        <v>8.0999999999999996E-3</v>
      </c>
      <c r="P10742" s="2">
        <v>2.3E-3</v>
      </c>
      <c r="R10742">
        <v>532</v>
      </c>
    </row>
    <row r="10743" spans="1:18" x14ac:dyDescent="0.35">
      <c r="A10743" t="s">
        <v>228</v>
      </c>
      <c r="B10743" t="s">
        <v>228</v>
      </c>
      <c r="C10743" t="s">
        <v>228</v>
      </c>
      <c r="D10743" s="2">
        <v>0.39529999999999998</v>
      </c>
      <c r="E10743" s="2">
        <v>0.21199999999999999</v>
      </c>
      <c r="F10743" s="2">
        <v>0.1988</v>
      </c>
      <c r="G10743" s="2">
        <v>0.16139999999999999</v>
      </c>
      <c r="H10743" s="2">
        <v>0.15060000000000001</v>
      </c>
      <c r="I10743" s="2">
        <v>0.1434</v>
      </c>
      <c r="J10743" s="2">
        <v>0.12470000000000001</v>
      </c>
      <c r="K10743" s="2">
        <v>8.5999999999999993E-2</v>
      </c>
      <c r="L10743" s="2">
        <v>4.0599999999999997E-2</v>
      </c>
      <c r="M10743" s="2">
        <v>3.9300000000000002E-2</v>
      </c>
      <c r="N10743" s="2">
        <v>3.9199999999999999E-2</v>
      </c>
      <c r="O10743" s="2">
        <v>3.3799999999999997E-2</v>
      </c>
      <c r="P10743" s="2">
        <v>4.3E-3</v>
      </c>
      <c r="Q10743" s="2">
        <v>4.0000000000000002E-4</v>
      </c>
      <c r="R10743">
        <v>2813</v>
      </c>
    </row>
    <row r="10745" spans="1:18" x14ac:dyDescent="0.35">
      <c r="A10745" s="1" t="s">
        <v>2485</v>
      </c>
    </row>
    <row r="10746" spans="1:18" x14ac:dyDescent="0.35">
      <c r="A10746" t="s">
        <v>219</v>
      </c>
      <c r="B10746" t="s">
        <v>540</v>
      </c>
      <c r="C10746" t="s">
        <v>2486</v>
      </c>
      <c r="D10746" t="s">
        <v>2487</v>
      </c>
      <c r="E10746" t="s">
        <v>2488</v>
      </c>
      <c r="F10746" t="s">
        <v>2489</v>
      </c>
      <c r="G10746" t="s">
        <v>277</v>
      </c>
      <c r="H10746" t="s">
        <v>2490</v>
      </c>
      <c r="I10746" t="s">
        <v>282</v>
      </c>
      <c r="J10746" t="s">
        <v>226</v>
      </c>
    </row>
    <row r="10747" spans="1:18" x14ac:dyDescent="0.35">
      <c r="A10747" t="s">
        <v>227</v>
      </c>
      <c r="B10747" s="2">
        <v>0.87729999999999997</v>
      </c>
      <c r="C10747" s="2">
        <v>5.8099999999999999E-2</v>
      </c>
      <c r="D10747" s="2">
        <v>2.75E-2</v>
      </c>
      <c r="E10747" s="2">
        <v>2.7E-2</v>
      </c>
      <c r="F10747" s="2">
        <v>1.6799999999999999E-2</v>
      </c>
      <c r="G10747" s="2">
        <v>8.8000000000000005E-3</v>
      </c>
      <c r="H10747" s="2">
        <v>7.3000000000000001E-3</v>
      </c>
      <c r="I10747" s="2">
        <v>1.4E-3</v>
      </c>
      <c r="J10747">
        <v>2812</v>
      </c>
    </row>
    <row r="10748" spans="1:18" x14ac:dyDescent="0.35">
      <c r="A10748" t="s">
        <v>228</v>
      </c>
      <c r="B10748" s="2">
        <v>0.87729999999999997</v>
      </c>
      <c r="C10748" s="2">
        <v>5.8099999999999999E-2</v>
      </c>
      <c r="D10748" s="2">
        <v>2.75E-2</v>
      </c>
      <c r="E10748" s="2">
        <v>2.7E-2</v>
      </c>
      <c r="F10748" s="2">
        <v>1.6799999999999999E-2</v>
      </c>
      <c r="G10748" s="2">
        <v>8.8000000000000005E-3</v>
      </c>
      <c r="H10748" s="2">
        <v>7.3000000000000001E-3</v>
      </c>
      <c r="I10748" s="2">
        <v>1.4E-3</v>
      </c>
      <c r="J10748">
        <v>2812</v>
      </c>
    </row>
    <row r="10750" spans="1:18" x14ac:dyDescent="0.35">
      <c r="A10750" s="1" t="s">
        <v>2491</v>
      </c>
    </row>
    <row r="10751" spans="1:18" x14ac:dyDescent="0.35">
      <c r="A10751" t="s">
        <v>219</v>
      </c>
      <c r="B10751" t="s">
        <v>301</v>
      </c>
      <c r="C10751" t="s">
        <v>540</v>
      </c>
      <c r="D10751" t="s">
        <v>2486</v>
      </c>
      <c r="E10751" t="s">
        <v>2487</v>
      </c>
      <c r="F10751" t="s">
        <v>2488</v>
      </c>
      <c r="G10751" t="s">
        <v>2489</v>
      </c>
      <c r="H10751" t="s">
        <v>277</v>
      </c>
      <c r="I10751" t="s">
        <v>2490</v>
      </c>
      <c r="J10751" t="s">
        <v>282</v>
      </c>
      <c r="K10751" t="s">
        <v>226</v>
      </c>
    </row>
    <row r="10752" spans="1:18" x14ac:dyDescent="0.35">
      <c r="A10752" t="s">
        <v>227</v>
      </c>
      <c r="B10752" t="s">
        <v>238</v>
      </c>
      <c r="C10752" s="2">
        <v>0.86709999999999998</v>
      </c>
      <c r="D10752" s="2">
        <v>5.7299999999999997E-2</v>
      </c>
      <c r="E10752" s="2">
        <v>3.9800000000000002E-2</v>
      </c>
      <c r="F10752" s="2">
        <v>3.56E-2</v>
      </c>
      <c r="G10752" s="2">
        <v>1.3299999999999999E-2</v>
      </c>
      <c r="H10752" s="2">
        <v>9.1000000000000004E-3</v>
      </c>
      <c r="I10752" s="2">
        <v>4.7999999999999996E-3</v>
      </c>
      <c r="J10752" s="2">
        <v>2.5000000000000001E-3</v>
      </c>
      <c r="K10752">
        <v>1004</v>
      </c>
    </row>
    <row r="10753" spans="1:11" x14ac:dyDescent="0.35">
      <c r="A10753" t="s">
        <v>227</v>
      </c>
      <c r="B10753" t="s">
        <v>237</v>
      </c>
      <c r="C10753" s="2">
        <v>0.88319999999999999</v>
      </c>
      <c r="D10753" s="2">
        <v>5.8599999999999999E-2</v>
      </c>
      <c r="E10753" s="2">
        <v>2.0400000000000001E-2</v>
      </c>
      <c r="F10753" s="2">
        <v>2.1999999999999999E-2</v>
      </c>
      <c r="G10753" s="2">
        <v>1.89E-2</v>
      </c>
      <c r="H10753" s="2">
        <v>8.6999999999999994E-3</v>
      </c>
      <c r="I10753" s="2">
        <v>8.6999999999999994E-3</v>
      </c>
      <c r="J10753" s="2">
        <v>8.0000000000000004E-4</v>
      </c>
      <c r="K10753">
        <v>1808</v>
      </c>
    </row>
    <row r="10754" spans="1:11" x14ac:dyDescent="0.35">
      <c r="A10754" t="s">
        <v>228</v>
      </c>
      <c r="B10754" t="s">
        <v>228</v>
      </c>
      <c r="C10754" s="2">
        <v>0.87729999999999997</v>
      </c>
      <c r="D10754" s="2">
        <v>5.8099999999999999E-2</v>
      </c>
      <c r="E10754" s="2">
        <v>2.75E-2</v>
      </c>
      <c r="F10754" s="2">
        <v>2.7E-2</v>
      </c>
      <c r="G10754" s="2">
        <v>1.6799999999999999E-2</v>
      </c>
      <c r="H10754" s="2">
        <v>8.8000000000000005E-3</v>
      </c>
      <c r="I10754" s="2">
        <v>7.3000000000000001E-3</v>
      </c>
      <c r="J10754" s="2">
        <v>1.4E-3</v>
      </c>
      <c r="K10754">
        <v>2812</v>
      </c>
    </row>
    <row r="10756" spans="1:11" x14ac:dyDescent="0.35">
      <c r="A10756" s="1" t="s">
        <v>2492</v>
      </c>
    </row>
    <row r="10757" spans="1:11" x14ac:dyDescent="0.35">
      <c r="A10757" t="s">
        <v>219</v>
      </c>
      <c r="B10757" t="s">
        <v>301</v>
      </c>
      <c r="C10757" t="s">
        <v>540</v>
      </c>
      <c r="D10757" t="s">
        <v>2486</v>
      </c>
      <c r="E10757" t="s">
        <v>2487</v>
      </c>
      <c r="F10757" t="s">
        <v>2488</v>
      </c>
      <c r="G10757" t="s">
        <v>2489</v>
      </c>
      <c r="H10757" t="s">
        <v>277</v>
      </c>
      <c r="I10757" t="s">
        <v>2490</v>
      </c>
      <c r="J10757" t="s">
        <v>282</v>
      </c>
      <c r="K10757" t="s">
        <v>226</v>
      </c>
    </row>
    <row r="10758" spans="1:11" x14ac:dyDescent="0.35">
      <c r="A10758" t="s">
        <v>227</v>
      </c>
      <c r="B10758" t="s">
        <v>235</v>
      </c>
      <c r="C10758" s="2">
        <v>0.86780000000000002</v>
      </c>
      <c r="D10758" s="2">
        <v>6.54E-2</v>
      </c>
      <c r="E10758" s="2">
        <v>2.5899999999999999E-2</v>
      </c>
      <c r="F10758" s="2">
        <v>2.35E-2</v>
      </c>
      <c r="G10758" s="2">
        <v>2.12E-2</v>
      </c>
      <c r="H10758" s="2">
        <v>6.7999999999999996E-3</v>
      </c>
      <c r="I10758" s="2">
        <v>9.5999999999999992E-3</v>
      </c>
      <c r="J10758" s="2">
        <v>8.9999999999999998E-4</v>
      </c>
      <c r="K10758">
        <v>992</v>
      </c>
    </row>
    <row r="10759" spans="1:11" x14ac:dyDescent="0.35">
      <c r="A10759" t="s">
        <v>227</v>
      </c>
      <c r="B10759" t="s">
        <v>234</v>
      </c>
      <c r="C10759" s="2">
        <v>0.88119999999999998</v>
      </c>
      <c r="D10759" s="2">
        <v>5.5100000000000003E-2</v>
      </c>
      <c r="E10759" s="2">
        <v>2.8199999999999999E-2</v>
      </c>
      <c r="F10759" s="2">
        <v>2.8500000000000001E-2</v>
      </c>
      <c r="G10759" s="2">
        <v>1.4999999999999999E-2</v>
      </c>
      <c r="H10759" s="2">
        <v>9.5999999999999992E-3</v>
      </c>
      <c r="I10759" s="2">
        <v>6.3E-3</v>
      </c>
      <c r="J10759" s="2">
        <v>1.6000000000000001E-3</v>
      </c>
      <c r="K10759">
        <v>1820</v>
      </c>
    </row>
    <row r="10760" spans="1:11" x14ac:dyDescent="0.35">
      <c r="A10760" t="s">
        <v>228</v>
      </c>
      <c r="B10760" t="s">
        <v>228</v>
      </c>
      <c r="C10760" s="2">
        <v>0.87729999999999997</v>
      </c>
      <c r="D10760" s="2">
        <v>5.8099999999999999E-2</v>
      </c>
      <c r="E10760" s="2">
        <v>2.75E-2</v>
      </c>
      <c r="F10760" s="2">
        <v>2.7E-2</v>
      </c>
      <c r="G10760" s="2">
        <v>1.6799999999999999E-2</v>
      </c>
      <c r="H10760" s="2">
        <v>8.8000000000000005E-3</v>
      </c>
      <c r="I10760" s="2">
        <v>7.3000000000000001E-3</v>
      </c>
      <c r="J10760" s="2">
        <v>1.4E-3</v>
      </c>
      <c r="K10760">
        <v>2812</v>
      </c>
    </row>
    <row r="10762" spans="1:11" x14ac:dyDescent="0.35">
      <c r="A10762" s="1" t="s">
        <v>2493</v>
      </c>
    </row>
    <row r="10763" spans="1:11" x14ac:dyDescent="0.35">
      <c r="A10763" t="s">
        <v>219</v>
      </c>
      <c r="B10763" t="s">
        <v>301</v>
      </c>
      <c r="C10763" t="s">
        <v>540</v>
      </c>
      <c r="D10763" t="s">
        <v>2486</v>
      </c>
      <c r="E10763" t="s">
        <v>2487</v>
      </c>
      <c r="F10763" t="s">
        <v>2488</v>
      </c>
      <c r="G10763" t="s">
        <v>2489</v>
      </c>
      <c r="H10763" t="s">
        <v>277</v>
      </c>
      <c r="I10763" t="s">
        <v>2490</v>
      </c>
      <c r="J10763" t="s">
        <v>282</v>
      </c>
      <c r="K10763" t="s">
        <v>226</v>
      </c>
    </row>
    <row r="10764" spans="1:11" x14ac:dyDescent="0.35">
      <c r="A10764" t="s">
        <v>227</v>
      </c>
      <c r="B10764" t="s">
        <v>240</v>
      </c>
      <c r="C10764" s="2">
        <v>0.8609</v>
      </c>
      <c r="D10764" s="2">
        <v>6.6699999999999995E-2</v>
      </c>
      <c r="E10764" s="2">
        <v>3.3399999999999999E-2</v>
      </c>
      <c r="F10764" s="2">
        <v>3.8800000000000001E-2</v>
      </c>
      <c r="G10764" s="2">
        <v>1.6E-2</v>
      </c>
      <c r="H10764" s="2">
        <v>8.2000000000000007E-3</v>
      </c>
      <c r="I10764" s="2">
        <v>6.1000000000000004E-3</v>
      </c>
      <c r="J10764" s="2">
        <v>2.2000000000000001E-3</v>
      </c>
      <c r="K10764">
        <v>1756</v>
      </c>
    </row>
    <row r="10765" spans="1:11" x14ac:dyDescent="0.35">
      <c r="A10765" t="s">
        <v>227</v>
      </c>
      <c r="B10765" t="s">
        <v>241</v>
      </c>
      <c r="C10765" s="2">
        <v>0.90400000000000003</v>
      </c>
      <c r="D10765" s="2">
        <v>4.41E-2</v>
      </c>
      <c r="E10765" s="2">
        <v>1.4200000000000001E-2</v>
      </c>
      <c r="F10765" s="2">
        <v>4.1999999999999997E-3</v>
      </c>
      <c r="G10765" s="2">
        <v>1.8599999999999998E-2</v>
      </c>
      <c r="H10765" s="2">
        <v>1.2200000000000001E-2</v>
      </c>
      <c r="I10765" s="2">
        <v>1.1599999999999999E-2</v>
      </c>
      <c r="J10765" s="2">
        <v>2.0000000000000001E-4</v>
      </c>
      <c r="K10765">
        <v>890</v>
      </c>
    </row>
    <row r="10766" spans="1:11" x14ac:dyDescent="0.35">
      <c r="A10766" t="s">
        <v>227</v>
      </c>
      <c r="B10766" t="s">
        <v>242</v>
      </c>
      <c r="C10766" s="2">
        <v>0.9163</v>
      </c>
      <c r="D10766" s="2">
        <v>3.78E-2</v>
      </c>
      <c r="E10766" s="2">
        <v>2.9600000000000001E-2</v>
      </c>
      <c r="F10766" s="2">
        <v>1.4500000000000001E-2</v>
      </c>
      <c r="G10766" s="2">
        <v>1.7100000000000001E-2</v>
      </c>
      <c r="K10766">
        <v>166</v>
      </c>
    </row>
    <row r="10767" spans="1:11" x14ac:dyDescent="0.35">
      <c r="A10767" t="s">
        <v>228</v>
      </c>
      <c r="B10767" t="s">
        <v>228</v>
      </c>
      <c r="C10767" s="2">
        <v>0.87729999999999997</v>
      </c>
      <c r="D10767" s="2">
        <v>5.8099999999999999E-2</v>
      </c>
      <c r="E10767" s="2">
        <v>2.75E-2</v>
      </c>
      <c r="F10767" s="2">
        <v>2.7E-2</v>
      </c>
      <c r="G10767" s="2">
        <v>1.6799999999999999E-2</v>
      </c>
      <c r="H10767" s="2">
        <v>8.8000000000000005E-3</v>
      </c>
      <c r="I10767" s="2">
        <v>7.3000000000000001E-3</v>
      </c>
      <c r="J10767" s="2">
        <v>1.4E-3</v>
      </c>
      <c r="K10767">
        <v>2812</v>
      </c>
    </row>
    <row r="10769" spans="1:11" x14ac:dyDescent="0.35">
      <c r="A10769" s="1" t="s">
        <v>2494</v>
      </c>
    </row>
    <row r="10770" spans="1:11" x14ac:dyDescent="0.35">
      <c r="A10770" t="s">
        <v>219</v>
      </c>
      <c r="B10770" t="s">
        <v>301</v>
      </c>
      <c r="C10770" t="s">
        <v>540</v>
      </c>
      <c r="D10770" t="s">
        <v>2486</v>
      </c>
      <c r="E10770" t="s">
        <v>2487</v>
      </c>
      <c r="F10770" t="s">
        <v>2488</v>
      </c>
      <c r="G10770" t="s">
        <v>2489</v>
      </c>
      <c r="H10770" t="s">
        <v>277</v>
      </c>
      <c r="I10770" t="s">
        <v>2490</v>
      </c>
      <c r="J10770" t="s">
        <v>282</v>
      </c>
      <c r="K10770" t="s">
        <v>226</v>
      </c>
    </row>
    <row r="10771" spans="1:11" x14ac:dyDescent="0.35">
      <c r="A10771" t="s">
        <v>227</v>
      </c>
      <c r="B10771" t="s">
        <v>334</v>
      </c>
      <c r="C10771" s="2">
        <v>0.88090000000000002</v>
      </c>
      <c r="D10771" s="2">
        <v>4.5499999999999999E-2</v>
      </c>
      <c r="E10771" s="2">
        <v>3.4500000000000003E-2</v>
      </c>
      <c r="F10771" s="2">
        <v>1.5100000000000001E-2</v>
      </c>
      <c r="G10771" s="2">
        <v>1.3599999999999999E-2</v>
      </c>
      <c r="H10771" s="2">
        <v>2.7900000000000001E-2</v>
      </c>
      <c r="I10771" s="2">
        <v>1.2500000000000001E-2</v>
      </c>
      <c r="J10771" s="2">
        <v>1.2999999999999999E-3</v>
      </c>
      <c r="K10771">
        <v>624</v>
      </c>
    </row>
    <row r="10772" spans="1:11" x14ac:dyDescent="0.35">
      <c r="A10772" t="s">
        <v>227</v>
      </c>
      <c r="B10772" t="s">
        <v>335</v>
      </c>
      <c r="C10772" s="2">
        <v>0.89570000000000005</v>
      </c>
      <c r="D10772" s="2">
        <v>5.2200000000000003E-2</v>
      </c>
      <c r="E10772" s="2">
        <v>1.7500000000000002E-2</v>
      </c>
      <c r="F10772" s="2">
        <v>3.4099999999999998E-2</v>
      </c>
      <c r="G10772" s="2">
        <v>0.01</v>
      </c>
      <c r="H10772" s="2">
        <v>2E-3</v>
      </c>
      <c r="I10772" s="2">
        <v>6.3E-3</v>
      </c>
      <c r="K10772">
        <v>628</v>
      </c>
    </row>
    <row r="10773" spans="1:11" x14ac:dyDescent="0.35">
      <c r="A10773" t="s">
        <v>227</v>
      </c>
      <c r="B10773" t="s">
        <v>336</v>
      </c>
      <c r="C10773" s="2">
        <v>0.86329999999999996</v>
      </c>
      <c r="D10773" s="2">
        <v>7.5700000000000003E-2</v>
      </c>
      <c r="E10773" s="2">
        <v>1.38E-2</v>
      </c>
      <c r="F10773" s="2">
        <v>3.5099999999999999E-2</v>
      </c>
      <c r="G10773" s="2">
        <v>3.1399999999999997E-2</v>
      </c>
      <c r="H10773" s="2">
        <v>2.7000000000000001E-3</v>
      </c>
      <c r="J10773" s="2">
        <v>5.0000000000000001E-4</v>
      </c>
      <c r="K10773">
        <v>621</v>
      </c>
    </row>
    <row r="10774" spans="1:11" x14ac:dyDescent="0.35">
      <c r="A10774" t="s">
        <v>227</v>
      </c>
      <c r="B10774" t="s">
        <v>337</v>
      </c>
      <c r="C10774" s="2">
        <v>0.86350000000000005</v>
      </c>
      <c r="D10774" s="2">
        <v>6.1899999999999997E-2</v>
      </c>
      <c r="E10774" s="2">
        <v>4.6600000000000003E-2</v>
      </c>
      <c r="F10774" s="2">
        <v>2.06E-2</v>
      </c>
      <c r="G10774" s="2">
        <v>1.9599999999999999E-2</v>
      </c>
      <c r="H10774" s="2">
        <v>8.3000000000000001E-3</v>
      </c>
      <c r="I10774" s="2">
        <v>5.4999999999999997E-3</v>
      </c>
      <c r="J10774" s="2">
        <v>3.3E-3</v>
      </c>
      <c r="K10774">
        <v>602</v>
      </c>
    </row>
    <row r="10775" spans="1:11" x14ac:dyDescent="0.35">
      <c r="A10775" t="s">
        <v>228</v>
      </c>
      <c r="B10775" t="s">
        <v>228</v>
      </c>
      <c r="C10775" s="2">
        <v>0.87729999999999997</v>
      </c>
      <c r="D10775" s="2">
        <v>5.8099999999999999E-2</v>
      </c>
      <c r="E10775" s="2">
        <v>2.75E-2</v>
      </c>
      <c r="F10775" s="2">
        <v>2.7E-2</v>
      </c>
      <c r="G10775" s="2">
        <v>1.6799999999999999E-2</v>
      </c>
      <c r="H10775" s="2">
        <v>8.8000000000000005E-3</v>
      </c>
      <c r="I10775" s="2">
        <v>7.3000000000000001E-3</v>
      </c>
      <c r="J10775" s="2">
        <v>1.4E-3</v>
      </c>
      <c r="K10775">
        <v>2475</v>
      </c>
    </row>
    <row r="10777" spans="1:11" x14ac:dyDescent="0.35">
      <c r="A10777" s="1" t="s">
        <v>2495</v>
      </c>
    </row>
    <row r="10778" spans="1:11" x14ac:dyDescent="0.35">
      <c r="A10778" t="s">
        <v>219</v>
      </c>
      <c r="B10778" t="s">
        <v>301</v>
      </c>
      <c r="C10778" t="s">
        <v>540</v>
      </c>
      <c r="D10778" t="s">
        <v>2486</v>
      </c>
      <c r="E10778" t="s">
        <v>2487</v>
      </c>
      <c r="F10778" t="s">
        <v>2488</v>
      </c>
      <c r="G10778" t="s">
        <v>2489</v>
      </c>
      <c r="H10778" t="s">
        <v>277</v>
      </c>
      <c r="I10778" t="s">
        <v>2490</v>
      </c>
      <c r="J10778" t="s">
        <v>282</v>
      </c>
      <c r="K10778" t="s">
        <v>226</v>
      </c>
    </row>
    <row r="10779" spans="1:11" x14ac:dyDescent="0.35">
      <c r="A10779" t="s">
        <v>227</v>
      </c>
      <c r="B10779" t="s">
        <v>263</v>
      </c>
      <c r="C10779" s="2">
        <v>0.87880000000000003</v>
      </c>
      <c r="D10779" s="2">
        <v>5.8099999999999999E-2</v>
      </c>
      <c r="E10779" s="2">
        <v>3.1600000000000003E-2</v>
      </c>
      <c r="F10779" s="2">
        <v>1.89E-2</v>
      </c>
      <c r="G10779" s="2">
        <v>1.18E-2</v>
      </c>
      <c r="H10779" s="2">
        <v>6.3E-3</v>
      </c>
      <c r="I10779" s="2">
        <v>1.7100000000000001E-2</v>
      </c>
      <c r="J10779" s="2">
        <v>1.1999999999999999E-3</v>
      </c>
      <c r="K10779">
        <v>589</v>
      </c>
    </row>
    <row r="10780" spans="1:11" x14ac:dyDescent="0.35">
      <c r="A10780" t="s">
        <v>227</v>
      </c>
      <c r="B10780" t="s">
        <v>262</v>
      </c>
      <c r="C10780" s="2">
        <v>0.88690000000000002</v>
      </c>
      <c r="D10780" s="2">
        <v>4.53E-2</v>
      </c>
      <c r="E10780" s="2">
        <v>1.8499999999999999E-2</v>
      </c>
      <c r="F10780" s="2">
        <v>2.3800000000000002E-2</v>
      </c>
      <c r="G10780" s="2">
        <v>2.1600000000000001E-2</v>
      </c>
      <c r="H10780" s="2">
        <v>1.24E-2</v>
      </c>
      <c r="I10780" s="2">
        <v>7.4000000000000003E-3</v>
      </c>
      <c r="J10780" s="2">
        <v>2.0000000000000001E-4</v>
      </c>
      <c r="K10780">
        <v>1159</v>
      </c>
    </row>
    <row r="10781" spans="1:11" x14ac:dyDescent="0.35">
      <c r="A10781" t="s">
        <v>227</v>
      </c>
      <c r="B10781" t="s">
        <v>261</v>
      </c>
      <c r="C10781" s="2">
        <v>0.86929999999999996</v>
      </c>
      <c r="D10781" s="2">
        <v>6.7900000000000002E-2</v>
      </c>
      <c r="E10781" s="2">
        <v>3.3300000000000003E-2</v>
      </c>
      <c r="F10781" s="2">
        <v>3.39E-2</v>
      </c>
      <c r="G10781" s="2">
        <v>1.5299999999999999E-2</v>
      </c>
      <c r="H10781" s="2">
        <v>6.8999999999999999E-3</v>
      </c>
      <c r="I10781" s="2">
        <v>2.3999999999999998E-3</v>
      </c>
      <c r="J10781" s="2">
        <v>2.5999999999999999E-3</v>
      </c>
      <c r="K10781">
        <v>1062</v>
      </c>
    </row>
    <row r="10782" spans="1:11" x14ac:dyDescent="0.35">
      <c r="A10782" s="3" t="s">
        <v>227</v>
      </c>
      <c r="B10782" s="3" t="s">
        <v>232</v>
      </c>
      <c r="C10782" s="4">
        <v>0.5</v>
      </c>
      <c r="D10782" s="4">
        <v>0.5</v>
      </c>
      <c r="E10782" s="5"/>
      <c r="F10782" s="5"/>
      <c r="G10782" s="5"/>
      <c r="H10782" s="5"/>
      <c r="I10782" s="5"/>
      <c r="J10782" s="5"/>
      <c r="K10782" s="5" t="s">
        <v>434</v>
      </c>
    </row>
    <row r="10783" spans="1:11" x14ac:dyDescent="0.35">
      <c r="A10783" t="s">
        <v>228</v>
      </c>
      <c r="B10783" t="s">
        <v>228</v>
      </c>
      <c r="C10783" s="2">
        <v>0.87729999999999997</v>
      </c>
      <c r="D10783" s="2">
        <v>5.8099999999999999E-2</v>
      </c>
      <c r="E10783" s="2">
        <v>2.75E-2</v>
      </c>
      <c r="F10783" s="2">
        <v>2.7E-2</v>
      </c>
      <c r="G10783" s="2">
        <v>1.6799999999999999E-2</v>
      </c>
      <c r="H10783" s="2">
        <v>8.8000000000000005E-3</v>
      </c>
      <c r="I10783" s="2">
        <v>7.3000000000000001E-3</v>
      </c>
      <c r="J10783" s="2">
        <v>1.4E-3</v>
      </c>
      <c r="K10783">
        <v>2812</v>
      </c>
    </row>
    <row r="10785" spans="1:11" x14ac:dyDescent="0.35">
      <c r="A10785" s="1" t="s">
        <v>2496</v>
      </c>
    </row>
    <row r="10786" spans="1:11" x14ac:dyDescent="0.35">
      <c r="A10786" t="s">
        <v>219</v>
      </c>
      <c r="B10786" t="s">
        <v>301</v>
      </c>
      <c r="C10786" t="s">
        <v>540</v>
      </c>
      <c r="D10786" t="s">
        <v>2486</v>
      </c>
      <c r="E10786" t="s">
        <v>2487</v>
      </c>
      <c r="F10786" t="s">
        <v>2488</v>
      </c>
      <c r="G10786" t="s">
        <v>2489</v>
      </c>
      <c r="H10786" t="s">
        <v>277</v>
      </c>
      <c r="I10786" t="s">
        <v>2490</v>
      </c>
      <c r="J10786" t="s">
        <v>282</v>
      </c>
      <c r="K10786" t="s">
        <v>226</v>
      </c>
    </row>
    <row r="10787" spans="1:11" x14ac:dyDescent="0.35">
      <c r="A10787" t="s">
        <v>227</v>
      </c>
      <c r="B10787" t="s">
        <v>248</v>
      </c>
      <c r="C10787" s="2">
        <v>0.9032</v>
      </c>
      <c r="D10787" s="2">
        <v>4.5400000000000003E-2</v>
      </c>
      <c r="E10787" s="2">
        <v>6.7000000000000002E-3</v>
      </c>
      <c r="F10787" s="2">
        <v>3.8999999999999998E-3</v>
      </c>
      <c r="G10787" s="2">
        <v>3.0200000000000001E-2</v>
      </c>
      <c r="H10787" s="2">
        <v>1.26E-2</v>
      </c>
      <c r="I10787" s="2">
        <v>2.7000000000000001E-3</v>
      </c>
      <c r="J10787" s="2">
        <v>3.3999999999999998E-3</v>
      </c>
      <c r="K10787">
        <v>795</v>
      </c>
    </row>
    <row r="10788" spans="1:11" x14ac:dyDescent="0.35">
      <c r="A10788" t="s">
        <v>227</v>
      </c>
      <c r="B10788" t="s">
        <v>249</v>
      </c>
      <c r="C10788" s="2">
        <v>0.88849999999999996</v>
      </c>
      <c r="D10788" s="2">
        <v>6.1400000000000003E-2</v>
      </c>
      <c r="E10788" s="2">
        <v>2.1700000000000001E-2</v>
      </c>
      <c r="F10788" s="2">
        <v>2.9899999999999999E-2</v>
      </c>
      <c r="G10788" s="2">
        <v>1.9199999999999998E-2</v>
      </c>
      <c r="H10788" s="2">
        <v>5.3E-3</v>
      </c>
      <c r="I10788" s="2">
        <v>2.0000000000000001E-4</v>
      </c>
      <c r="J10788" s="2">
        <v>1E-3</v>
      </c>
      <c r="K10788">
        <v>541</v>
      </c>
    </row>
    <row r="10789" spans="1:11" x14ac:dyDescent="0.35">
      <c r="A10789" t="s">
        <v>227</v>
      </c>
      <c r="B10789" t="s">
        <v>247</v>
      </c>
      <c r="C10789" s="2">
        <v>0.85980000000000001</v>
      </c>
      <c r="D10789" s="2">
        <v>6.3500000000000001E-2</v>
      </c>
      <c r="E10789" s="2">
        <v>4.0300000000000002E-2</v>
      </c>
      <c r="F10789" s="2">
        <v>3.7900000000000003E-2</v>
      </c>
      <c r="G10789" s="2">
        <v>9.1000000000000004E-3</v>
      </c>
      <c r="H10789" s="2">
        <v>8.2000000000000007E-3</v>
      </c>
      <c r="I10789" s="2">
        <v>1.23E-2</v>
      </c>
      <c r="J10789" s="2">
        <v>5.9999999999999995E-4</v>
      </c>
      <c r="K10789">
        <v>1476</v>
      </c>
    </row>
    <row r="10790" spans="1:11" x14ac:dyDescent="0.35">
      <c r="A10790" t="s">
        <v>228</v>
      </c>
      <c r="B10790" t="s">
        <v>228</v>
      </c>
      <c r="C10790" s="2">
        <v>0.87729999999999997</v>
      </c>
      <c r="D10790" s="2">
        <v>5.8099999999999999E-2</v>
      </c>
      <c r="E10790" s="2">
        <v>2.75E-2</v>
      </c>
      <c r="F10790" s="2">
        <v>2.7E-2</v>
      </c>
      <c r="G10790" s="2">
        <v>1.6799999999999999E-2</v>
      </c>
      <c r="H10790" s="2">
        <v>8.8000000000000005E-3</v>
      </c>
      <c r="I10790" s="2">
        <v>7.3000000000000001E-3</v>
      </c>
      <c r="J10790" s="2">
        <v>1.4E-3</v>
      </c>
      <c r="K10790">
        <v>2812</v>
      </c>
    </row>
    <row r="10792" spans="1:11" x14ac:dyDescent="0.35">
      <c r="A10792" s="1" t="s">
        <v>2497</v>
      </c>
    </row>
    <row r="10793" spans="1:11" x14ac:dyDescent="0.35">
      <c r="A10793" t="s">
        <v>219</v>
      </c>
      <c r="B10793" t="s">
        <v>301</v>
      </c>
      <c r="C10793" t="s">
        <v>540</v>
      </c>
      <c r="D10793" t="s">
        <v>2486</v>
      </c>
      <c r="E10793" t="s">
        <v>2487</v>
      </c>
      <c r="F10793" t="s">
        <v>2488</v>
      </c>
      <c r="G10793" t="s">
        <v>2489</v>
      </c>
      <c r="H10793" t="s">
        <v>277</v>
      </c>
      <c r="I10793" t="s">
        <v>2490</v>
      </c>
      <c r="J10793" t="s">
        <v>282</v>
      </c>
      <c r="K10793" t="s">
        <v>226</v>
      </c>
    </row>
    <row r="10794" spans="1:11" x14ac:dyDescent="0.35">
      <c r="A10794" t="s">
        <v>227</v>
      </c>
      <c r="B10794" t="s">
        <v>245</v>
      </c>
      <c r="C10794" s="2">
        <v>0.8619</v>
      </c>
      <c r="D10794" s="2">
        <v>6.1800000000000001E-2</v>
      </c>
      <c r="E10794" s="2">
        <v>3.7199999999999997E-2</v>
      </c>
      <c r="F10794" s="2">
        <v>4.4900000000000002E-2</v>
      </c>
      <c r="G10794" s="2">
        <v>1.7299999999999999E-2</v>
      </c>
      <c r="H10794" s="2">
        <v>6.7999999999999996E-3</v>
      </c>
      <c r="I10794" s="2">
        <v>9.9000000000000008E-3</v>
      </c>
      <c r="J10794" s="2">
        <v>4.0000000000000002E-4</v>
      </c>
      <c r="K10794">
        <v>783</v>
      </c>
    </row>
    <row r="10795" spans="1:11" x14ac:dyDescent="0.35">
      <c r="A10795" t="s">
        <v>227</v>
      </c>
      <c r="B10795" t="s">
        <v>244</v>
      </c>
      <c r="C10795" s="2">
        <v>0.88339999999999996</v>
      </c>
      <c r="D10795" s="2">
        <v>5.67E-2</v>
      </c>
      <c r="E10795" s="2">
        <v>2.3599999999999999E-2</v>
      </c>
      <c r="F10795" s="2">
        <v>1.9900000000000001E-2</v>
      </c>
      <c r="G10795" s="2">
        <v>1.67E-2</v>
      </c>
      <c r="H10795" s="2">
        <v>9.5999999999999992E-3</v>
      </c>
      <c r="I10795" s="2">
        <v>6.3E-3</v>
      </c>
      <c r="J10795" s="2">
        <v>1.9E-3</v>
      </c>
      <c r="K10795">
        <v>2029</v>
      </c>
    </row>
    <row r="10796" spans="1:11" x14ac:dyDescent="0.35">
      <c r="A10796" t="s">
        <v>228</v>
      </c>
      <c r="B10796" t="s">
        <v>228</v>
      </c>
      <c r="C10796" s="2">
        <v>0.87729999999999997</v>
      </c>
      <c r="D10796" s="2">
        <v>5.8099999999999999E-2</v>
      </c>
      <c r="E10796" s="2">
        <v>2.75E-2</v>
      </c>
      <c r="F10796" s="2">
        <v>2.7E-2</v>
      </c>
      <c r="G10796" s="2">
        <v>1.6799999999999999E-2</v>
      </c>
      <c r="H10796" s="2">
        <v>8.8000000000000005E-3</v>
      </c>
      <c r="I10796" s="2">
        <v>7.3000000000000001E-3</v>
      </c>
      <c r="J10796" s="2">
        <v>1.4E-3</v>
      </c>
      <c r="K10796">
        <v>2812</v>
      </c>
    </row>
    <row r="10798" spans="1:11" x14ac:dyDescent="0.35">
      <c r="A10798" s="1" t="s">
        <v>2498</v>
      </c>
    </row>
    <row r="10799" spans="1:11" x14ac:dyDescent="0.35">
      <c r="A10799" t="s">
        <v>219</v>
      </c>
      <c r="B10799" t="s">
        <v>301</v>
      </c>
      <c r="C10799" t="s">
        <v>540</v>
      </c>
      <c r="D10799" t="s">
        <v>2486</v>
      </c>
      <c r="E10799" t="s">
        <v>2487</v>
      </c>
      <c r="F10799" t="s">
        <v>2488</v>
      </c>
      <c r="G10799" t="s">
        <v>2489</v>
      </c>
      <c r="H10799" t="s">
        <v>277</v>
      </c>
      <c r="I10799" t="s">
        <v>2490</v>
      </c>
      <c r="J10799" t="s">
        <v>282</v>
      </c>
      <c r="K10799" t="s">
        <v>226</v>
      </c>
    </row>
    <row r="10800" spans="1:11" x14ac:dyDescent="0.35">
      <c r="A10800" t="s">
        <v>227</v>
      </c>
      <c r="B10800" t="s">
        <v>259</v>
      </c>
      <c r="C10800" s="2">
        <v>0.73429999999999995</v>
      </c>
      <c r="D10800" s="2">
        <v>9.3600000000000003E-2</v>
      </c>
      <c r="E10800" s="2">
        <v>1.29E-2</v>
      </c>
      <c r="F10800" s="2">
        <v>0.1009</v>
      </c>
      <c r="G10800" s="2">
        <v>1.11E-2</v>
      </c>
      <c r="H10800" s="2">
        <v>4.87E-2</v>
      </c>
      <c r="K10800">
        <v>69</v>
      </c>
    </row>
    <row r="10801" spans="1:11" x14ac:dyDescent="0.35">
      <c r="A10801" t="s">
        <v>227</v>
      </c>
      <c r="B10801" t="s">
        <v>257</v>
      </c>
      <c r="C10801" s="2">
        <v>0.81079999999999997</v>
      </c>
      <c r="D10801" s="2">
        <v>5.9700000000000003E-2</v>
      </c>
      <c r="E10801" s="2">
        <v>6.8599999999999994E-2</v>
      </c>
      <c r="F10801" s="2">
        <v>5.4899999999999997E-2</v>
      </c>
      <c r="G10801" s="2">
        <v>3.1399999999999997E-2</v>
      </c>
      <c r="H10801" s="2">
        <v>5.7999999999999996E-3</v>
      </c>
      <c r="I10801" s="2">
        <v>6.8999999999999999E-3</v>
      </c>
      <c r="J10801" s="2">
        <v>4.1000000000000003E-3</v>
      </c>
      <c r="K10801">
        <v>405</v>
      </c>
    </row>
    <row r="10802" spans="1:11" x14ac:dyDescent="0.35">
      <c r="A10802" t="s">
        <v>227</v>
      </c>
      <c r="B10802" t="s">
        <v>256</v>
      </c>
      <c r="C10802" s="2">
        <v>0.90569999999999995</v>
      </c>
      <c r="D10802" s="2">
        <v>5.04E-2</v>
      </c>
      <c r="E10802" s="2">
        <v>1.54E-2</v>
      </c>
      <c r="F10802" s="2">
        <v>1.4E-2</v>
      </c>
      <c r="G10802" s="2">
        <v>1.11E-2</v>
      </c>
      <c r="H10802" s="2">
        <v>8.8999999999999999E-3</v>
      </c>
      <c r="I10802" s="2">
        <v>9.1000000000000004E-3</v>
      </c>
      <c r="J10802" s="2">
        <v>6.9999999999999999E-4</v>
      </c>
      <c r="K10802">
        <v>1802</v>
      </c>
    </row>
    <row r="10803" spans="1:11" x14ac:dyDescent="0.35">
      <c r="A10803" s="3" t="s">
        <v>227</v>
      </c>
      <c r="B10803" s="3" t="s">
        <v>232</v>
      </c>
      <c r="C10803" s="4">
        <v>0.80930000000000002</v>
      </c>
      <c r="D10803" s="4">
        <v>4.07E-2</v>
      </c>
      <c r="E10803" s="4">
        <v>8.1900000000000001E-2</v>
      </c>
      <c r="F10803" s="5"/>
      <c r="G10803" s="4">
        <v>0.10580000000000001</v>
      </c>
      <c r="H10803" s="4">
        <v>4.4200000000000003E-2</v>
      </c>
      <c r="I10803" s="5"/>
      <c r="J10803" s="5"/>
      <c r="K10803" s="5" t="s">
        <v>307</v>
      </c>
    </row>
    <row r="10804" spans="1:11" x14ac:dyDescent="0.35">
      <c r="A10804" t="s">
        <v>227</v>
      </c>
      <c r="B10804" t="s">
        <v>258</v>
      </c>
      <c r="C10804" s="2">
        <v>0.84240000000000004</v>
      </c>
      <c r="D10804" s="2">
        <v>8.7300000000000003E-2</v>
      </c>
      <c r="E10804" s="2">
        <v>3.56E-2</v>
      </c>
      <c r="F10804" s="2">
        <v>4.58E-2</v>
      </c>
      <c r="G10804" s="2">
        <v>2.5399999999999999E-2</v>
      </c>
      <c r="H10804" s="2">
        <v>7.0000000000000001E-3</v>
      </c>
      <c r="I10804" s="2">
        <v>5.9999999999999995E-4</v>
      </c>
      <c r="J10804" s="2">
        <v>1.9E-3</v>
      </c>
      <c r="K10804">
        <v>525</v>
      </c>
    </row>
    <row r="10805" spans="1:11" x14ac:dyDescent="0.35">
      <c r="A10805" t="s">
        <v>228</v>
      </c>
      <c r="B10805" t="s">
        <v>228</v>
      </c>
      <c r="C10805" s="2">
        <v>0.87729999999999997</v>
      </c>
      <c r="D10805" s="2">
        <v>5.8099999999999999E-2</v>
      </c>
      <c r="E10805" s="2">
        <v>2.75E-2</v>
      </c>
      <c r="F10805" s="2">
        <v>2.7E-2</v>
      </c>
      <c r="G10805" s="2">
        <v>1.6799999999999999E-2</v>
      </c>
      <c r="H10805" s="2">
        <v>8.8000000000000005E-3</v>
      </c>
      <c r="I10805" s="2">
        <v>7.3000000000000001E-3</v>
      </c>
      <c r="J10805" s="2">
        <v>1.4E-3</v>
      </c>
      <c r="K10805">
        <v>2812</v>
      </c>
    </row>
    <row r="10807" spans="1:11" x14ac:dyDescent="0.35">
      <c r="A10807" s="1" t="s">
        <v>2499</v>
      </c>
    </row>
    <row r="10808" spans="1:11" x14ac:dyDescent="0.35">
      <c r="A10808" t="s">
        <v>219</v>
      </c>
      <c r="B10808" t="s">
        <v>301</v>
      </c>
      <c r="C10808" t="s">
        <v>540</v>
      </c>
      <c r="D10808" t="s">
        <v>2486</v>
      </c>
      <c r="E10808" t="s">
        <v>2487</v>
      </c>
      <c r="F10808" t="s">
        <v>2488</v>
      </c>
      <c r="G10808" t="s">
        <v>2489</v>
      </c>
      <c r="H10808" t="s">
        <v>277</v>
      </c>
      <c r="I10808" t="s">
        <v>2490</v>
      </c>
      <c r="J10808" t="s">
        <v>282</v>
      </c>
      <c r="K10808" t="s">
        <v>226</v>
      </c>
    </row>
    <row r="10809" spans="1:11" x14ac:dyDescent="0.35">
      <c r="A10809" t="s">
        <v>227</v>
      </c>
      <c r="B10809" t="s">
        <v>343</v>
      </c>
      <c r="C10809" s="2">
        <v>0.81079999999999997</v>
      </c>
      <c r="D10809" s="2">
        <v>5.9700000000000003E-2</v>
      </c>
      <c r="E10809" s="2">
        <v>6.8599999999999994E-2</v>
      </c>
      <c r="F10809" s="2">
        <v>5.4899999999999997E-2</v>
      </c>
      <c r="G10809" s="2">
        <v>3.1399999999999997E-2</v>
      </c>
      <c r="H10809" s="2">
        <v>5.7999999999999996E-3</v>
      </c>
      <c r="I10809" s="2">
        <v>6.8999999999999999E-3</v>
      </c>
      <c r="J10809" s="2">
        <v>4.1000000000000003E-3</v>
      </c>
      <c r="K10809">
        <v>405</v>
      </c>
    </row>
    <row r="10810" spans="1:11" x14ac:dyDescent="0.35">
      <c r="A10810" t="s">
        <v>227</v>
      </c>
      <c r="B10810" t="s">
        <v>344</v>
      </c>
      <c r="C10810" s="2">
        <v>0.89080000000000004</v>
      </c>
      <c r="D10810" s="2">
        <v>5.7799999999999997E-2</v>
      </c>
      <c r="E10810" s="2">
        <v>1.9099999999999999E-2</v>
      </c>
      <c r="F10810" s="2">
        <v>2.1299999999999999E-2</v>
      </c>
      <c r="G10810" s="2">
        <v>1.3899999999999999E-2</v>
      </c>
      <c r="H10810" s="2">
        <v>9.4000000000000004E-3</v>
      </c>
      <c r="I10810" s="2">
        <v>7.4000000000000003E-3</v>
      </c>
      <c r="J10810" s="2">
        <v>8.9999999999999998E-4</v>
      </c>
      <c r="K10810">
        <v>2407</v>
      </c>
    </row>
    <row r="10811" spans="1:11" x14ac:dyDescent="0.35">
      <c r="A10811" t="s">
        <v>228</v>
      </c>
      <c r="B10811" t="s">
        <v>228</v>
      </c>
      <c r="C10811" s="2">
        <v>0.87729999999999997</v>
      </c>
      <c r="D10811" s="2">
        <v>5.8099999999999999E-2</v>
      </c>
      <c r="E10811" s="2">
        <v>2.75E-2</v>
      </c>
      <c r="F10811" s="2">
        <v>2.7E-2</v>
      </c>
      <c r="G10811" s="2">
        <v>1.6799999999999999E-2</v>
      </c>
      <c r="H10811" s="2">
        <v>8.8000000000000005E-3</v>
      </c>
      <c r="I10811" s="2">
        <v>7.3000000000000001E-3</v>
      </c>
      <c r="J10811" s="2">
        <v>1.4E-3</v>
      </c>
      <c r="K10811">
        <v>2812</v>
      </c>
    </row>
    <row r="10813" spans="1:11" x14ac:dyDescent="0.35">
      <c r="A10813" s="1" t="s">
        <v>2500</v>
      </c>
    </row>
    <row r="10814" spans="1:11" x14ac:dyDescent="0.35">
      <c r="A10814" t="s">
        <v>219</v>
      </c>
      <c r="B10814" t="s">
        <v>301</v>
      </c>
      <c r="C10814" t="s">
        <v>540</v>
      </c>
      <c r="D10814" t="s">
        <v>2486</v>
      </c>
      <c r="E10814" t="s">
        <v>2487</v>
      </c>
      <c r="F10814" t="s">
        <v>2488</v>
      </c>
      <c r="G10814" t="s">
        <v>2489</v>
      </c>
      <c r="H10814" t="s">
        <v>277</v>
      </c>
      <c r="I10814" t="s">
        <v>2490</v>
      </c>
      <c r="J10814" t="s">
        <v>282</v>
      </c>
      <c r="K10814" t="s">
        <v>226</v>
      </c>
    </row>
    <row r="10815" spans="1:11" x14ac:dyDescent="0.35">
      <c r="A10815" t="s">
        <v>227</v>
      </c>
      <c r="B10815" t="s">
        <v>346</v>
      </c>
      <c r="C10815" s="2">
        <v>0.88160000000000005</v>
      </c>
      <c r="D10815" s="2">
        <v>5.7099999999999998E-2</v>
      </c>
      <c r="E10815" s="2">
        <v>2.7199999999999998E-2</v>
      </c>
      <c r="F10815" s="2">
        <v>2.58E-2</v>
      </c>
      <c r="G10815" s="2">
        <v>1.5699999999999999E-2</v>
      </c>
      <c r="H10815" s="2">
        <v>8.5000000000000006E-3</v>
      </c>
      <c r="I10815" s="2">
        <v>7.9000000000000008E-3</v>
      </c>
      <c r="J10815" s="2">
        <v>1.1000000000000001E-3</v>
      </c>
      <c r="K10815">
        <v>1463</v>
      </c>
    </row>
    <row r="10816" spans="1:11" x14ac:dyDescent="0.35">
      <c r="A10816" t="s">
        <v>227</v>
      </c>
      <c r="B10816" t="s">
        <v>347</v>
      </c>
      <c r="C10816" s="2">
        <v>0.83420000000000005</v>
      </c>
      <c r="D10816" s="2">
        <v>7.3400000000000007E-2</v>
      </c>
      <c r="E10816" s="2">
        <v>2.9399999999999999E-2</v>
      </c>
      <c r="F10816" s="2">
        <v>4.24E-2</v>
      </c>
      <c r="G10816" s="2">
        <v>2.6800000000000001E-2</v>
      </c>
      <c r="H10816" s="2">
        <v>1.01E-2</v>
      </c>
      <c r="I10816" s="2">
        <v>1.4E-3</v>
      </c>
      <c r="J10816" s="2">
        <v>7.7000000000000002E-3</v>
      </c>
      <c r="K10816">
        <v>584</v>
      </c>
    </row>
    <row r="10817" spans="1:11" x14ac:dyDescent="0.35">
      <c r="A10817" t="s">
        <v>227</v>
      </c>
      <c r="B10817" t="s">
        <v>348</v>
      </c>
      <c r="C10817" s="2">
        <v>0.85399999999999998</v>
      </c>
      <c r="D10817" s="2">
        <v>6.1400000000000003E-2</v>
      </c>
      <c r="E10817" s="2">
        <v>2.9600000000000001E-2</v>
      </c>
      <c r="F10817" s="2">
        <v>3.2500000000000001E-2</v>
      </c>
      <c r="G10817" s="2">
        <v>2.3400000000000001E-2</v>
      </c>
      <c r="H10817" s="2">
        <v>1.14E-2</v>
      </c>
      <c r="I10817" s="2">
        <v>3.8999999999999998E-3</v>
      </c>
      <c r="J10817" s="2">
        <v>2.5000000000000001E-3</v>
      </c>
      <c r="K10817">
        <v>765</v>
      </c>
    </row>
    <row r="10818" spans="1:11" x14ac:dyDescent="0.35">
      <c r="A10818" t="s">
        <v>228</v>
      </c>
      <c r="B10818" t="s">
        <v>228</v>
      </c>
      <c r="C10818" s="2">
        <v>0.87729999999999997</v>
      </c>
      <c r="D10818" s="2">
        <v>5.8099999999999999E-2</v>
      </c>
      <c r="E10818" s="2">
        <v>2.75E-2</v>
      </c>
      <c r="F10818" s="2">
        <v>2.7E-2</v>
      </c>
      <c r="G10818" s="2">
        <v>1.6799999999999999E-2</v>
      </c>
      <c r="H10818" s="2">
        <v>8.8000000000000005E-3</v>
      </c>
      <c r="I10818" s="2">
        <v>7.3000000000000001E-3</v>
      </c>
      <c r="J10818" s="2">
        <v>1.4E-3</v>
      </c>
      <c r="K10818">
        <v>2812</v>
      </c>
    </row>
    <row r="10820" spans="1:11" x14ac:dyDescent="0.35">
      <c r="A10820" s="1" t="s">
        <v>2501</v>
      </c>
    </row>
    <row r="10821" spans="1:11" x14ac:dyDescent="0.35">
      <c r="A10821" t="s">
        <v>219</v>
      </c>
      <c r="B10821" t="s">
        <v>301</v>
      </c>
      <c r="C10821" t="s">
        <v>540</v>
      </c>
      <c r="D10821" t="s">
        <v>2486</v>
      </c>
      <c r="E10821" t="s">
        <v>2487</v>
      </c>
      <c r="F10821" t="s">
        <v>2488</v>
      </c>
      <c r="G10821" t="s">
        <v>2489</v>
      </c>
      <c r="H10821" t="s">
        <v>277</v>
      </c>
      <c r="I10821" t="s">
        <v>2490</v>
      </c>
      <c r="J10821" t="s">
        <v>282</v>
      </c>
      <c r="K10821" t="s">
        <v>226</v>
      </c>
    </row>
    <row r="10822" spans="1:11" x14ac:dyDescent="0.35">
      <c r="A10822" t="s">
        <v>227</v>
      </c>
      <c r="B10822" t="s">
        <v>251</v>
      </c>
      <c r="C10822" s="2">
        <v>0.88339999999999996</v>
      </c>
      <c r="D10822" s="2">
        <v>5.67E-2</v>
      </c>
      <c r="E10822" s="2">
        <v>2.3599999999999999E-2</v>
      </c>
      <c r="F10822" s="2">
        <v>1.9900000000000001E-2</v>
      </c>
      <c r="G10822" s="2">
        <v>1.67E-2</v>
      </c>
      <c r="H10822" s="2">
        <v>9.5999999999999992E-3</v>
      </c>
      <c r="I10822" s="2">
        <v>6.3E-3</v>
      </c>
      <c r="J10822" s="2">
        <v>1.9E-3</v>
      </c>
      <c r="K10822">
        <v>2029</v>
      </c>
    </row>
    <row r="10823" spans="1:11" x14ac:dyDescent="0.35">
      <c r="A10823" t="s">
        <v>227</v>
      </c>
      <c r="B10823" t="s">
        <v>252</v>
      </c>
      <c r="C10823" s="2">
        <v>0.8649</v>
      </c>
      <c r="D10823" s="2">
        <v>6.1100000000000002E-2</v>
      </c>
      <c r="E10823" s="2">
        <v>3.44E-2</v>
      </c>
      <c r="F10823" s="2">
        <v>3.9E-2</v>
      </c>
      <c r="G10823" s="2">
        <v>1.7600000000000001E-2</v>
      </c>
      <c r="H10823" s="2">
        <v>8.3999999999999995E-3</v>
      </c>
      <c r="I10823" s="2">
        <v>1.18E-2</v>
      </c>
      <c r="K10823">
        <v>621</v>
      </c>
    </row>
    <row r="10824" spans="1:11" x14ac:dyDescent="0.35">
      <c r="A10824" t="s">
        <v>227</v>
      </c>
      <c r="B10824" t="s">
        <v>253</v>
      </c>
      <c r="C10824" s="2">
        <v>0.84630000000000005</v>
      </c>
      <c r="D10824" s="2">
        <v>6.6199999999999995E-2</v>
      </c>
      <c r="E10824" s="2">
        <v>5.0999999999999997E-2</v>
      </c>
      <c r="F10824" s="2">
        <v>7.22E-2</v>
      </c>
      <c r="G10824" s="2">
        <v>1.67E-2</v>
      </c>
      <c r="I10824" s="2">
        <v>2.0999999999999999E-3</v>
      </c>
      <c r="K10824">
        <v>153</v>
      </c>
    </row>
    <row r="10825" spans="1:11" x14ac:dyDescent="0.35">
      <c r="A10825" s="3" t="s">
        <v>227</v>
      </c>
      <c r="B10825" s="3" t="s">
        <v>254</v>
      </c>
      <c r="C10825" s="4">
        <v>0.92720000000000002</v>
      </c>
      <c r="D10825" s="4">
        <v>1.4800000000000001E-2</v>
      </c>
      <c r="E10825" s="5"/>
      <c r="F10825" s="5"/>
      <c r="G10825" s="5"/>
      <c r="H10825" s="5"/>
      <c r="I10825" s="5"/>
      <c r="J10825" s="4">
        <v>5.8000000000000003E-2</v>
      </c>
      <c r="K10825" s="5" t="s">
        <v>515</v>
      </c>
    </row>
    <row r="10826" spans="1:11" x14ac:dyDescent="0.35">
      <c r="A10826" t="s">
        <v>228</v>
      </c>
      <c r="B10826" t="s">
        <v>228</v>
      </c>
      <c r="C10826" s="2">
        <v>0.87729999999999997</v>
      </c>
      <c r="D10826" s="2">
        <v>5.8099999999999999E-2</v>
      </c>
      <c r="E10826" s="2">
        <v>2.75E-2</v>
      </c>
      <c r="F10826" s="2">
        <v>2.7E-2</v>
      </c>
      <c r="G10826" s="2">
        <v>1.6799999999999999E-2</v>
      </c>
      <c r="H10826" s="2">
        <v>8.8000000000000005E-3</v>
      </c>
      <c r="I10826" s="2">
        <v>7.3000000000000001E-3</v>
      </c>
      <c r="J10826" s="2">
        <v>1.4E-3</v>
      </c>
      <c r="K10826">
        <v>2812</v>
      </c>
    </row>
    <row r="10828" spans="1:11" x14ac:dyDescent="0.35">
      <c r="A10828" s="1" t="s">
        <v>2502</v>
      </c>
    </row>
    <row r="10829" spans="1:11" x14ac:dyDescent="0.35">
      <c r="A10829" t="s">
        <v>219</v>
      </c>
      <c r="B10829" t="s">
        <v>301</v>
      </c>
      <c r="C10829" t="s">
        <v>540</v>
      </c>
      <c r="D10829" t="s">
        <v>2486</v>
      </c>
      <c r="E10829" t="s">
        <v>2487</v>
      </c>
      <c r="F10829" t="s">
        <v>2488</v>
      </c>
      <c r="G10829" t="s">
        <v>2489</v>
      </c>
      <c r="H10829" t="s">
        <v>277</v>
      </c>
      <c r="I10829" t="s">
        <v>2490</v>
      </c>
      <c r="J10829" t="s">
        <v>282</v>
      </c>
      <c r="K10829" t="s">
        <v>226</v>
      </c>
    </row>
    <row r="10830" spans="1:11" x14ac:dyDescent="0.35">
      <c r="A10830" t="s">
        <v>227</v>
      </c>
      <c r="B10830" t="s">
        <v>1335</v>
      </c>
      <c r="C10830" s="2">
        <v>0.89810000000000001</v>
      </c>
      <c r="D10830" s="2">
        <v>5.7500000000000002E-2</v>
      </c>
      <c r="E10830" s="2">
        <v>2.6800000000000001E-2</v>
      </c>
      <c r="F10830" s="2">
        <v>1.6500000000000001E-2</v>
      </c>
      <c r="G10830" s="2">
        <v>1.06E-2</v>
      </c>
      <c r="H10830" s="2">
        <v>4.7000000000000002E-3</v>
      </c>
      <c r="I10830" s="2">
        <v>2.8E-3</v>
      </c>
      <c r="J10830" s="2">
        <v>2.3999999999999998E-3</v>
      </c>
      <c r="K10830">
        <v>848</v>
      </c>
    </row>
    <row r="10831" spans="1:11" x14ac:dyDescent="0.35">
      <c r="A10831" s="3" t="s">
        <v>227</v>
      </c>
      <c r="B10831" s="3" t="s">
        <v>1336</v>
      </c>
      <c r="C10831" s="4">
        <v>0.59340000000000004</v>
      </c>
      <c r="D10831" s="4">
        <v>0.40660000000000002</v>
      </c>
      <c r="E10831" s="5"/>
      <c r="F10831" s="5"/>
      <c r="G10831" s="5"/>
      <c r="H10831" s="5"/>
      <c r="I10831" s="5"/>
      <c r="J10831" s="5"/>
      <c r="K10831" s="5" t="s">
        <v>434</v>
      </c>
    </row>
    <row r="10832" spans="1:11" x14ac:dyDescent="0.35">
      <c r="A10832" t="s">
        <v>227</v>
      </c>
      <c r="B10832" t="s">
        <v>1337</v>
      </c>
      <c r="C10832" s="2">
        <v>0.86739999999999995</v>
      </c>
      <c r="D10832" s="2">
        <v>5.7700000000000001E-2</v>
      </c>
      <c r="E10832" s="2">
        <v>2.7900000000000001E-2</v>
      </c>
      <c r="F10832" s="2">
        <v>3.2399999999999998E-2</v>
      </c>
      <c r="G10832" s="2">
        <v>0.02</v>
      </c>
      <c r="H10832" s="2">
        <v>1.09E-2</v>
      </c>
      <c r="I10832" s="2">
        <v>9.5999999999999992E-3</v>
      </c>
      <c r="J10832" s="2">
        <v>1E-3</v>
      </c>
      <c r="K10832">
        <v>1962</v>
      </c>
    </row>
    <row r="10833" spans="1:12" x14ac:dyDescent="0.35">
      <c r="A10833" t="s">
        <v>228</v>
      </c>
      <c r="B10833" t="s">
        <v>228</v>
      </c>
      <c r="C10833" s="2">
        <v>0.87729999999999997</v>
      </c>
      <c r="D10833" s="2">
        <v>5.8099999999999999E-2</v>
      </c>
      <c r="E10833" s="2">
        <v>2.75E-2</v>
      </c>
      <c r="F10833" s="2">
        <v>2.7E-2</v>
      </c>
      <c r="G10833" s="2">
        <v>1.6799999999999999E-2</v>
      </c>
      <c r="H10833" s="2">
        <v>8.8000000000000005E-3</v>
      </c>
      <c r="I10833" s="2">
        <v>7.3000000000000001E-3</v>
      </c>
      <c r="J10833" s="2">
        <v>1.4E-3</v>
      </c>
      <c r="K10833">
        <v>2812</v>
      </c>
    </row>
    <row r="10835" spans="1:12" x14ac:dyDescent="0.35">
      <c r="A10835" s="1" t="s">
        <v>2503</v>
      </c>
    </row>
    <row r="10836" spans="1:12" x14ac:dyDescent="0.35">
      <c r="A10836" t="s">
        <v>219</v>
      </c>
      <c r="B10836" t="s">
        <v>301</v>
      </c>
      <c r="C10836" t="s">
        <v>540</v>
      </c>
      <c r="D10836" t="s">
        <v>2486</v>
      </c>
      <c r="E10836" t="s">
        <v>2487</v>
      </c>
      <c r="F10836" t="s">
        <v>2488</v>
      </c>
      <c r="G10836" t="s">
        <v>2489</v>
      </c>
      <c r="H10836" t="s">
        <v>277</v>
      </c>
      <c r="I10836" t="s">
        <v>2490</v>
      </c>
      <c r="J10836" t="s">
        <v>282</v>
      </c>
      <c r="K10836" t="s">
        <v>226</v>
      </c>
    </row>
    <row r="10837" spans="1:12" x14ac:dyDescent="0.35">
      <c r="A10837" t="s">
        <v>227</v>
      </c>
      <c r="B10837" t="s">
        <v>1339</v>
      </c>
      <c r="C10837" s="2">
        <v>0.96519999999999995</v>
      </c>
      <c r="D10837" s="2">
        <v>3.3599999999999998E-2</v>
      </c>
      <c r="E10837" s="2">
        <v>1.1999999999999999E-3</v>
      </c>
      <c r="G10837" s="2">
        <v>2.0999999999999999E-3</v>
      </c>
      <c r="K10837">
        <v>51</v>
      </c>
    </row>
    <row r="10838" spans="1:12" x14ac:dyDescent="0.35">
      <c r="A10838" t="s">
        <v>227</v>
      </c>
      <c r="B10838" t="s">
        <v>1340</v>
      </c>
      <c r="C10838" s="2">
        <v>0.84060000000000001</v>
      </c>
      <c r="D10838" s="2">
        <v>7.3499999999999996E-2</v>
      </c>
      <c r="E10838" s="2">
        <v>4.9299999999999997E-2</v>
      </c>
      <c r="F10838" s="2">
        <v>5.3499999999999999E-2</v>
      </c>
      <c r="G10838" s="2">
        <v>1.9099999999999999E-2</v>
      </c>
      <c r="H10838" s="2">
        <v>1.2999999999999999E-3</v>
      </c>
      <c r="I10838" s="2">
        <v>1.5299999999999999E-2</v>
      </c>
      <c r="J10838" s="2">
        <v>4.0000000000000002E-4</v>
      </c>
      <c r="K10838">
        <v>729</v>
      </c>
    </row>
    <row r="10839" spans="1:12" x14ac:dyDescent="0.35">
      <c r="A10839" t="s">
        <v>227</v>
      </c>
      <c r="B10839" t="s">
        <v>1341</v>
      </c>
      <c r="C10839" s="2">
        <v>0.87549999999999994</v>
      </c>
      <c r="D10839" s="2">
        <v>6.3299999999999995E-2</v>
      </c>
      <c r="E10839" s="2">
        <v>2.8899999999999999E-2</v>
      </c>
      <c r="F10839" s="2">
        <v>2.4299999999999999E-2</v>
      </c>
      <c r="G10839" s="2">
        <v>1.2200000000000001E-2</v>
      </c>
      <c r="H10839" s="2">
        <v>8.0999999999999996E-3</v>
      </c>
      <c r="I10839" s="2">
        <v>7.1000000000000004E-3</v>
      </c>
      <c r="J10839" s="2">
        <v>1.8E-3</v>
      </c>
      <c r="K10839">
        <v>1344</v>
      </c>
    </row>
    <row r="10840" spans="1:12" x14ac:dyDescent="0.35">
      <c r="A10840" t="s">
        <v>227</v>
      </c>
      <c r="B10840" t="s">
        <v>1342</v>
      </c>
      <c r="C10840" s="2">
        <v>0.90980000000000005</v>
      </c>
      <c r="D10840" s="2">
        <v>3.3599999999999998E-2</v>
      </c>
      <c r="E10840" s="2">
        <v>4.7999999999999996E-3</v>
      </c>
      <c r="F10840" s="2">
        <v>8.5000000000000006E-3</v>
      </c>
      <c r="G10840" s="2">
        <v>2.6100000000000002E-2</v>
      </c>
      <c r="H10840" s="2">
        <v>1.8800000000000001E-2</v>
      </c>
      <c r="I10840" s="2">
        <v>4.0000000000000002E-4</v>
      </c>
      <c r="J10840" s="2">
        <v>1.6999999999999999E-3</v>
      </c>
      <c r="K10840">
        <v>688</v>
      </c>
    </row>
    <row r="10841" spans="1:12" x14ac:dyDescent="0.35">
      <c r="A10841" t="s">
        <v>228</v>
      </c>
      <c r="B10841" t="s">
        <v>228</v>
      </c>
      <c r="C10841" s="2">
        <v>0.87729999999999997</v>
      </c>
      <c r="D10841" s="2">
        <v>5.8099999999999999E-2</v>
      </c>
      <c r="E10841" s="2">
        <v>2.75E-2</v>
      </c>
      <c r="F10841" s="2">
        <v>2.7E-2</v>
      </c>
      <c r="G10841" s="2">
        <v>1.6799999999999999E-2</v>
      </c>
      <c r="H10841" s="2">
        <v>8.8000000000000005E-3</v>
      </c>
      <c r="I10841" s="2">
        <v>7.3000000000000001E-3</v>
      </c>
      <c r="J10841" s="2">
        <v>1.4E-3</v>
      </c>
      <c r="K10841">
        <v>2812</v>
      </c>
    </row>
    <row r="10843" spans="1:12" x14ac:dyDescent="0.35">
      <c r="A10843" s="1" t="s">
        <v>2504</v>
      </c>
    </row>
    <row r="10844" spans="1:12" x14ac:dyDescent="0.35">
      <c r="A10844" t="s">
        <v>219</v>
      </c>
      <c r="B10844" t="s">
        <v>301</v>
      </c>
      <c r="C10844" t="s">
        <v>325</v>
      </c>
      <c r="D10844" t="s">
        <v>540</v>
      </c>
      <c r="E10844" t="s">
        <v>2486</v>
      </c>
      <c r="F10844" t="s">
        <v>2487</v>
      </c>
      <c r="G10844" t="s">
        <v>2488</v>
      </c>
      <c r="H10844" t="s">
        <v>2489</v>
      </c>
      <c r="I10844" t="s">
        <v>277</v>
      </c>
      <c r="J10844" t="s">
        <v>2490</v>
      </c>
      <c r="K10844" t="s">
        <v>282</v>
      </c>
      <c r="L10844" t="s">
        <v>226</v>
      </c>
    </row>
    <row r="10845" spans="1:12" x14ac:dyDescent="0.35">
      <c r="A10845" s="3" t="s">
        <v>227</v>
      </c>
      <c r="B10845" s="3" t="s">
        <v>1335</v>
      </c>
      <c r="C10845" s="3" t="s">
        <v>1339</v>
      </c>
      <c r="D10845" s="4">
        <v>0.9909</v>
      </c>
      <c r="E10845" s="4">
        <v>5.7999999999999996E-3</v>
      </c>
      <c r="F10845" s="4">
        <v>3.3E-3</v>
      </c>
      <c r="G10845" s="5"/>
      <c r="H10845" s="4">
        <v>5.7999999999999996E-3</v>
      </c>
      <c r="I10845" s="5"/>
      <c r="J10845" s="5"/>
      <c r="K10845" s="5"/>
      <c r="L10845" s="5" t="s">
        <v>427</v>
      </c>
    </row>
    <row r="10846" spans="1:12" x14ac:dyDescent="0.35">
      <c r="A10846" t="s">
        <v>227</v>
      </c>
      <c r="B10846" t="s">
        <v>1335</v>
      </c>
      <c r="C10846" t="s">
        <v>1340</v>
      </c>
      <c r="D10846" s="2">
        <v>0.86</v>
      </c>
      <c r="E10846" s="2">
        <v>8.4199999999999997E-2</v>
      </c>
      <c r="F10846" s="2">
        <v>4.9700000000000001E-2</v>
      </c>
      <c r="G10846" s="2">
        <v>3.1099999999999999E-2</v>
      </c>
      <c r="H10846" s="2">
        <v>1.11E-2</v>
      </c>
      <c r="I10846" s="2">
        <v>1E-3</v>
      </c>
      <c r="J10846" s="2">
        <v>1.09E-2</v>
      </c>
      <c r="K10846" s="2">
        <v>1.1999999999999999E-3</v>
      </c>
      <c r="L10846">
        <v>252</v>
      </c>
    </row>
    <row r="10847" spans="1:12" x14ac:dyDescent="0.35">
      <c r="A10847" t="s">
        <v>227</v>
      </c>
      <c r="B10847" t="s">
        <v>1335</v>
      </c>
      <c r="C10847" t="s">
        <v>1341</v>
      </c>
      <c r="D10847" s="2">
        <v>0.89129999999999998</v>
      </c>
      <c r="E10847" s="2">
        <v>6.2199999999999998E-2</v>
      </c>
      <c r="F10847" s="2">
        <v>2.6100000000000002E-2</v>
      </c>
      <c r="G10847" s="2">
        <v>1.21E-2</v>
      </c>
      <c r="H10847" s="2">
        <v>5.1999999999999998E-3</v>
      </c>
      <c r="I10847" s="2">
        <v>7.7999999999999996E-3</v>
      </c>
      <c r="K10847" s="2">
        <v>3.7000000000000002E-3</v>
      </c>
      <c r="L10847">
        <v>419</v>
      </c>
    </row>
    <row r="10848" spans="1:12" x14ac:dyDescent="0.35">
      <c r="A10848" t="s">
        <v>227</v>
      </c>
      <c r="B10848" t="s">
        <v>1335</v>
      </c>
      <c r="C10848" t="s">
        <v>1342</v>
      </c>
      <c r="D10848" s="2">
        <v>0.95540000000000003</v>
      </c>
      <c r="E10848" s="2">
        <v>1.5599999999999999E-2</v>
      </c>
      <c r="F10848" s="2">
        <v>1.2999999999999999E-3</v>
      </c>
      <c r="G10848" s="2">
        <v>1.0999999999999999E-2</v>
      </c>
      <c r="H10848" s="2">
        <v>2.5100000000000001E-2</v>
      </c>
      <c r="I10848" s="2">
        <v>1.8E-3</v>
      </c>
      <c r="K10848" s="2">
        <v>6.9999999999999999E-4</v>
      </c>
      <c r="L10848">
        <v>157</v>
      </c>
    </row>
    <row r="10849" spans="1:12" x14ac:dyDescent="0.35">
      <c r="A10849" s="3" t="s">
        <v>227</v>
      </c>
      <c r="B10849" s="3" t="s">
        <v>1336</v>
      </c>
      <c r="C10849" s="3" t="s">
        <v>1341</v>
      </c>
      <c r="D10849" s="4">
        <v>0.59340000000000004</v>
      </c>
      <c r="E10849" s="4">
        <v>0.40660000000000002</v>
      </c>
      <c r="F10849" s="5"/>
      <c r="G10849" s="5"/>
      <c r="H10849" s="5"/>
      <c r="I10849" s="5"/>
      <c r="J10849" s="5"/>
      <c r="K10849" s="5"/>
      <c r="L10849" s="5" t="s">
        <v>434</v>
      </c>
    </row>
    <row r="10850" spans="1:12" x14ac:dyDescent="0.35">
      <c r="A10850" t="s">
        <v>227</v>
      </c>
      <c r="B10850" t="s">
        <v>1337</v>
      </c>
      <c r="C10850" t="s">
        <v>1339</v>
      </c>
      <c r="D10850" s="2">
        <v>0.95030000000000003</v>
      </c>
      <c r="E10850" s="2">
        <v>4.9700000000000001E-2</v>
      </c>
      <c r="L10850">
        <v>31</v>
      </c>
    </row>
    <row r="10851" spans="1:12" x14ac:dyDescent="0.35">
      <c r="A10851" t="s">
        <v>227</v>
      </c>
      <c r="B10851" t="s">
        <v>1337</v>
      </c>
      <c r="C10851" t="s">
        <v>1340</v>
      </c>
      <c r="D10851" s="2">
        <v>0.82969999999999999</v>
      </c>
      <c r="E10851" s="2">
        <v>6.7400000000000002E-2</v>
      </c>
      <c r="F10851" s="2">
        <v>4.9000000000000002E-2</v>
      </c>
      <c r="G10851" s="2">
        <v>6.6199999999999995E-2</v>
      </c>
      <c r="H10851" s="2">
        <v>2.3699999999999999E-2</v>
      </c>
      <c r="I10851" s="2">
        <v>1.5E-3</v>
      </c>
      <c r="J10851" s="2">
        <v>1.78E-2</v>
      </c>
      <c r="L10851">
        <v>477</v>
      </c>
    </row>
    <row r="10852" spans="1:12" x14ac:dyDescent="0.35">
      <c r="A10852" t="s">
        <v>227</v>
      </c>
      <c r="B10852" t="s">
        <v>1337</v>
      </c>
      <c r="C10852" t="s">
        <v>1341</v>
      </c>
      <c r="D10852" s="2">
        <v>0.86850000000000005</v>
      </c>
      <c r="E10852" s="2">
        <v>6.2300000000000001E-2</v>
      </c>
      <c r="F10852" s="2">
        <v>3.0599999999999999E-2</v>
      </c>
      <c r="G10852" s="2">
        <v>3.09E-2</v>
      </c>
      <c r="H10852" s="2">
        <v>1.5900000000000001E-2</v>
      </c>
      <c r="I10852" s="2">
        <v>8.3999999999999995E-3</v>
      </c>
      <c r="J10852" s="2">
        <v>1.09E-2</v>
      </c>
      <c r="K10852" s="2">
        <v>8.9999999999999998E-4</v>
      </c>
      <c r="L10852">
        <v>923</v>
      </c>
    </row>
    <row r="10853" spans="1:12" x14ac:dyDescent="0.35">
      <c r="A10853" t="s">
        <v>227</v>
      </c>
      <c r="B10853" t="s">
        <v>1337</v>
      </c>
      <c r="C10853" t="s">
        <v>1342</v>
      </c>
      <c r="D10853" s="2">
        <v>0.89229999999999998</v>
      </c>
      <c r="E10853" s="2">
        <v>4.0599999999999997E-2</v>
      </c>
      <c r="F10853" s="2">
        <v>6.1000000000000004E-3</v>
      </c>
      <c r="G10853" s="2">
        <v>7.6E-3</v>
      </c>
      <c r="H10853" s="2">
        <v>2.64E-2</v>
      </c>
      <c r="I10853" s="2">
        <v>2.53E-2</v>
      </c>
      <c r="J10853" s="2">
        <v>5.0000000000000001E-4</v>
      </c>
      <c r="K10853" s="2">
        <v>2.0999999999999999E-3</v>
      </c>
      <c r="L10853">
        <v>531</v>
      </c>
    </row>
    <row r="10854" spans="1:12" x14ac:dyDescent="0.35">
      <c r="A10854" t="s">
        <v>228</v>
      </c>
      <c r="B10854" t="s">
        <v>228</v>
      </c>
      <c r="C10854" t="s">
        <v>228</v>
      </c>
      <c r="D10854" s="2">
        <v>0.87729999999999997</v>
      </c>
      <c r="E10854" s="2">
        <v>5.8099999999999999E-2</v>
      </c>
      <c r="F10854" s="2">
        <v>2.75E-2</v>
      </c>
      <c r="G10854" s="2">
        <v>2.7E-2</v>
      </c>
      <c r="H10854" s="2">
        <v>1.6799999999999999E-2</v>
      </c>
      <c r="I10854" s="2">
        <v>8.8000000000000005E-3</v>
      </c>
      <c r="J10854" s="2">
        <v>7.3000000000000001E-3</v>
      </c>
      <c r="K10854" s="2">
        <v>1.4E-3</v>
      </c>
      <c r="L10854">
        <v>2812</v>
      </c>
    </row>
    <row r="10856" spans="1:12" x14ac:dyDescent="0.35">
      <c r="A10856" s="1" t="s">
        <v>2505</v>
      </c>
    </row>
    <row r="10857" spans="1:12" x14ac:dyDescent="0.35">
      <c r="A10857" t="s">
        <v>219</v>
      </c>
      <c r="B10857" t="s">
        <v>299</v>
      </c>
      <c r="C10857" t="s">
        <v>298</v>
      </c>
      <c r="D10857" t="s">
        <v>277</v>
      </c>
      <c r="E10857" t="s">
        <v>226</v>
      </c>
    </row>
    <row r="10858" spans="1:12" x14ac:dyDescent="0.35">
      <c r="A10858" t="s">
        <v>227</v>
      </c>
      <c r="B10858" s="2">
        <v>0.59989999999999999</v>
      </c>
      <c r="C10858" s="2">
        <v>0.38919999999999999</v>
      </c>
      <c r="D10858" s="2">
        <v>1.09E-2</v>
      </c>
      <c r="E10858">
        <v>357</v>
      </c>
    </row>
    <row r="10859" spans="1:12" x14ac:dyDescent="0.35">
      <c r="A10859" t="s">
        <v>228</v>
      </c>
      <c r="B10859" s="2">
        <v>0.59989999999999999</v>
      </c>
      <c r="C10859" s="2">
        <v>0.38919999999999999</v>
      </c>
      <c r="D10859" s="2">
        <v>1.09E-2</v>
      </c>
      <c r="E10859">
        <v>357</v>
      </c>
    </row>
    <row r="10861" spans="1:12" x14ac:dyDescent="0.35">
      <c r="A10861" s="1" t="s">
        <v>2506</v>
      </c>
    </row>
    <row r="10862" spans="1:12" x14ac:dyDescent="0.35">
      <c r="A10862" t="s">
        <v>219</v>
      </c>
      <c r="B10862" t="s">
        <v>301</v>
      </c>
      <c r="C10862" t="s">
        <v>299</v>
      </c>
      <c r="D10862" t="s">
        <v>298</v>
      </c>
      <c r="E10862" t="s">
        <v>277</v>
      </c>
      <c r="F10862" t="s">
        <v>226</v>
      </c>
    </row>
    <row r="10863" spans="1:12" x14ac:dyDescent="0.35">
      <c r="A10863" t="s">
        <v>227</v>
      </c>
      <c r="B10863" t="s">
        <v>238</v>
      </c>
      <c r="C10863" s="2">
        <v>0.5323</v>
      </c>
      <c r="D10863" s="2">
        <v>0.46050000000000002</v>
      </c>
      <c r="E10863" s="2">
        <v>7.1999999999999998E-3</v>
      </c>
      <c r="F10863">
        <v>148</v>
      </c>
    </row>
    <row r="10864" spans="1:12" x14ac:dyDescent="0.35">
      <c r="A10864" t="s">
        <v>227</v>
      </c>
      <c r="B10864" t="s">
        <v>237</v>
      </c>
      <c r="C10864" s="2">
        <v>0.64439999999999997</v>
      </c>
      <c r="D10864" s="2">
        <v>0.3422</v>
      </c>
      <c r="E10864" s="2">
        <v>1.34E-2</v>
      </c>
      <c r="F10864">
        <v>209</v>
      </c>
    </row>
    <row r="10865" spans="1:6" x14ac:dyDescent="0.35">
      <c r="A10865" t="s">
        <v>228</v>
      </c>
      <c r="B10865" t="s">
        <v>228</v>
      </c>
      <c r="C10865" s="2">
        <v>0.59989999999999999</v>
      </c>
      <c r="D10865" s="2">
        <v>0.38919999999999999</v>
      </c>
      <c r="E10865" s="2">
        <v>1.09E-2</v>
      </c>
      <c r="F10865">
        <v>357</v>
      </c>
    </row>
    <row r="10867" spans="1:6" x14ac:dyDescent="0.35">
      <c r="A10867" s="1" t="s">
        <v>2507</v>
      </c>
    </row>
    <row r="10868" spans="1:6" x14ac:dyDescent="0.35">
      <c r="A10868" t="s">
        <v>219</v>
      </c>
      <c r="B10868" t="s">
        <v>301</v>
      </c>
      <c r="C10868" t="s">
        <v>299</v>
      </c>
      <c r="D10868" t="s">
        <v>298</v>
      </c>
      <c r="E10868" t="s">
        <v>277</v>
      </c>
      <c r="F10868" t="s">
        <v>226</v>
      </c>
    </row>
    <row r="10869" spans="1:6" x14ac:dyDescent="0.35">
      <c r="A10869" t="s">
        <v>227</v>
      </c>
      <c r="B10869" t="s">
        <v>235</v>
      </c>
      <c r="C10869" s="2">
        <v>0.63560000000000005</v>
      </c>
      <c r="D10869" s="2">
        <v>0.35620000000000002</v>
      </c>
      <c r="E10869" s="2">
        <v>8.0999999999999996E-3</v>
      </c>
      <c r="F10869">
        <v>130</v>
      </c>
    </row>
    <row r="10870" spans="1:6" x14ac:dyDescent="0.35">
      <c r="A10870" t="s">
        <v>227</v>
      </c>
      <c r="B10870" t="s">
        <v>234</v>
      </c>
      <c r="C10870" s="2">
        <v>0.58250000000000002</v>
      </c>
      <c r="D10870" s="2">
        <v>0.4052</v>
      </c>
      <c r="E10870" s="2">
        <v>1.23E-2</v>
      </c>
      <c r="F10870">
        <v>227</v>
      </c>
    </row>
    <row r="10871" spans="1:6" x14ac:dyDescent="0.35">
      <c r="A10871" t="s">
        <v>228</v>
      </c>
      <c r="B10871" t="s">
        <v>228</v>
      </c>
      <c r="C10871" s="2">
        <v>0.59989999999999999</v>
      </c>
      <c r="D10871" s="2">
        <v>0.38919999999999999</v>
      </c>
      <c r="E10871" s="2">
        <v>1.09E-2</v>
      </c>
      <c r="F10871">
        <v>357</v>
      </c>
    </row>
    <row r="10873" spans="1:6" x14ac:dyDescent="0.35">
      <c r="A10873" s="1" t="s">
        <v>2508</v>
      </c>
    </row>
    <row r="10874" spans="1:6" x14ac:dyDescent="0.35">
      <c r="A10874" t="s">
        <v>219</v>
      </c>
      <c r="B10874" t="s">
        <v>301</v>
      </c>
      <c r="C10874" t="s">
        <v>299</v>
      </c>
      <c r="D10874" t="s">
        <v>298</v>
      </c>
      <c r="E10874" t="s">
        <v>277</v>
      </c>
      <c r="F10874" t="s">
        <v>226</v>
      </c>
    </row>
    <row r="10875" spans="1:6" x14ac:dyDescent="0.35">
      <c r="A10875" t="s">
        <v>227</v>
      </c>
      <c r="B10875" t="s">
        <v>240</v>
      </c>
      <c r="C10875" s="2">
        <v>0.58899999999999997</v>
      </c>
      <c r="D10875" s="2">
        <v>0.40579999999999999</v>
      </c>
      <c r="E10875" s="2">
        <v>5.1999999999999998E-3</v>
      </c>
      <c r="F10875">
        <v>245</v>
      </c>
    </row>
    <row r="10876" spans="1:6" x14ac:dyDescent="0.35">
      <c r="A10876" t="s">
        <v>227</v>
      </c>
      <c r="B10876" t="s">
        <v>241</v>
      </c>
      <c r="C10876" s="2">
        <v>0.62429999999999997</v>
      </c>
      <c r="D10876" s="2">
        <v>0.34310000000000002</v>
      </c>
      <c r="E10876" s="2">
        <v>3.2599999999999997E-2</v>
      </c>
      <c r="F10876">
        <v>88</v>
      </c>
    </row>
    <row r="10877" spans="1:6" x14ac:dyDescent="0.35">
      <c r="A10877" s="3" t="s">
        <v>227</v>
      </c>
      <c r="B10877" s="3" t="s">
        <v>242</v>
      </c>
      <c r="C10877" s="4">
        <v>0.65190000000000003</v>
      </c>
      <c r="D10877" s="4">
        <v>0.34810000000000002</v>
      </c>
      <c r="E10877" s="5"/>
      <c r="F10877" s="5" t="s">
        <v>368</v>
      </c>
    </row>
    <row r="10878" spans="1:6" x14ac:dyDescent="0.35">
      <c r="A10878" t="s">
        <v>228</v>
      </c>
      <c r="B10878" t="s">
        <v>228</v>
      </c>
      <c r="C10878" s="2">
        <v>0.59989999999999999</v>
      </c>
      <c r="D10878" s="2">
        <v>0.38919999999999999</v>
      </c>
      <c r="E10878" s="2">
        <v>1.09E-2</v>
      </c>
      <c r="F10878">
        <v>357</v>
      </c>
    </row>
    <row r="10880" spans="1:6" x14ac:dyDescent="0.35">
      <c r="A10880" s="1" t="s">
        <v>2509</v>
      </c>
    </row>
    <row r="10881" spans="1:6" x14ac:dyDescent="0.35">
      <c r="A10881" t="s">
        <v>219</v>
      </c>
      <c r="B10881" t="s">
        <v>301</v>
      </c>
      <c r="C10881" t="s">
        <v>299</v>
      </c>
      <c r="D10881" t="s">
        <v>298</v>
      </c>
      <c r="E10881" t="s">
        <v>277</v>
      </c>
      <c r="F10881" t="s">
        <v>226</v>
      </c>
    </row>
    <row r="10882" spans="1:6" x14ac:dyDescent="0.35">
      <c r="A10882" t="s">
        <v>227</v>
      </c>
      <c r="B10882" t="s">
        <v>334</v>
      </c>
      <c r="C10882" s="2">
        <v>0.50229999999999997</v>
      </c>
      <c r="D10882" s="2">
        <v>0.48959999999999998</v>
      </c>
      <c r="E10882" s="2">
        <v>8.0999999999999996E-3</v>
      </c>
      <c r="F10882">
        <v>84</v>
      </c>
    </row>
    <row r="10883" spans="1:6" x14ac:dyDescent="0.35">
      <c r="A10883" t="s">
        <v>227</v>
      </c>
      <c r="B10883" t="s">
        <v>335</v>
      </c>
      <c r="C10883" s="2">
        <v>0.64270000000000005</v>
      </c>
      <c r="D10883" s="2">
        <v>0.33050000000000002</v>
      </c>
      <c r="E10883" s="2">
        <v>2.6800000000000001E-2</v>
      </c>
      <c r="F10883">
        <v>68</v>
      </c>
    </row>
    <row r="10884" spans="1:6" x14ac:dyDescent="0.35">
      <c r="A10884" t="s">
        <v>227</v>
      </c>
      <c r="B10884" t="s">
        <v>336</v>
      </c>
      <c r="C10884" s="2">
        <v>0.54110000000000003</v>
      </c>
      <c r="D10884" s="2">
        <v>0.45889999999999997</v>
      </c>
      <c r="F10884">
        <v>85</v>
      </c>
    </row>
    <row r="10885" spans="1:6" x14ac:dyDescent="0.35">
      <c r="A10885" t="s">
        <v>227</v>
      </c>
      <c r="B10885" t="s">
        <v>337</v>
      </c>
      <c r="C10885" s="2">
        <v>0.66890000000000005</v>
      </c>
      <c r="D10885" s="2">
        <v>0.32390000000000002</v>
      </c>
      <c r="E10885" s="2">
        <v>7.1999999999999998E-3</v>
      </c>
      <c r="F10885">
        <v>78</v>
      </c>
    </row>
    <row r="10886" spans="1:6" x14ac:dyDescent="0.35">
      <c r="A10886" t="s">
        <v>228</v>
      </c>
      <c r="B10886" t="s">
        <v>228</v>
      </c>
      <c r="C10886" s="2">
        <v>0.59989999999999999</v>
      </c>
      <c r="D10886" s="2">
        <v>0.38919999999999999</v>
      </c>
      <c r="E10886" s="2">
        <v>1.09E-2</v>
      </c>
      <c r="F10886">
        <v>315</v>
      </c>
    </row>
    <row r="10888" spans="1:6" x14ac:dyDescent="0.35">
      <c r="A10888" s="1" t="s">
        <v>2510</v>
      </c>
    </row>
    <row r="10889" spans="1:6" x14ac:dyDescent="0.35">
      <c r="A10889" t="s">
        <v>219</v>
      </c>
      <c r="B10889" t="s">
        <v>301</v>
      </c>
      <c r="C10889" t="s">
        <v>299</v>
      </c>
      <c r="D10889" t="s">
        <v>298</v>
      </c>
      <c r="E10889" t="s">
        <v>277</v>
      </c>
      <c r="F10889" t="s">
        <v>226</v>
      </c>
    </row>
    <row r="10890" spans="1:6" x14ac:dyDescent="0.35">
      <c r="A10890" t="s">
        <v>227</v>
      </c>
      <c r="B10890" t="s">
        <v>263</v>
      </c>
      <c r="C10890" s="2">
        <v>0.63529999999999998</v>
      </c>
      <c r="D10890" s="2">
        <v>0.33750000000000002</v>
      </c>
      <c r="E10890" s="2">
        <v>2.7300000000000001E-2</v>
      </c>
      <c r="F10890">
        <v>56</v>
      </c>
    </row>
    <row r="10891" spans="1:6" x14ac:dyDescent="0.35">
      <c r="A10891" t="s">
        <v>227</v>
      </c>
      <c r="B10891" t="s">
        <v>262</v>
      </c>
      <c r="C10891" s="2">
        <v>0.54759999999999998</v>
      </c>
      <c r="D10891" s="2">
        <v>0.44440000000000002</v>
      </c>
      <c r="E10891" s="2">
        <v>8.0000000000000002E-3</v>
      </c>
      <c r="F10891">
        <v>156</v>
      </c>
    </row>
    <row r="10892" spans="1:6" x14ac:dyDescent="0.35">
      <c r="A10892" t="s">
        <v>227</v>
      </c>
      <c r="B10892" t="s">
        <v>261</v>
      </c>
      <c r="C10892" s="2">
        <v>0.61609999999999998</v>
      </c>
      <c r="D10892" s="2">
        <v>0.37819999999999998</v>
      </c>
      <c r="E10892" s="2">
        <v>5.7000000000000002E-3</v>
      </c>
      <c r="F10892">
        <v>144</v>
      </c>
    </row>
    <row r="10893" spans="1:6" x14ac:dyDescent="0.35">
      <c r="A10893" s="3" t="s">
        <v>227</v>
      </c>
      <c r="B10893" s="3" t="s">
        <v>232</v>
      </c>
      <c r="C10893" s="4">
        <v>1</v>
      </c>
      <c r="D10893" s="5"/>
      <c r="E10893" s="5"/>
      <c r="F10893" s="5" t="s">
        <v>323</v>
      </c>
    </row>
    <row r="10894" spans="1:6" x14ac:dyDescent="0.35">
      <c r="A10894" t="s">
        <v>228</v>
      </c>
      <c r="B10894" t="s">
        <v>228</v>
      </c>
      <c r="C10894" s="2">
        <v>0.59989999999999999</v>
      </c>
      <c r="D10894" s="2">
        <v>0.38919999999999999</v>
      </c>
      <c r="E10894" s="2">
        <v>1.09E-2</v>
      </c>
      <c r="F10894">
        <v>357</v>
      </c>
    </row>
    <row r="10896" spans="1:6" x14ac:dyDescent="0.35">
      <c r="A10896" s="1" t="s">
        <v>2511</v>
      </c>
    </row>
    <row r="10897" spans="1:6" x14ac:dyDescent="0.35">
      <c r="A10897" t="s">
        <v>219</v>
      </c>
      <c r="B10897" t="s">
        <v>301</v>
      </c>
      <c r="C10897" t="s">
        <v>299</v>
      </c>
      <c r="D10897" t="s">
        <v>298</v>
      </c>
      <c r="E10897" t="s">
        <v>277</v>
      </c>
      <c r="F10897" t="s">
        <v>226</v>
      </c>
    </row>
    <row r="10898" spans="1:6" x14ac:dyDescent="0.35">
      <c r="A10898" t="s">
        <v>227</v>
      </c>
      <c r="B10898" t="s">
        <v>248</v>
      </c>
      <c r="C10898" s="2">
        <v>0.77539999999999998</v>
      </c>
      <c r="D10898" s="2">
        <v>0.21590000000000001</v>
      </c>
      <c r="E10898" s="2">
        <v>8.6999999999999994E-3</v>
      </c>
      <c r="F10898">
        <v>84</v>
      </c>
    </row>
    <row r="10899" spans="1:6" x14ac:dyDescent="0.35">
      <c r="A10899" t="s">
        <v>227</v>
      </c>
      <c r="B10899" t="s">
        <v>249</v>
      </c>
      <c r="C10899" s="2">
        <v>0.55430000000000001</v>
      </c>
      <c r="D10899" s="2">
        <v>0.43659999999999999</v>
      </c>
      <c r="E10899" s="2">
        <v>9.1000000000000004E-3</v>
      </c>
      <c r="F10899">
        <v>70</v>
      </c>
    </row>
    <row r="10900" spans="1:6" x14ac:dyDescent="0.35">
      <c r="A10900" t="s">
        <v>227</v>
      </c>
      <c r="B10900" t="s">
        <v>247</v>
      </c>
      <c r="C10900" s="2">
        <v>0.55740000000000001</v>
      </c>
      <c r="D10900" s="2">
        <v>0.4304</v>
      </c>
      <c r="E10900" s="2">
        <v>1.2200000000000001E-2</v>
      </c>
      <c r="F10900">
        <v>203</v>
      </c>
    </row>
    <row r="10901" spans="1:6" x14ac:dyDescent="0.35">
      <c r="A10901" t="s">
        <v>228</v>
      </c>
      <c r="B10901" t="s">
        <v>228</v>
      </c>
      <c r="C10901" s="2">
        <v>0.59989999999999999</v>
      </c>
      <c r="D10901" s="2">
        <v>0.38919999999999999</v>
      </c>
      <c r="E10901" s="2">
        <v>1.09E-2</v>
      </c>
      <c r="F10901">
        <v>357</v>
      </c>
    </row>
    <row r="10903" spans="1:6" x14ac:dyDescent="0.35">
      <c r="A10903" s="1" t="s">
        <v>2512</v>
      </c>
    </row>
    <row r="10904" spans="1:6" x14ac:dyDescent="0.35">
      <c r="A10904" t="s">
        <v>219</v>
      </c>
      <c r="B10904" t="s">
        <v>301</v>
      </c>
      <c r="C10904" t="s">
        <v>299</v>
      </c>
      <c r="D10904" t="s">
        <v>298</v>
      </c>
      <c r="E10904" t="s">
        <v>277</v>
      </c>
      <c r="F10904" t="s">
        <v>226</v>
      </c>
    </row>
    <row r="10905" spans="1:6" x14ac:dyDescent="0.35">
      <c r="A10905" t="s">
        <v>227</v>
      </c>
      <c r="B10905" t="s">
        <v>245</v>
      </c>
      <c r="C10905" s="2">
        <v>0.55279999999999996</v>
      </c>
      <c r="D10905" s="2">
        <v>0.44719999999999999</v>
      </c>
      <c r="F10905">
        <v>123</v>
      </c>
    </row>
    <row r="10906" spans="1:6" x14ac:dyDescent="0.35">
      <c r="A10906" t="s">
        <v>227</v>
      </c>
      <c r="B10906" t="s">
        <v>244</v>
      </c>
      <c r="C10906" s="2">
        <v>0.62309999999999999</v>
      </c>
      <c r="D10906" s="2">
        <v>0.36059999999999998</v>
      </c>
      <c r="E10906" s="2">
        <v>1.6299999999999999E-2</v>
      </c>
      <c r="F10906">
        <v>234</v>
      </c>
    </row>
    <row r="10907" spans="1:6" x14ac:dyDescent="0.35">
      <c r="A10907" t="s">
        <v>228</v>
      </c>
      <c r="B10907" t="s">
        <v>228</v>
      </c>
      <c r="C10907" s="2">
        <v>0.59989999999999999</v>
      </c>
      <c r="D10907" s="2">
        <v>0.38919999999999999</v>
      </c>
      <c r="E10907" s="2">
        <v>1.09E-2</v>
      </c>
      <c r="F10907">
        <v>357</v>
      </c>
    </row>
    <row r="10909" spans="1:6" x14ac:dyDescent="0.35">
      <c r="A10909" s="1" t="s">
        <v>2513</v>
      </c>
    </row>
    <row r="10910" spans="1:6" x14ac:dyDescent="0.35">
      <c r="A10910" t="s">
        <v>219</v>
      </c>
      <c r="B10910" t="s">
        <v>301</v>
      </c>
      <c r="C10910" t="s">
        <v>299</v>
      </c>
      <c r="D10910" t="s">
        <v>298</v>
      </c>
      <c r="E10910" t="s">
        <v>277</v>
      </c>
      <c r="F10910" t="s">
        <v>226</v>
      </c>
    </row>
    <row r="10911" spans="1:6" x14ac:dyDescent="0.35">
      <c r="A10911" s="3" t="s">
        <v>227</v>
      </c>
      <c r="B10911" s="3" t="s">
        <v>259</v>
      </c>
      <c r="C10911" s="4">
        <v>0.50729999999999997</v>
      </c>
      <c r="D10911" s="4">
        <v>0.47989999999999999</v>
      </c>
      <c r="E10911" s="4">
        <v>1.29E-2</v>
      </c>
      <c r="F10911" s="5" t="s">
        <v>321</v>
      </c>
    </row>
    <row r="10912" spans="1:6" x14ac:dyDescent="0.35">
      <c r="A10912" t="s">
        <v>227</v>
      </c>
      <c r="B10912" t="s">
        <v>257</v>
      </c>
      <c r="C10912" s="2">
        <v>0.69879999999999998</v>
      </c>
      <c r="D10912" s="2">
        <v>0.2959</v>
      </c>
      <c r="E10912" s="2">
        <v>5.3E-3</v>
      </c>
      <c r="F10912">
        <v>78</v>
      </c>
    </row>
    <row r="10913" spans="1:6" x14ac:dyDescent="0.35">
      <c r="A10913" t="s">
        <v>227</v>
      </c>
      <c r="B10913" t="s">
        <v>256</v>
      </c>
      <c r="C10913" s="2">
        <v>0.60489999999999999</v>
      </c>
      <c r="D10913" s="2">
        <v>0.37880000000000003</v>
      </c>
      <c r="E10913" s="2">
        <v>1.6299999999999999E-2</v>
      </c>
      <c r="F10913">
        <v>180</v>
      </c>
    </row>
    <row r="10914" spans="1:6" x14ac:dyDescent="0.35">
      <c r="A10914" s="3" t="s">
        <v>227</v>
      </c>
      <c r="B10914" s="3" t="s">
        <v>232</v>
      </c>
      <c r="C10914" s="4">
        <v>0.83709999999999996</v>
      </c>
      <c r="D10914" s="4">
        <v>0.16289999999999999</v>
      </c>
      <c r="E10914" s="5"/>
      <c r="F10914" s="5" t="s">
        <v>438</v>
      </c>
    </row>
    <row r="10915" spans="1:6" x14ac:dyDescent="0.35">
      <c r="A10915" t="s">
        <v>227</v>
      </c>
      <c r="B10915" t="s">
        <v>258</v>
      </c>
      <c r="C10915" s="2">
        <v>0.46250000000000002</v>
      </c>
      <c r="D10915" s="2">
        <v>0.53269999999999995</v>
      </c>
      <c r="E10915" s="2">
        <v>4.7999999999999996E-3</v>
      </c>
      <c r="F10915">
        <v>83</v>
      </c>
    </row>
    <row r="10916" spans="1:6" x14ac:dyDescent="0.35">
      <c r="A10916" t="s">
        <v>228</v>
      </c>
      <c r="B10916" t="s">
        <v>228</v>
      </c>
      <c r="C10916" s="2">
        <v>0.59989999999999999</v>
      </c>
      <c r="D10916" s="2">
        <v>0.38919999999999999</v>
      </c>
      <c r="E10916" s="2">
        <v>1.09E-2</v>
      </c>
      <c r="F10916">
        <v>357</v>
      </c>
    </row>
    <row r="10918" spans="1:6" x14ac:dyDescent="0.35">
      <c r="A10918" s="1" t="s">
        <v>2514</v>
      </c>
    </row>
    <row r="10919" spans="1:6" x14ac:dyDescent="0.35">
      <c r="A10919" t="s">
        <v>219</v>
      </c>
      <c r="B10919" t="s">
        <v>301</v>
      </c>
      <c r="C10919" t="s">
        <v>299</v>
      </c>
      <c r="D10919" t="s">
        <v>298</v>
      </c>
      <c r="E10919" t="s">
        <v>277</v>
      </c>
      <c r="F10919" t="s">
        <v>226</v>
      </c>
    </row>
    <row r="10920" spans="1:6" x14ac:dyDescent="0.35">
      <c r="A10920" t="s">
        <v>227</v>
      </c>
      <c r="B10920" t="s">
        <v>343</v>
      </c>
      <c r="C10920" s="2">
        <v>0.69879999999999998</v>
      </c>
      <c r="D10920" s="2">
        <v>0.2959</v>
      </c>
      <c r="E10920" s="2">
        <v>5.3E-3</v>
      </c>
      <c r="F10920">
        <v>78</v>
      </c>
    </row>
    <row r="10921" spans="1:6" x14ac:dyDescent="0.35">
      <c r="A10921" t="s">
        <v>227</v>
      </c>
      <c r="B10921" t="s">
        <v>344</v>
      </c>
      <c r="C10921" s="2">
        <v>0.56340000000000001</v>
      </c>
      <c r="D10921" s="2">
        <v>0.42349999999999999</v>
      </c>
      <c r="E10921" s="2">
        <v>1.2999999999999999E-2</v>
      </c>
      <c r="F10921">
        <v>279</v>
      </c>
    </row>
    <row r="10922" spans="1:6" x14ac:dyDescent="0.35">
      <c r="A10922" t="s">
        <v>228</v>
      </c>
      <c r="B10922" t="s">
        <v>228</v>
      </c>
      <c r="C10922" s="2">
        <v>0.59989999999999999</v>
      </c>
      <c r="D10922" s="2">
        <v>0.38919999999999999</v>
      </c>
      <c r="E10922" s="2">
        <v>1.09E-2</v>
      </c>
      <c r="F10922">
        <v>357</v>
      </c>
    </row>
    <row r="10924" spans="1:6" x14ac:dyDescent="0.35">
      <c r="A10924" s="1" t="s">
        <v>2515</v>
      </c>
    </row>
    <row r="10925" spans="1:6" x14ac:dyDescent="0.35">
      <c r="A10925" t="s">
        <v>219</v>
      </c>
      <c r="B10925" t="s">
        <v>301</v>
      </c>
      <c r="C10925" t="s">
        <v>299</v>
      </c>
      <c r="D10925" t="s">
        <v>298</v>
      </c>
      <c r="E10925" t="s">
        <v>277</v>
      </c>
      <c r="F10925" t="s">
        <v>226</v>
      </c>
    </row>
    <row r="10926" spans="1:6" x14ac:dyDescent="0.35">
      <c r="A10926" t="s">
        <v>227</v>
      </c>
      <c r="B10926" t="s">
        <v>346</v>
      </c>
      <c r="C10926" s="2">
        <v>0.58750000000000002</v>
      </c>
      <c r="D10926" s="2">
        <v>0.40479999999999999</v>
      </c>
      <c r="E10926" s="2">
        <v>7.7000000000000002E-3</v>
      </c>
      <c r="F10926">
        <v>157</v>
      </c>
    </row>
    <row r="10927" spans="1:6" x14ac:dyDescent="0.35">
      <c r="A10927" t="s">
        <v>227</v>
      </c>
      <c r="B10927" t="s">
        <v>347</v>
      </c>
      <c r="C10927" s="2">
        <v>0.63480000000000003</v>
      </c>
      <c r="D10927" s="2">
        <v>0.34160000000000001</v>
      </c>
      <c r="E10927" s="2">
        <v>2.3599999999999999E-2</v>
      </c>
      <c r="F10927">
        <v>98</v>
      </c>
    </row>
    <row r="10928" spans="1:6" x14ac:dyDescent="0.35">
      <c r="A10928" t="s">
        <v>227</v>
      </c>
      <c r="B10928" t="s">
        <v>348</v>
      </c>
      <c r="C10928" s="2">
        <v>0.67730000000000001</v>
      </c>
      <c r="D10928" s="2">
        <v>0.29320000000000002</v>
      </c>
      <c r="E10928" s="2">
        <v>2.9499999999999998E-2</v>
      </c>
      <c r="F10928">
        <v>102</v>
      </c>
    </row>
    <row r="10929" spans="1:6" x14ac:dyDescent="0.35">
      <c r="A10929" t="s">
        <v>228</v>
      </c>
      <c r="B10929" t="s">
        <v>228</v>
      </c>
      <c r="C10929" s="2">
        <v>0.59989999999999999</v>
      </c>
      <c r="D10929" s="2">
        <v>0.38919999999999999</v>
      </c>
      <c r="E10929" s="2">
        <v>1.09E-2</v>
      </c>
      <c r="F10929">
        <v>357</v>
      </c>
    </row>
    <row r="10931" spans="1:6" x14ac:dyDescent="0.35">
      <c r="A10931" s="1" t="s">
        <v>2516</v>
      </c>
    </row>
    <row r="10932" spans="1:6" x14ac:dyDescent="0.35">
      <c r="A10932" t="s">
        <v>219</v>
      </c>
      <c r="B10932" t="s">
        <v>301</v>
      </c>
      <c r="C10932" t="s">
        <v>299</v>
      </c>
      <c r="D10932" t="s">
        <v>298</v>
      </c>
      <c r="E10932" t="s">
        <v>277</v>
      </c>
      <c r="F10932" t="s">
        <v>226</v>
      </c>
    </row>
    <row r="10933" spans="1:6" x14ac:dyDescent="0.35">
      <c r="A10933" t="s">
        <v>227</v>
      </c>
      <c r="B10933" t="s">
        <v>251</v>
      </c>
      <c r="C10933" s="2">
        <v>0.62309999999999999</v>
      </c>
      <c r="D10933" s="2">
        <v>0.36059999999999998</v>
      </c>
      <c r="E10933" s="2">
        <v>1.6299999999999999E-2</v>
      </c>
      <c r="F10933">
        <v>234</v>
      </c>
    </row>
    <row r="10934" spans="1:6" x14ac:dyDescent="0.35">
      <c r="A10934" t="s">
        <v>227</v>
      </c>
      <c r="B10934" t="s">
        <v>252</v>
      </c>
      <c r="C10934" s="2">
        <v>0.56069999999999998</v>
      </c>
      <c r="D10934" s="2">
        <v>0.43930000000000002</v>
      </c>
      <c r="F10934">
        <v>86</v>
      </c>
    </row>
    <row r="10935" spans="1:6" x14ac:dyDescent="0.35">
      <c r="A10935" t="s">
        <v>227</v>
      </c>
      <c r="B10935" t="s">
        <v>253</v>
      </c>
      <c r="C10935" s="2">
        <v>0.52290000000000003</v>
      </c>
      <c r="D10935" s="2">
        <v>0.47710000000000002</v>
      </c>
      <c r="F10935">
        <v>36</v>
      </c>
    </row>
    <row r="10936" spans="1:6" x14ac:dyDescent="0.35">
      <c r="A10936" s="3" t="s">
        <v>227</v>
      </c>
      <c r="B10936" s="3" t="s">
        <v>254</v>
      </c>
      <c r="C10936" s="4">
        <v>1</v>
      </c>
      <c r="D10936" s="5"/>
      <c r="E10936" s="5"/>
      <c r="F10936" s="5" t="s">
        <v>323</v>
      </c>
    </row>
    <row r="10937" spans="1:6" x14ac:dyDescent="0.35">
      <c r="A10937" t="s">
        <v>228</v>
      </c>
      <c r="B10937" t="s">
        <v>228</v>
      </c>
      <c r="C10937" s="2">
        <v>0.59989999999999999</v>
      </c>
      <c r="D10937" s="2">
        <v>0.38919999999999999</v>
      </c>
      <c r="E10937" s="2">
        <v>1.09E-2</v>
      </c>
      <c r="F10937">
        <v>357</v>
      </c>
    </row>
    <row r="10939" spans="1:6" x14ac:dyDescent="0.35">
      <c r="A10939" s="1" t="s">
        <v>2517</v>
      </c>
    </row>
    <row r="10940" spans="1:6" x14ac:dyDescent="0.35">
      <c r="A10940" t="s">
        <v>219</v>
      </c>
      <c r="B10940" t="s">
        <v>301</v>
      </c>
      <c r="C10940" t="s">
        <v>299</v>
      </c>
      <c r="D10940" t="s">
        <v>298</v>
      </c>
      <c r="E10940" t="s">
        <v>277</v>
      </c>
      <c r="F10940" t="s">
        <v>226</v>
      </c>
    </row>
    <row r="10941" spans="1:6" x14ac:dyDescent="0.35">
      <c r="A10941" t="s">
        <v>227</v>
      </c>
      <c r="B10941" t="s">
        <v>1335</v>
      </c>
      <c r="C10941" s="2">
        <v>0.67100000000000004</v>
      </c>
      <c r="D10941" s="2">
        <v>0.30280000000000001</v>
      </c>
      <c r="E10941" s="2">
        <v>2.6200000000000001E-2</v>
      </c>
      <c r="F10941">
        <v>92</v>
      </c>
    </row>
    <row r="10942" spans="1:6" x14ac:dyDescent="0.35">
      <c r="A10942" s="3" t="s">
        <v>227</v>
      </c>
      <c r="B10942" s="3" t="s">
        <v>1336</v>
      </c>
      <c r="C10942" s="4">
        <v>1</v>
      </c>
      <c r="D10942" s="5"/>
      <c r="E10942" s="5"/>
      <c r="F10942" s="5" t="s">
        <v>323</v>
      </c>
    </row>
    <row r="10943" spans="1:6" x14ac:dyDescent="0.35">
      <c r="A10943" t="s">
        <v>227</v>
      </c>
      <c r="B10943" t="s">
        <v>1337</v>
      </c>
      <c r="C10943" s="2">
        <v>0.56859999999999999</v>
      </c>
      <c r="D10943" s="2">
        <v>0.4264</v>
      </c>
      <c r="E10943" s="2">
        <v>5.0000000000000001E-3</v>
      </c>
      <c r="F10943">
        <v>264</v>
      </c>
    </row>
    <row r="10944" spans="1:6" x14ac:dyDescent="0.35">
      <c r="A10944" t="s">
        <v>228</v>
      </c>
      <c r="B10944" t="s">
        <v>228</v>
      </c>
      <c r="C10944" s="2">
        <v>0.59989999999999999</v>
      </c>
      <c r="D10944" s="2">
        <v>0.38919999999999999</v>
      </c>
      <c r="E10944" s="2">
        <v>1.09E-2</v>
      </c>
      <c r="F10944">
        <v>357</v>
      </c>
    </row>
    <row r="10946" spans="1:7" x14ac:dyDescent="0.35">
      <c r="A10946" s="1" t="s">
        <v>2518</v>
      </c>
    </row>
    <row r="10947" spans="1:7" x14ac:dyDescent="0.35">
      <c r="A10947" t="s">
        <v>219</v>
      </c>
      <c r="B10947" t="s">
        <v>301</v>
      </c>
      <c r="C10947" t="s">
        <v>299</v>
      </c>
      <c r="D10947" t="s">
        <v>298</v>
      </c>
      <c r="E10947" t="s">
        <v>277</v>
      </c>
      <c r="F10947" t="s">
        <v>226</v>
      </c>
    </row>
    <row r="10948" spans="1:7" x14ac:dyDescent="0.35">
      <c r="A10948" s="3" t="s">
        <v>227</v>
      </c>
      <c r="B10948" s="3" t="s">
        <v>1339</v>
      </c>
      <c r="C10948" s="4">
        <v>0.9657</v>
      </c>
      <c r="D10948" s="4">
        <v>3.4299999999999997E-2</v>
      </c>
      <c r="E10948" s="5"/>
      <c r="F10948" s="5" t="s">
        <v>438</v>
      </c>
    </row>
    <row r="10949" spans="1:7" x14ac:dyDescent="0.35">
      <c r="A10949" t="s">
        <v>227</v>
      </c>
      <c r="B10949" t="s">
        <v>1340</v>
      </c>
      <c r="C10949" s="2">
        <v>0.58169999999999999</v>
      </c>
      <c r="D10949" s="2">
        <v>0.39829999999999999</v>
      </c>
      <c r="E10949" s="2">
        <v>0.02</v>
      </c>
      <c r="F10949">
        <v>113</v>
      </c>
    </row>
    <row r="10950" spans="1:7" x14ac:dyDescent="0.35">
      <c r="A10950" t="s">
        <v>227</v>
      </c>
      <c r="B10950" t="s">
        <v>1341</v>
      </c>
      <c r="C10950" s="2">
        <v>0.56699999999999995</v>
      </c>
      <c r="D10950" s="2">
        <v>0.42799999999999999</v>
      </c>
      <c r="E10950" s="2">
        <v>5.0000000000000001E-3</v>
      </c>
      <c r="F10950">
        <v>181</v>
      </c>
    </row>
    <row r="10951" spans="1:7" x14ac:dyDescent="0.35">
      <c r="A10951" t="s">
        <v>227</v>
      </c>
      <c r="B10951" t="s">
        <v>1342</v>
      </c>
      <c r="C10951" s="2">
        <v>0.74039999999999995</v>
      </c>
      <c r="D10951" s="2">
        <v>0.24779999999999999</v>
      </c>
      <c r="E10951" s="2">
        <v>1.18E-2</v>
      </c>
      <c r="F10951">
        <v>60</v>
      </c>
    </row>
    <row r="10952" spans="1:7" x14ac:dyDescent="0.35">
      <c r="A10952" t="s">
        <v>228</v>
      </c>
      <c r="B10952" t="s">
        <v>228</v>
      </c>
      <c r="C10952" s="2">
        <v>0.59989999999999999</v>
      </c>
      <c r="D10952" s="2">
        <v>0.38919999999999999</v>
      </c>
      <c r="E10952" s="2">
        <v>1.09E-2</v>
      </c>
      <c r="F10952">
        <v>357</v>
      </c>
    </row>
    <row r="10954" spans="1:7" x14ac:dyDescent="0.35">
      <c r="A10954" s="1" t="s">
        <v>2519</v>
      </c>
    </row>
    <row r="10955" spans="1:7" x14ac:dyDescent="0.35">
      <c r="A10955" t="s">
        <v>219</v>
      </c>
      <c r="B10955" t="s">
        <v>301</v>
      </c>
      <c r="C10955" t="s">
        <v>325</v>
      </c>
      <c r="D10955" t="s">
        <v>299</v>
      </c>
      <c r="E10955" t="s">
        <v>298</v>
      </c>
      <c r="F10955" t="s">
        <v>277</v>
      </c>
      <c r="G10955" t="s">
        <v>226</v>
      </c>
    </row>
    <row r="10956" spans="1:7" x14ac:dyDescent="0.35">
      <c r="A10956" s="3" t="s">
        <v>227</v>
      </c>
      <c r="B10956" s="3" t="s">
        <v>1335</v>
      </c>
      <c r="C10956" s="3" t="s">
        <v>1339</v>
      </c>
      <c r="D10956" s="4">
        <v>0.63980000000000004</v>
      </c>
      <c r="E10956" s="4">
        <v>0.36020000000000002</v>
      </c>
      <c r="F10956" s="5"/>
      <c r="G10956" s="5" t="s">
        <v>434</v>
      </c>
    </row>
    <row r="10957" spans="1:7" x14ac:dyDescent="0.35">
      <c r="A10957" t="s">
        <v>227</v>
      </c>
      <c r="B10957" t="s">
        <v>1335</v>
      </c>
      <c r="C10957" t="s">
        <v>1340</v>
      </c>
      <c r="D10957" s="2">
        <v>0.53090000000000004</v>
      </c>
      <c r="E10957" s="2">
        <v>0.40610000000000002</v>
      </c>
      <c r="F10957" s="2">
        <v>6.3E-2</v>
      </c>
      <c r="G10957">
        <v>33</v>
      </c>
    </row>
    <row r="10958" spans="1:7" x14ac:dyDescent="0.35">
      <c r="A10958" t="s">
        <v>227</v>
      </c>
      <c r="B10958" t="s">
        <v>1335</v>
      </c>
      <c r="C10958" t="s">
        <v>1341</v>
      </c>
      <c r="D10958" s="2">
        <v>0.76470000000000005</v>
      </c>
      <c r="E10958" s="2">
        <v>0.2306</v>
      </c>
      <c r="F10958" s="2">
        <v>4.7000000000000002E-3</v>
      </c>
      <c r="G10958">
        <v>47</v>
      </c>
    </row>
    <row r="10959" spans="1:7" x14ac:dyDescent="0.35">
      <c r="A10959" s="3" t="s">
        <v>227</v>
      </c>
      <c r="B10959" s="3" t="s">
        <v>1335</v>
      </c>
      <c r="C10959" s="3" t="s">
        <v>1342</v>
      </c>
      <c r="D10959" s="4">
        <v>0.69979999999999998</v>
      </c>
      <c r="E10959" s="4">
        <v>0.30020000000000002</v>
      </c>
      <c r="F10959" s="5"/>
      <c r="G10959" s="5" t="s">
        <v>606</v>
      </c>
    </row>
    <row r="10960" spans="1:7" x14ac:dyDescent="0.35">
      <c r="A10960" s="3" t="s">
        <v>227</v>
      </c>
      <c r="B10960" s="3" t="s">
        <v>1336</v>
      </c>
      <c r="C10960" s="3" t="s">
        <v>1341</v>
      </c>
      <c r="D10960" s="4">
        <v>1</v>
      </c>
      <c r="E10960" s="5"/>
      <c r="F10960" s="5"/>
      <c r="G10960" s="5" t="s">
        <v>323</v>
      </c>
    </row>
    <row r="10961" spans="1:13" x14ac:dyDescent="0.35">
      <c r="A10961" s="3" t="s">
        <v>227</v>
      </c>
      <c r="B10961" s="3" t="s">
        <v>1337</v>
      </c>
      <c r="C10961" s="3" t="s">
        <v>1339</v>
      </c>
      <c r="D10961" s="4">
        <v>1</v>
      </c>
      <c r="E10961" s="5"/>
      <c r="F10961" s="5"/>
      <c r="G10961" s="5" t="s">
        <v>323</v>
      </c>
    </row>
    <row r="10962" spans="1:13" x14ac:dyDescent="0.35">
      <c r="A10962" t="s">
        <v>227</v>
      </c>
      <c r="B10962" t="s">
        <v>1337</v>
      </c>
      <c r="C10962" t="s">
        <v>1340</v>
      </c>
      <c r="D10962" s="2">
        <v>0.60529999999999995</v>
      </c>
      <c r="E10962" s="2">
        <v>0.3947</v>
      </c>
      <c r="G10962">
        <v>80</v>
      </c>
    </row>
    <row r="10963" spans="1:13" x14ac:dyDescent="0.35">
      <c r="A10963" t="s">
        <v>227</v>
      </c>
      <c r="B10963" t="s">
        <v>1337</v>
      </c>
      <c r="C10963" t="s">
        <v>1341</v>
      </c>
      <c r="D10963" s="2">
        <v>0.4768</v>
      </c>
      <c r="E10963" s="2">
        <v>0.5181</v>
      </c>
      <c r="F10963" s="2">
        <v>5.1999999999999998E-3</v>
      </c>
      <c r="G10963">
        <v>133</v>
      </c>
    </row>
    <row r="10964" spans="1:13" x14ac:dyDescent="0.35">
      <c r="A10964" t="s">
        <v>227</v>
      </c>
      <c r="B10964" t="s">
        <v>1337</v>
      </c>
      <c r="C10964" t="s">
        <v>1342</v>
      </c>
      <c r="D10964" s="2">
        <v>0.74860000000000004</v>
      </c>
      <c r="E10964" s="2">
        <v>0.23719999999999999</v>
      </c>
      <c r="F10964" s="2">
        <v>1.4200000000000001E-2</v>
      </c>
      <c r="G10964">
        <v>50</v>
      </c>
    </row>
    <row r="10965" spans="1:13" x14ac:dyDescent="0.35">
      <c r="A10965" t="s">
        <v>228</v>
      </c>
      <c r="B10965" t="s">
        <v>228</v>
      </c>
      <c r="C10965" t="s">
        <v>228</v>
      </c>
      <c r="D10965" s="2">
        <v>0.59989999999999999</v>
      </c>
      <c r="E10965" s="2">
        <v>0.38919999999999999</v>
      </c>
      <c r="F10965" s="2">
        <v>1.09E-2</v>
      </c>
      <c r="G10965">
        <v>357</v>
      </c>
    </row>
    <row r="10967" spans="1:13" x14ac:dyDescent="0.35">
      <c r="A10967" s="1" t="s">
        <v>2520</v>
      </c>
    </row>
    <row r="10968" spans="1:13" x14ac:dyDescent="0.35">
      <c r="A10968" t="s">
        <v>219</v>
      </c>
      <c r="B10968" t="s">
        <v>298</v>
      </c>
      <c r="C10968" t="s">
        <v>2521</v>
      </c>
      <c r="D10968" t="s">
        <v>2522</v>
      </c>
      <c r="E10968" t="s">
        <v>277</v>
      </c>
      <c r="F10968" t="s">
        <v>2523</v>
      </c>
      <c r="G10968" t="s">
        <v>2524</v>
      </c>
      <c r="H10968" t="s">
        <v>2525</v>
      </c>
      <c r="I10968" t="s">
        <v>282</v>
      </c>
      <c r="J10968" t="s">
        <v>318</v>
      </c>
      <c r="K10968" t="s">
        <v>2526</v>
      </c>
      <c r="L10968" t="s">
        <v>226</v>
      </c>
    </row>
    <row r="10969" spans="1:13" x14ac:dyDescent="0.35">
      <c r="A10969" t="s">
        <v>227</v>
      </c>
      <c r="B10969" s="2">
        <v>0.92</v>
      </c>
      <c r="C10969" s="2">
        <v>3.5700000000000003E-2</v>
      </c>
      <c r="D10969" s="2">
        <v>1.6400000000000001E-2</v>
      </c>
      <c r="E10969" s="2">
        <v>8.9999999999999993E-3</v>
      </c>
      <c r="F10969" s="2">
        <v>8.0000000000000002E-3</v>
      </c>
      <c r="G10969" s="2">
        <v>6.1000000000000004E-3</v>
      </c>
      <c r="H10969" s="2">
        <v>4.0000000000000001E-3</v>
      </c>
      <c r="I10969" s="2">
        <v>2.2000000000000001E-3</v>
      </c>
      <c r="J10969" s="2">
        <v>4.0000000000000002E-4</v>
      </c>
      <c r="K10969" s="2">
        <v>4.0000000000000002E-4</v>
      </c>
      <c r="L10969">
        <v>2785</v>
      </c>
    </row>
    <row r="10970" spans="1:13" x14ac:dyDescent="0.35">
      <c r="A10970" t="s">
        <v>228</v>
      </c>
      <c r="B10970" s="2">
        <v>0.92</v>
      </c>
      <c r="C10970" s="2">
        <v>3.5700000000000003E-2</v>
      </c>
      <c r="D10970" s="2">
        <v>1.6400000000000001E-2</v>
      </c>
      <c r="E10970" s="2">
        <v>8.9999999999999993E-3</v>
      </c>
      <c r="F10970" s="2">
        <v>8.0000000000000002E-3</v>
      </c>
      <c r="G10970" s="2">
        <v>6.1000000000000004E-3</v>
      </c>
      <c r="H10970" s="2">
        <v>4.0000000000000001E-3</v>
      </c>
      <c r="I10970" s="2">
        <v>2.2000000000000001E-3</v>
      </c>
      <c r="J10970" s="2">
        <v>4.0000000000000002E-4</v>
      </c>
      <c r="K10970" s="2">
        <v>4.0000000000000002E-4</v>
      </c>
      <c r="L10970">
        <v>2785</v>
      </c>
    </row>
    <row r="10972" spans="1:13" x14ac:dyDescent="0.35">
      <c r="A10972" s="1" t="s">
        <v>2527</v>
      </c>
    </row>
    <row r="10973" spans="1:13" x14ac:dyDescent="0.35">
      <c r="A10973" t="s">
        <v>219</v>
      </c>
      <c r="B10973" t="s">
        <v>301</v>
      </c>
      <c r="C10973" t="s">
        <v>298</v>
      </c>
      <c r="D10973" t="s">
        <v>2521</v>
      </c>
      <c r="E10973" t="s">
        <v>2522</v>
      </c>
      <c r="F10973" t="s">
        <v>277</v>
      </c>
      <c r="G10973" t="s">
        <v>2523</v>
      </c>
      <c r="H10973" t="s">
        <v>2524</v>
      </c>
      <c r="I10973" t="s">
        <v>2525</v>
      </c>
      <c r="J10973" t="s">
        <v>282</v>
      </c>
      <c r="K10973" t="s">
        <v>318</v>
      </c>
      <c r="L10973" t="s">
        <v>2526</v>
      </c>
      <c r="M10973" t="s">
        <v>226</v>
      </c>
    </row>
    <row r="10974" spans="1:13" x14ac:dyDescent="0.35">
      <c r="A10974" t="s">
        <v>227</v>
      </c>
      <c r="B10974" t="s">
        <v>238</v>
      </c>
      <c r="C10974" s="2">
        <v>0.89780000000000004</v>
      </c>
      <c r="D10974" s="2">
        <v>4.7100000000000003E-2</v>
      </c>
      <c r="E10974" s="2">
        <v>2.0500000000000001E-2</v>
      </c>
      <c r="F10974" s="2">
        <v>6.4000000000000003E-3</v>
      </c>
      <c r="G10974" s="2">
        <v>2.0999999999999999E-3</v>
      </c>
      <c r="H10974" s="2">
        <v>1.6500000000000001E-2</v>
      </c>
      <c r="I10974" s="2">
        <v>8.3999999999999995E-3</v>
      </c>
      <c r="J10974" s="2">
        <v>4.4999999999999997E-3</v>
      </c>
      <c r="K10974" s="2">
        <v>1E-4</v>
      </c>
      <c r="L10974" s="2">
        <v>6.9999999999999999E-4</v>
      </c>
      <c r="M10974">
        <v>995</v>
      </c>
    </row>
    <row r="10975" spans="1:13" x14ac:dyDescent="0.35">
      <c r="A10975" t="s">
        <v>227</v>
      </c>
      <c r="B10975" t="s">
        <v>237</v>
      </c>
      <c r="C10975" s="2">
        <v>0.93289999999999995</v>
      </c>
      <c r="D10975" s="2">
        <v>2.9100000000000001E-2</v>
      </c>
      <c r="E10975" s="2">
        <v>1.4E-2</v>
      </c>
      <c r="F10975" s="2">
        <v>1.04E-2</v>
      </c>
      <c r="G10975" s="2">
        <v>1.15E-2</v>
      </c>
      <c r="I10975" s="2">
        <v>1.2999999999999999E-3</v>
      </c>
      <c r="J10975" s="2">
        <v>8.9999999999999998E-4</v>
      </c>
      <c r="K10975" s="2">
        <v>5.9999999999999995E-4</v>
      </c>
      <c r="L10975" s="2">
        <v>2.0000000000000001E-4</v>
      </c>
      <c r="M10975">
        <v>1790</v>
      </c>
    </row>
    <row r="10976" spans="1:13" x14ac:dyDescent="0.35">
      <c r="A10976" t="s">
        <v>228</v>
      </c>
      <c r="B10976" t="s">
        <v>228</v>
      </c>
      <c r="C10976" s="2">
        <v>0.92</v>
      </c>
      <c r="D10976" s="2">
        <v>3.5700000000000003E-2</v>
      </c>
      <c r="E10976" s="2">
        <v>1.6400000000000001E-2</v>
      </c>
      <c r="F10976" s="2">
        <v>8.9999999999999993E-3</v>
      </c>
      <c r="G10976" s="2">
        <v>8.0000000000000002E-3</v>
      </c>
      <c r="H10976" s="2">
        <v>6.1000000000000004E-3</v>
      </c>
      <c r="I10976" s="2">
        <v>4.0000000000000001E-3</v>
      </c>
      <c r="J10976" s="2">
        <v>2.2000000000000001E-3</v>
      </c>
      <c r="K10976" s="2">
        <v>4.0000000000000002E-4</v>
      </c>
      <c r="L10976" s="2">
        <v>4.0000000000000002E-4</v>
      </c>
      <c r="M10976">
        <v>2785</v>
      </c>
    </row>
    <row r="10978" spans="1:13" x14ac:dyDescent="0.35">
      <c r="A10978" s="1" t="s">
        <v>2528</v>
      </c>
    </row>
    <row r="10979" spans="1:13" x14ac:dyDescent="0.35">
      <c r="A10979" t="s">
        <v>219</v>
      </c>
      <c r="B10979" t="s">
        <v>301</v>
      </c>
      <c r="C10979" t="s">
        <v>298</v>
      </c>
      <c r="D10979" t="s">
        <v>2521</v>
      </c>
      <c r="E10979" t="s">
        <v>2522</v>
      </c>
      <c r="F10979" t="s">
        <v>277</v>
      </c>
      <c r="G10979" t="s">
        <v>2523</v>
      </c>
      <c r="H10979" t="s">
        <v>2524</v>
      </c>
      <c r="I10979" t="s">
        <v>2525</v>
      </c>
      <c r="J10979" t="s">
        <v>282</v>
      </c>
      <c r="K10979" t="s">
        <v>318</v>
      </c>
      <c r="L10979" t="s">
        <v>2526</v>
      </c>
      <c r="M10979" t="s">
        <v>226</v>
      </c>
    </row>
    <row r="10980" spans="1:13" x14ac:dyDescent="0.35">
      <c r="A10980" t="s">
        <v>227</v>
      </c>
      <c r="B10980" t="s">
        <v>235</v>
      </c>
      <c r="C10980" s="2">
        <v>0.9032</v>
      </c>
      <c r="D10980" s="2">
        <v>3.2899999999999999E-2</v>
      </c>
      <c r="E10980" s="2">
        <v>1.8700000000000001E-2</v>
      </c>
      <c r="F10980" s="2">
        <v>8.0000000000000002E-3</v>
      </c>
      <c r="G10980" s="2">
        <v>0.02</v>
      </c>
      <c r="H10980" s="2">
        <v>1.4999999999999999E-2</v>
      </c>
      <c r="I10980" s="2">
        <v>8.0000000000000004E-4</v>
      </c>
      <c r="J10980" s="2">
        <v>1E-3</v>
      </c>
      <c r="K10980" s="2">
        <v>5.9999999999999995E-4</v>
      </c>
      <c r="L10980" s="2">
        <v>2.0000000000000001E-4</v>
      </c>
      <c r="M10980">
        <v>985</v>
      </c>
    </row>
    <row r="10981" spans="1:13" x14ac:dyDescent="0.35">
      <c r="A10981" t="s">
        <v>227</v>
      </c>
      <c r="B10981" t="s">
        <v>234</v>
      </c>
      <c r="C10981" s="2">
        <v>0.92700000000000005</v>
      </c>
      <c r="D10981" s="2">
        <v>3.6900000000000002E-2</v>
      </c>
      <c r="E10981" s="2">
        <v>1.54E-2</v>
      </c>
      <c r="F10981" s="2">
        <v>9.2999999999999992E-3</v>
      </c>
      <c r="G10981" s="2">
        <v>3.0000000000000001E-3</v>
      </c>
      <c r="H10981" s="2">
        <v>2.3E-3</v>
      </c>
      <c r="I10981" s="2">
        <v>5.3E-3</v>
      </c>
      <c r="J10981" s="2">
        <v>2.7000000000000001E-3</v>
      </c>
      <c r="K10981" s="2">
        <v>2.9999999999999997E-4</v>
      </c>
      <c r="L10981" s="2">
        <v>5.0000000000000001E-4</v>
      </c>
      <c r="M10981">
        <v>1800</v>
      </c>
    </row>
    <row r="10982" spans="1:13" x14ac:dyDescent="0.35">
      <c r="A10982" t="s">
        <v>228</v>
      </c>
      <c r="B10982" t="s">
        <v>228</v>
      </c>
      <c r="C10982" s="2">
        <v>0.92</v>
      </c>
      <c r="D10982" s="2">
        <v>3.5700000000000003E-2</v>
      </c>
      <c r="E10982" s="2">
        <v>1.6400000000000001E-2</v>
      </c>
      <c r="F10982" s="2">
        <v>8.9999999999999993E-3</v>
      </c>
      <c r="G10982" s="2">
        <v>8.0000000000000002E-3</v>
      </c>
      <c r="H10982" s="2">
        <v>6.1000000000000004E-3</v>
      </c>
      <c r="I10982" s="2">
        <v>4.0000000000000001E-3</v>
      </c>
      <c r="J10982" s="2">
        <v>2.2000000000000001E-3</v>
      </c>
      <c r="K10982" s="2">
        <v>4.0000000000000002E-4</v>
      </c>
      <c r="L10982" s="2">
        <v>4.0000000000000002E-4</v>
      </c>
      <c r="M10982">
        <v>2785</v>
      </c>
    </row>
    <row r="10984" spans="1:13" x14ac:dyDescent="0.35">
      <c r="A10984" s="1" t="s">
        <v>2529</v>
      </c>
    </row>
    <row r="10985" spans="1:13" x14ac:dyDescent="0.35">
      <c r="A10985" t="s">
        <v>219</v>
      </c>
      <c r="B10985" t="s">
        <v>301</v>
      </c>
      <c r="C10985" t="s">
        <v>298</v>
      </c>
      <c r="D10985" t="s">
        <v>2521</v>
      </c>
      <c r="E10985" t="s">
        <v>2522</v>
      </c>
      <c r="F10985" t="s">
        <v>277</v>
      </c>
      <c r="G10985" t="s">
        <v>2523</v>
      </c>
      <c r="H10985" t="s">
        <v>2524</v>
      </c>
      <c r="I10985" t="s">
        <v>2525</v>
      </c>
      <c r="J10985" t="s">
        <v>282</v>
      </c>
      <c r="K10985" t="s">
        <v>318</v>
      </c>
      <c r="L10985" t="s">
        <v>2526</v>
      </c>
      <c r="M10985" t="s">
        <v>226</v>
      </c>
    </row>
    <row r="10986" spans="1:13" x14ac:dyDescent="0.35">
      <c r="A10986" t="s">
        <v>227</v>
      </c>
      <c r="B10986" t="s">
        <v>240</v>
      </c>
      <c r="C10986" s="2">
        <v>0.90710000000000002</v>
      </c>
      <c r="D10986" s="2">
        <v>3.78E-2</v>
      </c>
      <c r="E10986" s="2">
        <v>1.8700000000000001E-2</v>
      </c>
      <c r="F10986" s="2">
        <v>1.2200000000000001E-2</v>
      </c>
      <c r="G10986" s="2">
        <v>8.3000000000000001E-3</v>
      </c>
      <c r="H10986" s="2">
        <v>9.1999999999999998E-3</v>
      </c>
      <c r="I10986" s="2">
        <v>6.0000000000000001E-3</v>
      </c>
      <c r="J10986" s="2">
        <v>3.0999999999999999E-3</v>
      </c>
      <c r="K10986" s="2">
        <v>2.9999999999999997E-4</v>
      </c>
      <c r="L10986" s="2">
        <v>5.9999999999999995E-4</v>
      </c>
      <c r="M10986">
        <v>1740</v>
      </c>
    </row>
    <row r="10987" spans="1:13" x14ac:dyDescent="0.35">
      <c r="A10987" t="s">
        <v>227</v>
      </c>
      <c r="B10987" t="s">
        <v>241</v>
      </c>
      <c r="C10987" s="2">
        <v>0.95499999999999996</v>
      </c>
      <c r="D10987" s="2">
        <v>2.5999999999999999E-2</v>
      </c>
      <c r="E10987" s="2">
        <v>4.4000000000000003E-3</v>
      </c>
      <c r="F10987" s="2">
        <v>3.3E-3</v>
      </c>
      <c r="G10987" s="2">
        <v>8.9999999999999993E-3</v>
      </c>
      <c r="H10987" s="2">
        <v>6.9999999999999999E-4</v>
      </c>
      <c r="I10987" s="2">
        <v>2.0000000000000001E-4</v>
      </c>
      <c r="J10987" s="2">
        <v>8.0000000000000004E-4</v>
      </c>
      <c r="K10987" s="2">
        <v>8.9999999999999998E-4</v>
      </c>
      <c r="M10987">
        <v>880</v>
      </c>
    </row>
    <row r="10988" spans="1:13" x14ac:dyDescent="0.35">
      <c r="A10988" t="s">
        <v>227</v>
      </c>
      <c r="B10988" t="s">
        <v>242</v>
      </c>
      <c r="C10988" s="2">
        <v>0.88859999999999995</v>
      </c>
      <c r="D10988" s="2">
        <v>5.9200000000000003E-2</v>
      </c>
      <c r="E10988" s="2">
        <v>4.7199999999999999E-2</v>
      </c>
      <c r="F10988" s="2">
        <v>2.8E-3</v>
      </c>
      <c r="G10988" s="2">
        <v>1.4E-3</v>
      </c>
      <c r="I10988" s="2">
        <v>8.0000000000000004E-4</v>
      </c>
      <c r="M10988">
        <v>165</v>
      </c>
    </row>
    <row r="10989" spans="1:13" x14ac:dyDescent="0.35">
      <c r="A10989" t="s">
        <v>228</v>
      </c>
      <c r="B10989" t="s">
        <v>228</v>
      </c>
      <c r="C10989" s="2">
        <v>0.92</v>
      </c>
      <c r="D10989" s="2">
        <v>3.5700000000000003E-2</v>
      </c>
      <c r="E10989" s="2">
        <v>1.6400000000000001E-2</v>
      </c>
      <c r="F10989" s="2">
        <v>8.9999999999999993E-3</v>
      </c>
      <c r="G10989" s="2">
        <v>8.0000000000000002E-3</v>
      </c>
      <c r="H10989" s="2">
        <v>6.1000000000000004E-3</v>
      </c>
      <c r="I10989" s="2">
        <v>4.0000000000000001E-3</v>
      </c>
      <c r="J10989" s="2">
        <v>2.2000000000000001E-3</v>
      </c>
      <c r="K10989" s="2">
        <v>4.0000000000000002E-4</v>
      </c>
      <c r="L10989" s="2">
        <v>4.0000000000000002E-4</v>
      </c>
      <c r="M10989">
        <v>2785</v>
      </c>
    </row>
    <row r="10991" spans="1:13" x14ac:dyDescent="0.35">
      <c r="A10991" s="1" t="s">
        <v>2530</v>
      </c>
    </row>
    <row r="10992" spans="1:13" x14ac:dyDescent="0.35">
      <c r="A10992" t="s">
        <v>219</v>
      </c>
      <c r="B10992" t="s">
        <v>301</v>
      </c>
      <c r="C10992" t="s">
        <v>298</v>
      </c>
      <c r="D10992" t="s">
        <v>2521</v>
      </c>
      <c r="E10992" t="s">
        <v>2522</v>
      </c>
      <c r="F10992" t="s">
        <v>277</v>
      </c>
      <c r="G10992" t="s">
        <v>2523</v>
      </c>
      <c r="H10992" t="s">
        <v>2524</v>
      </c>
      <c r="I10992" t="s">
        <v>2525</v>
      </c>
      <c r="J10992" t="s">
        <v>282</v>
      </c>
      <c r="K10992" t="s">
        <v>318</v>
      </c>
      <c r="L10992" t="s">
        <v>2526</v>
      </c>
      <c r="M10992" t="s">
        <v>226</v>
      </c>
    </row>
    <row r="10993" spans="1:13" x14ac:dyDescent="0.35">
      <c r="A10993" t="s">
        <v>227</v>
      </c>
      <c r="B10993" t="s">
        <v>334</v>
      </c>
      <c r="C10993" s="2">
        <v>0.88490000000000002</v>
      </c>
      <c r="D10993" s="2">
        <v>3.7900000000000003E-2</v>
      </c>
      <c r="E10993" s="2">
        <v>3.2899999999999999E-2</v>
      </c>
      <c r="F10993" s="2">
        <v>1.9199999999999998E-2</v>
      </c>
      <c r="G10993" s="2">
        <v>1.83E-2</v>
      </c>
      <c r="H10993" s="2">
        <v>4.0000000000000001E-3</v>
      </c>
      <c r="I10993" s="2">
        <v>3.8999999999999998E-3</v>
      </c>
      <c r="J10993" s="2">
        <v>3.8999999999999998E-3</v>
      </c>
      <c r="L10993" s="2">
        <v>4.0000000000000002E-4</v>
      </c>
      <c r="M10993">
        <v>619</v>
      </c>
    </row>
    <row r="10994" spans="1:13" x14ac:dyDescent="0.35">
      <c r="A10994" t="s">
        <v>227</v>
      </c>
      <c r="B10994" t="s">
        <v>335</v>
      </c>
      <c r="C10994" s="2">
        <v>0.94569999999999999</v>
      </c>
      <c r="D10994" s="2">
        <v>2.6800000000000001E-2</v>
      </c>
      <c r="E10994" s="2">
        <v>5.4000000000000003E-3</v>
      </c>
      <c r="F10994" s="2">
        <v>4.3E-3</v>
      </c>
      <c r="G10994" s="2">
        <v>3.3E-3</v>
      </c>
      <c r="H10994" s="2">
        <v>8.3000000000000001E-3</v>
      </c>
      <c r="I10994" s="2">
        <v>6.1999999999999998E-3</v>
      </c>
      <c r="K10994" s="2">
        <v>1E-4</v>
      </c>
      <c r="M10994">
        <v>620</v>
      </c>
    </row>
    <row r="10995" spans="1:13" x14ac:dyDescent="0.35">
      <c r="A10995" t="s">
        <v>227</v>
      </c>
      <c r="B10995" t="s">
        <v>336</v>
      </c>
      <c r="C10995" s="2">
        <v>0.91900000000000004</v>
      </c>
      <c r="D10995" s="2">
        <v>2.5399999999999999E-2</v>
      </c>
      <c r="E10995" s="2">
        <v>2.7E-2</v>
      </c>
      <c r="F10995" s="2">
        <v>5.7000000000000002E-3</v>
      </c>
      <c r="G10995" s="2">
        <v>1.2999999999999999E-2</v>
      </c>
      <c r="H10995" s="2">
        <v>3.7000000000000002E-3</v>
      </c>
      <c r="I10995" s="2">
        <v>4.4000000000000003E-3</v>
      </c>
      <c r="J10995" s="2">
        <v>1.6000000000000001E-3</v>
      </c>
      <c r="L10995" s="2">
        <v>5.0000000000000001E-4</v>
      </c>
      <c r="M10995">
        <v>617</v>
      </c>
    </row>
    <row r="10996" spans="1:13" x14ac:dyDescent="0.35">
      <c r="A10996" t="s">
        <v>227</v>
      </c>
      <c r="B10996" t="s">
        <v>337</v>
      </c>
      <c r="C10996" s="2">
        <v>0.92110000000000003</v>
      </c>
      <c r="D10996" s="2">
        <v>4.4299999999999999E-2</v>
      </c>
      <c r="E10996" s="2">
        <v>1.1599999999999999E-2</v>
      </c>
      <c r="F10996" s="2">
        <v>7.1999999999999998E-3</v>
      </c>
      <c r="G10996" s="2">
        <v>2.5000000000000001E-3</v>
      </c>
      <c r="H10996" s="2">
        <v>9.9000000000000008E-3</v>
      </c>
      <c r="I10996" s="2">
        <v>1.6999999999999999E-3</v>
      </c>
      <c r="J10996" s="2">
        <v>3.3E-3</v>
      </c>
      <c r="K10996" s="2">
        <v>1.9E-3</v>
      </c>
      <c r="L10996" s="2">
        <v>8.9999999999999998E-4</v>
      </c>
      <c r="M10996">
        <v>597</v>
      </c>
    </row>
    <row r="10997" spans="1:13" x14ac:dyDescent="0.35">
      <c r="A10997" t="s">
        <v>228</v>
      </c>
      <c r="B10997" t="s">
        <v>228</v>
      </c>
      <c r="C10997" s="2">
        <v>0.92</v>
      </c>
      <c r="D10997" s="2">
        <v>3.5700000000000003E-2</v>
      </c>
      <c r="E10997" s="2">
        <v>1.6400000000000001E-2</v>
      </c>
      <c r="F10997" s="2">
        <v>8.9999999999999993E-3</v>
      </c>
      <c r="G10997" s="2">
        <v>8.0000000000000002E-3</v>
      </c>
      <c r="H10997" s="2">
        <v>6.1000000000000004E-3</v>
      </c>
      <c r="I10997" s="2">
        <v>4.0000000000000001E-3</v>
      </c>
      <c r="J10997" s="2">
        <v>2.2000000000000001E-3</v>
      </c>
      <c r="K10997" s="2">
        <v>4.0000000000000002E-4</v>
      </c>
      <c r="L10997" s="2">
        <v>4.0000000000000002E-4</v>
      </c>
      <c r="M10997">
        <v>2453</v>
      </c>
    </row>
    <row r="10999" spans="1:13" x14ac:dyDescent="0.35">
      <c r="A10999" s="1" t="s">
        <v>2531</v>
      </c>
    </row>
    <row r="11000" spans="1:13" x14ac:dyDescent="0.35">
      <c r="A11000" t="s">
        <v>219</v>
      </c>
      <c r="B11000" t="s">
        <v>301</v>
      </c>
      <c r="C11000" t="s">
        <v>298</v>
      </c>
      <c r="D11000" t="s">
        <v>2521</v>
      </c>
      <c r="E11000" t="s">
        <v>2522</v>
      </c>
      <c r="F11000" t="s">
        <v>277</v>
      </c>
      <c r="G11000" t="s">
        <v>2523</v>
      </c>
      <c r="H11000" t="s">
        <v>2524</v>
      </c>
      <c r="I11000" t="s">
        <v>2525</v>
      </c>
      <c r="J11000" t="s">
        <v>282</v>
      </c>
      <c r="K11000" t="s">
        <v>318</v>
      </c>
      <c r="L11000" t="s">
        <v>2526</v>
      </c>
      <c r="M11000" t="s">
        <v>226</v>
      </c>
    </row>
    <row r="11001" spans="1:13" x14ac:dyDescent="0.35">
      <c r="A11001" t="s">
        <v>227</v>
      </c>
      <c r="B11001" t="s">
        <v>263</v>
      </c>
      <c r="C11001" s="2">
        <v>0.93510000000000004</v>
      </c>
      <c r="D11001" s="2">
        <v>3.1600000000000003E-2</v>
      </c>
      <c r="E11001" s="2">
        <v>1.29E-2</v>
      </c>
      <c r="F11001" s="2">
        <v>3.8E-3</v>
      </c>
      <c r="G11001" s="2">
        <v>1.0500000000000001E-2</v>
      </c>
      <c r="H11001" s="2">
        <v>8.5000000000000006E-3</v>
      </c>
      <c r="J11001" s="2">
        <v>1.8E-3</v>
      </c>
      <c r="K11001" s="2">
        <v>1.1000000000000001E-3</v>
      </c>
      <c r="M11001">
        <v>577</v>
      </c>
    </row>
    <row r="11002" spans="1:13" x14ac:dyDescent="0.35">
      <c r="A11002" t="s">
        <v>227</v>
      </c>
      <c r="B11002" t="s">
        <v>262</v>
      </c>
      <c r="C11002" s="2">
        <v>0.93589999999999995</v>
      </c>
      <c r="D11002" s="2">
        <v>3.2399999999999998E-2</v>
      </c>
      <c r="E11002" s="2">
        <v>9.7999999999999997E-3</v>
      </c>
      <c r="F11002" s="2">
        <v>1.0800000000000001E-2</v>
      </c>
      <c r="G11002" s="2">
        <v>7.0000000000000001E-3</v>
      </c>
      <c r="H11002" s="2">
        <v>5.9999999999999995E-4</v>
      </c>
      <c r="I11002" s="2">
        <v>1.6999999999999999E-3</v>
      </c>
      <c r="J11002" s="2">
        <v>2.0999999999999999E-3</v>
      </c>
      <c r="K11002" s="2">
        <v>5.0000000000000001E-4</v>
      </c>
      <c r="L11002" s="2">
        <v>2.0000000000000001E-4</v>
      </c>
      <c r="M11002">
        <v>1150</v>
      </c>
    </row>
    <row r="11003" spans="1:13" x14ac:dyDescent="0.35">
      <c r="A11003" t="s">
        <v>227</v>
      </c>
      <c r="B11003" t="s">
        <v>261</v>
      </c>
      <c r="C11003" s="2">
        <v>0.90010000000000001</v>
      </c>
      <c r="D11003" s="2">
        <v>4.0800000000000003E-2</v>
      </c>
      <c r="E11003" s="2">
        <v>2.23E-2</v>
      </c>
      <c r="F11003" s="2">
        <v>9.9000000000000008E-3</v>
      </c>
      <c r="G11003" s="2">
        <v>7.7000000000000002E-3</v>
      </c>
      <c r="H11003" s="2">
        <v>9.7000000000000003E-3</v>
      </c>
      <c r="I11003" s="2">
        <v>7.7999999999999996E-3</v>
      </c>
      <c r="J11003" s="2">
        <v>2.5999999999999999E-3</v>
      </c>
      <c r="L11003" s="2">
        <v>6.9999999999999999E-4</v>
      </c>
      <c r="M11003">
        <v>1056</v>
      </c>
    </row>
    <row r="11004" spans="1:13" x14ac:dyDescent="0.35">
      <c r="A11004" s="3" t="s">
        <v>227</v>
      </c>
      <c r="B11004" s="3" t="s">
        <v>232</v>
      </c>
      <c r="C11004" s="4">
        <v>0.5</v>
      </c>
      <c r="D11004" s="5"/>
      <c r="E11004" s="4">
        <v>0.5</v>
      </c>
      <c r="F11004" s="5"/>
      <c r="G11004" s="5"/>
      <c r="H11004" s="5"/>
      <c r="I11004" s="5"/>
      <c r="J11004" s="5"/>
      <c r="K11004" s="5"/>
      <c r="L11004" s="5"/>
      <c r="M11004" s="5" t="s">
        <v>434</v>
      </c>
    </row>
    <row r="11005" spans="1:13" x14ac:dyDescent="0.35">
      <c r="A11005" t="s">
        <v>228</v>
      </c>
      <c r="B11005" t="s">
        <v>228</v>
      </c>
      <c r="C11005" s="2">
        <v>0.92</v>
      </c>
      <c r="D11005" s="2">
        <v>3.5700000000000003E-2</v>
      </c>
      <c r="E11005" s="2">
        <v>1.6400000000000001E-2</v>
      </c>
      <c r="F11005" s="2">
        <v>8.9999999999999993E-3</v>
      </c>
      <c r="G11005" s="2">
        <v>8.0000000000000002E-3</v>
      </c>
      <c r="H11005" s="2">
        <v>6.1000000000000004E-3</v>
      </c>
      <c r="I11005" s="2">
        <v>4.0000000000000001E-3</v>
      </c>
      <c r="J11005" s="2">
        <v>2.2000000000000001E-3</v>
      </c>
      <c r="K11005" s="2">
        <v>4.0000000000000002E-4</v>
      </c>
      <c r="L11005" s="2">
        <v>4.0000000000000002E-4</v>
      </c>
      <c r="M11005">
        <v>2785</v>
      </c>
    </row>
    <row r="11007" spans="1:13" x14ac:dyDescent="0.35">
      <c r="A11007" s="1" t="s">
        <v>2532</v>
      </c>
    </row>
    <row r="11008" spans="1:13" x14ac:dyDescent="0.35">
      <c r="A11008" t="s">
        <v>219</v>
      </c>
      <c r="B11008" t="s">
        <v>301</v>
      </c>
      <c r="C11008" t="s">
        <v>298</v>
      </c>
      <c r="D11008" t="s">
        <v>2521</v>
      </c>
      <c r="E11008" t="s">
        <v>2522</v>
      </c>
      <c r="F11008" t="s">
        <v>277</v>
      </c>
      <c r="G11008" t="s">
        <v>2523</v>
      </c>
      <c r="H11008" t="s">
        <v>2524</v>
      </c>
      <c r="I11008" t="s">
        <v>2525</v>
      </c>
      <c r="J11008" t="s">
        <v>282</v>
      </c>
      <c r="K11008" t="s">
        <v>318</v>
      </c>
      <c r="L11008" t="s">
        <v>2526</v>
      </c>
      <c r="M11008" t="s">
        <v>226</v>
      </c>
    </row>
    <row r="11009" spans="1:13" x14ac:dyDescent="0.35">
      <c r="A11009" t="s">
        <v>227</v>
      </c>
      <c r="B11009" t="s">
        <v>248</v>
      </c>
      <c r="C11009" s="2">
        <v>0.92310000000000003</v>
      </c>
      <c r="D11009" s="2">
        <v>2.69E-2</v>
      </c>
      <c r="E11009" s="2">
        <v>1.7500000000000002E-2</v>
      </c>
      <c r="F11009" s="2">
        <v>1.18E-2</v>
      </c>
      <c r="G11009" s="2">
        <v>1.2500000000000001E-2</v>
      </c>
      <c r="H11009" s="2">
        <v>6.1999999999999998E-3</v>
      </c>
      <c r="J11009" s="2">
        <v>6.1000000000000004E-3</v>
      </c>
      <c r="K11009" s="2">
        <v>1E-4</v>
      </c>
      <c r="M11009">
        <v>788</v>
      </c>
    </row>
    <row r="11010" spans="1:13" x14ac:dyDescent="0.35">
      <c r="A11010" t="s">
        <v>227</v>
      </c>
      <c r="B11010" t="s">
        <v>249</v>
      </c>
      <c r="C11010" s="2">
        <v>0.90139999999999998</v>
      </c>
      <c r="D11010" s="2">
        <v>3.9100000000000003E-2</v>
      </c>
      <c r="E11010" s="2">
        <v>1.5900000000000001E-2</v>
      </c>
      <c r="F11010" s="2">
        <v>3.0000000000000001E-3</v>
      </c>
      <c r="G11010" s="2">
        <v>2.3E-2</v>
      </c>
      <c r="H11010" s="2">
        <v>1.2E-2</v>
      </c>
      <c r="I11010" s="2">
        <v>3.3999999999999998E-3</v>
      </c>
      <c r="J11010" s="2">
        <v>1E-3</v>
      </c>
      <c r="K11010" s="2">
        <v>8.0000000000000004E-4</v>
      </c>
      <c r="L11010" s="2">
        <v>6.9999999999999999E-4</v>
      </c>
      <c r="M11010">
        <v>537</v>
      </c>
    </row>
    <row r="11011" spans="1:13" x14ac:dyDescent="0.35">
      <c r="A11011" t="s">
        <v>227</v>
      </c>
      <c r="B11011" t="s">
        <v>247</v>
      </c>
      <c r="C11011" s="2">
        <v>0.92510000000000003</v>
      </c>
      <c r="D11011" s="2">
        <v>3.9100000000000003E-2</v>
      </c>
      <c r="E11011" s="2">
        <v>1.6E-2</v>
      </c>
      <c r="F11011" s="2">
        <v>9.7000000000000003E-3</v>
      </c>
      <c r="G11011" s="2">
        <v>2.0000000000000001E-4</v>
      </c>
      <c r="H11011" s="2">
        <v>3.8E-3</v>
      </c>
      <c r="I11011" s="2">
        <v>6.1999999999999998E-3</v>
      </c>
      <c r="J11011" s="2">
        <v>6.9999999999999999E-4</v>
      </c>
      <c r="K11011" s="2">
        <v>4.0000000000000002E-4</v>
      </c>
      <c r="L11011" s="2">
        <v>5.0000000000000001E-4</v>
      </c>
      <c r="M11011">
        <v>1460</v>
      </c>
    </row>
    <row r="11012" spans="1:13" x14ac:dyDescent="0.35">
      <c r="A11012" t="s">
        <v>228</v>
      </c>
      <c r="B11012" t="s">
        <v>228</v>
      </c>
      <c r="C11012" s="2">
        <v>0.92</v>
      </c>
      <c r="D11012" s="2">
        <v>3.5700000000000003E-2</v>
      </c>
      <c r="E11012" s="2">
        <v>1.6400000000000001E-2</v>
      </c>
      <c r="F11012" s="2">
        <v>8.9999999999999993E-3</v>
      </c>
      <c r="G11012" s="2">
        <v>8.0000000000000002E-3</v>
      </c>
      <c r="H11012" s="2">
        <v>6.1000000000000004E-3</v>
      </c>
      <c r="I11012" s="2">
        <v>4.0000000000000001E-3</v>
      </c>
      <c r="J11012" s="2">
        <v>2.2000000000000001E-3</v>
      </c>
      <c r="K11012" s="2">
        <v>4.0000000000000002E-4</v>
      </c>
      <c r="L11012" s="2">
        <v>4.0000000000000002E-4</v>
      </c>
      <c r="M11012">
        <v>2785</v>
      </c>
    </row>
    <row r="11014" spans="1:13" x14ac:dyDescent="0.35">
      <c r="A11014" s="1" t="s">
        <v>2533</v>
      </c>
    </row>
    <row r="11015" spans="1:13" x14ac:dyDescent="0.35">
      <c r="A11015" t="s">
        <v>219</v>
      </c>
      <c r="B11015" t="s">
        <v>301</v>
      </c>
      <c r="C11015" t="s">
        <v>298</v>
      </c>
      <c r="D11015" t="s">
        <v>2521</v>
      </c>
      <c r="E11015" t="s">
        <v>2522</v>
      </c>
      <c r="F11015" t="s">
        <v>277</v>
      </c>
      <c r="G11015" t="s">
        <v>2523</v>
      </c>
      <c r="H11015" t="s">
        <v>2524</v>
      </c>
      <c r="I11015" t="s">
        <v>2525</v>
      </c>
      <c r="J11015" t="s">
        <v>282</v>
      </c>
      <c r="K11015" t="s">
        <v>318</v>
      </c>
      <c r="L11015" t="s">
        <v>2526</v>
      </c>
      <c r="M11015" t="s">
        <v>226</v>
      </c>
    </row>
    <row r="11016" spans="1:13" x14ac:dyDescent="0.35">
      <c r="A11016" t="s">
        <v>227</v>
      </c>
      <c r="B11016" t="s">
        <v>245</v>
      </c>
      <c r="C11016" s="2">
        <v>0.90920000000000001</v>
      </c>
      <c r="D11016" s="2">
        <v>4.48E-2</v>
      </c>
      <c r="E11016" s="2">
        <v>3.0200000000000001E-2</v>
      </c>
      <c r="F11016" s="2">
        <v>7.0000000000000001E-3</v>
      </c>
      <c r="G11016" s="2">
        <v>4.0000000000000002E-4</v>
      </c>
      <c r="H11016" s="2">
        <v>2.8999999999999998E-3</v>
      </c>
      <c r="I11016" s="2">
        <v>7.7999999999999996E-3</v>
      </c>
      <c r="J11016" s="2">
        <v>4.0000000000000002E-4</v>
      </c>
      <c r="K11016" s="2">
        <v>5.9999999999999995E-4</v>
      </c>
      <c r="L11016" s="2">
        <v>2.0000000000000001E-4</v>
      </c>
      <c r="M11016">
        <v>779</v>
      </c>
    </row>
    <row r="11017" spans="1:13" x14ac:dyDescent="0.35">
      <c r="A11017" t="s">
        <v>227</v>
      </c>
      <c r="B11017" t="s">
        <v>244</v>
      </c>
      <c r="C11017" s="2">
        <v>0.92430000000000001</v>
      </c>
      <c r="D11017" s="2">
        <v>3.2099999999999997E-2</v>
      </c>
      <c r="E11017" s="2">
        <v>1.09E-2</v>
      </c>
      <c r="F11017" s="2">
        <v>9.7000000000000003E-3</v>
      </c>
      <c r="G11017" s="2">
        <v>1.0999999999999999E-2</v>
      </c>
      <c r="H11017" s="2">
        <v>7.4000000000000003E-3</v>
      </c>
      <c r="I11017" s="2">
        <v>2.3999999999999998E-3</v>
      </c>
      <c r="J11017" s="2">
        <v>3.0000000000000001E-3</v>
      </c>
      <c r="K11017" s="2">
        <v>4.0000000000000002E-4</v>
      </c>
      <c r="L11017" s="2">
        <v>4.0000000000000002E-4</v>
      </c>
      <c r="M11017">
        <v>2006</v>
      </c>
    </row>
    <row r="11018" spans="1:13" x14ac:dyDescent="0.35">
      <c r="A11018" t="s">
        <v>228</v>
      </c>
      <c r="B11018" t="s">
        <v>228</v>
      </c>
      <c r="C11018" s="2">
        <v>0.92</v>
      </c>
      <c r="D11018" s="2">
        <v>3.5700000000000003E-2</v>
      </c>
      <c r="E11018" s="2">
        <v>1.6400000000000001E-2</v>
      </c>
      <c r="F11018" s="2">
        <v>8.9999999999999993E-3</v>
      </c>
      <c r="G11018" s="2">
        <v>8.0000000000000002E-3</v>
      </c>
      <c r="H11018" s="2">
        <v>6.1000000000000004E-3</v>
      </c>
      <c r="I11018" s="2">
        <v>4.0000000000000001E-3</v>
      </c>
      <c r="J11018" s="2">
        <v>2.2000000000000001E-3</v>
      </c>
      <c r="K11018" s="2">
        <v>4.0000000000000002E-4</v>
      </c>
      <c r="L11018" s="2">
        <v>4.0000000000000002E-4</v>
      </c>
      <c r="M11018">
        <v>2785</v>
      </c>
    </row>
    <row r="11020" spans="1:13" x14ac:dyDescent="0.35">
      <c r="A11020" s="1" t="s">
        <v>2534</v>
      </c>
    </row>
    <row r="11021" spans="1:13" x14ac:dyDescent="0.35">
      <c r="A11021" t="s">
        <v>219</v>
      </c>
      <c r="B11021" t="s">
        <v>301</v>
      </c>
      <c r="C11021" t="s">
        <v>298</v>
      </c>
      <c r="D11021" t="s">
        <v>2521</v>
      </c>
      <c r="E11021" t="s">
        <v>2522</v>
      </c>
      <c r="F11021" t="s">
        <v>277</v>
      </c>
      <c r="G11021" t="s">
        <v>2523</v>
      </c>
      <c r="H11021" t="s">
        <v>2524</v>
      </c>
      <c r="I11021" t="s">
        <v>2525</v>
      </c>
      <c r="J11021" t="s">
        <v>282</v>
      </c>
      <c r="K11021" t="s">
        <v>318</v>
      </c>
      <c r="L11021" t="s">
        <v>2526</v>
      </c>
      <c r="M11021" t="s">
        <v>226</v>
      </c>
    </row>
    <row r="11022" spans="1:13" x14ac:dyDescent="0.35">
      <c r="A11022" t="s">
        <v>227</v>
      </c>
      <c r="B11022" t="s">
        <v>259</v>
      </c>
      <c r="C11022" s="2">
        <v>0.97609999999999997</v>
      </c>
      <c r="D11022" s="2">
        <v>1.6000000000000001E-3</v>
      </c>
      <c r="E11022" s="2">
        <v>4.7999999999999996E-3</v>
      </c>
      <c r="F11022" s="2">
        <v>8.0000000000000002E-3</v>
      </c>
      <c r="I11022" s="2">
        <v>1.43E-2</v>
      </c>
      <c r="M11022">
        <v>69</v>
      </c>
    </row>
    <row r="11023" spans="1:13" x14ac:dyDescent="0.35">
      <c r="A11023" t="s">
        <v>227</v>
      </c>
      <c r="B11023" t="s">
        <v>257</v>
      </c>
      <c r="C11023" s="2">
        <v>0.78520000000000001</v>
      </c>
      <c r="D11023" s="2">
        <v>0.17660000000000001</v>
      </c>
      <c r="E11023" s="2">
        <v>6.4000000000000003E-3</v>
      </c>
      <c r="F11023" s="2">
        <v>1.7899999999999999E-2</v>
      </c>
      <c r="G11023" s="2">
        <v>8.0999999999999996E-3</v>
      </c>
      <c r="H11023" s="2">
        <v>5.1999999999999998E-3</v>
      </c>
      <c r="I11023" s="2">
        <v>4.7999999999999996E-3</v>
      </c>
      <c r="J11023" s="2">
        <v>4.1999999999999997E-3</v>
      </c>
      <c r="L11023" s="2">
        <v>2.9999999999999997E-4</v>
      </c>
      <c r="M11023">
        <v>400</v>
      </c>
    </row>
    <row r="11024" spans="1:13" x14ac:dyDescent="0.35">
      <c r="A11024" t="s">
        <v>227</v>
      </c>
      <c r="B11024" t="s">
        <v>256</v>
      </c>
      <c r="C11024" s="2">
        <v>0.95069999999999999</v>
      </c>
      <c r="D11024" s="2">
        <v>3.8E-3</v>
      </c>
      <c r="E11024" s="2">
        <v>1.8200000000000001E-2</v>
      </c>
      <c r="F11024" s="2">
        <v>7.4000000000000003E-3</v>
      </c>
      <c r="G11024" s="2">
        <v>7.4000000000000003E-3</v>
      </c>
      <c r="H11024" s="2">
        <v>6.4000000000000003E-3</v>
      </c>
      <c r="I11024" s="2">
        <v>4.1000000000000003E-3</v>
      </c>
      <c r="J11024" s="2">
        <v>1.8E-3</v>
      </c>
      <c r="K11024" s="2">
        <v>5.9999999999999995E-4</v>
      </c>
      <c r="L11024" s="2">
        <v>4.0000000000000002E-4</v>
      </c>
      <c r="M11024">
        <v>1783</v>
      </c>
    </row>
    <row r="11025" spans="1:13" x14ac:dyDescent="0.35">
      <c r="A11025" s="3" t="s">
        <v>227</v>
      </c>
      <c r="B11025" s="3" t="s">
        <v>232</v>
      </c>
      <c r="C11025" s="4">
        <v>1</v>
      </c>
      <c r="D11025" s="5"/>
      <c r="E11025" s="5"/>
      <c r="F11025" s="5"/>
      <c r="G11025" s="5"/>
      <c r="H11025" s="5"/>
      <c r="I11025" s="5"/>
      <c r="J11025" s="5"/>
      <c r="K11025" s="5"/>
      <c r="L11025" s="5"/>
      <c r="M11025" s="5" t="s">
        <v>307</v>
      </c>
    </row>
    <row r="11026" spans="1:13" x14ac:dyDescent="0.35">
      <c r="A11026" t="s">
        <v>227</v>
      </c>
      <c r="B11026" t="s">
        <v>258</v>
      </c>
      <c r="C11026" s="2">
        <v>0.9254</v>
      </c>
      <c r="D11026" s="2">
        <v>2.58E-2</v>
      </c>
      <c r="E11026" s="2">
        <v>2.1100000000000001E-2</v>
      </c>
      <c r="F11026" s="2">
        <v>6.1999999999999998E-3</v>
      </c>
      <c r="G11026" s="2">
        <v>1.1599999999999999E-2</v>
      </c>
      <c r="H11026" s="2">
        <v>6.1999999999999998E-3</v>
      </c>
      <c r="I11026" s="2">
        <v>1.1000000000000001E-3</v>
      </c>
      <c r="J11026" s="2">
        <v>2.0999999999999999E-3</v>
      </c>
      <c r="K11026" s="2">
        <v>2.0000000000000001E-4</v>
      </c>
      <c r="L11026" s="2">
        <v>2.9999999999999997E-4</v>
      </c>
      <c r="M11026">
        <v>522</v>
      </c>
    </row>
    <row r="11027" spans="1:13" x14ac:dyDescent="0.35">
      <c r="A11027" t="s">
        <v>228</v>
      </c>
      <c r="B11027" t="s">
        <v>228</v>
      </c>
      <c r="C11027" s="2">
        <v>0.92</v>
      </c>
      <c r="D11027" s="2">
        <v>3.5700000000000003E-2</v>
      </c>
      <c r="E11027" s="2">
        <v>1.6400000000000001E-2</v>
      </c>
      <c r="F11027" s="2">
        <v>8.9999999999999993E-3</v>
      </c>
      <c r="G11027" s="2">
        <v>8.0000000000000002E-3</v>
      </c>
      <c r="H11027" s="2">
        <v>6.1000000000000004E-3</v>
      </c>
      <c r="I11027" s="2">
        <v>4.0000000000000001E-3</v>
      </c>
      <c r="J11027" s="2">
        <v>2.2000000000000001E-3</v>
      </c>
      <c r="K11027" s="2">
        <v>4.0000000000000002E-4</v>
      </c>
      <c r="L11027" s="2">
        <v>4.0000000000000002E-4</v>
      </c>
      <c r="M11027">
        <v>2785</v>
      </c>
    </row>
    <row r="11029" spans="1:13" x14ac:dyDescent="0.35">
      <c r="A11029" s="1" t="s">
        <v>2535</v>
      </c>
    </row>
    <row r="11030" spans="1:13" x14ac:dyDescent="0.35">
      <c r="A11030" t="s">
        <v>219</v>
      </c>
      <c r="B11030" t="s">
        <v>301</v>
      </c>
      <c r="C11030" t="s">
        <v>298</v>
      </c>
      <c r="D11030" t="s">
        <v>2521</v>
      </c>
      <c r="E11030" t="s">
        <v>2522</v>
      </c>
      <c r="F11030" t="s">
        <v>277</v>
      </c>
      <c r="G11030" t="s">
        <v>2523</v>
      </c>
      <c r="H11030" t="s">
        <v>2524</v>
      </c>
      <c r="I11030" t="s">
        <v>2525</v>
      </c>
      <c r="J11030" t="s">
        <v>282</v>
      </c>
      <c r="K11030" t="s">
        <v>318</v>
      </c>
      <c r="L11030" t="s">
        <v>2526</v>
      </c>
      <c r="M11030" t="s">
        <v>226</v>
      </c>
    </row>
    <row r="11031" spans="1:13" x14ac:dyDescent="0.35">
      <c r="A11031" t="s">
        <v>227</v>
      </c>
      <c r="B11031" t="s">
        <v>343</v>
      </c>
      <c r="C11031" s="2">
        <v>0.78520000000000001</v>
      </c>
      <c r="D11031" s="2">
        <v>0.17660000000000001</v>
      </c>
      <c r="E11031" s="2">
        <v>6.4000000000000003E-3</v>
      </c>
      <c r="F11031" s="2">
        <v>1.7899999999999999E-2</v>
      </c>
      <c r="G11031" s="2">
        <v>8.0999999999999996E-3</v>
      </c>
      <c r="H11031" s="2">
        <v>5.1999999999999998E-3</v>
      </c>
      <c r="I11031" s="2">
        <v>4.7999999999999996E-3</v>
      </c>
      <c r="J11031" s="2">
        <v>4.1999999999999997E-3</v>
      </c>
      <c r="L11031" s="2">
        <v>2.9999999999999997E-4</v>
      </c>
      <c r="M11031">
        <v>400</v>
      </c>
    </row>
    <row r="11032" spans="1:13" x14ac:dyDescent="0.35">
      <c r="A11032" t="s">
        <v>227</v>
      </c>
      <c r="B11032" t="s">
        <v>344</v>
      </c>
      <c r="C11032" s="2">
        <v>0.94679999999999997</v>
      </c>
      <c r="D11032" s="2">
        <v>7.7000000000000002E-3</v>
      </c>
      <c r="E11032" s="2">
        <v>1.84E-2</v>
      </c>
      <c r="F11032" s="2">
        <v>7.1999999999999998E-3</v>
      </c>
      <c r="G11032" s="2">
        <v>8.0000000000000002E-3</v>
      </c>
      <c r="H11032" s="2">
        <v>6.1999999999999998E-3</v>
      </c>
      <c r="I11032" s="2">
        <v>3.8E-3</v>
      </c>
      <c r="J11032" s="2">
        <v>1.8E-3</v>
      </c>
      <c r="K11032" s="2">
        <v>5.0000000000000001E-4</v>
      </c>
      <c r="L11032" s="2">
        <v>4.0000000000000002E-4</v>
      </c>
      <c r="M11032">
        <v>2385</v>
      </c>
    </row>
    <row r="11033" spans="1:13" x14ac:dyDescent="0.35">
      <c r="A11033" t="s">
        <v>228</v>
      </c>
      <c r="B11033" t="s">
        <v>228</v>
      </c>
      <c r="C11033" s="2">
        <v>0.92</v>
      </c>
      <c r="D11033" s="2">
        <v>3.5700000000000003E-2</v>
      </c>
      <c r="E11033" s="2">
        <v>1.6400000000000001E-2</v>
      </c>
      <c r="F11033" s="2">
        <v>8.9999999999999993E-3</v>
      </c>
      <c r="G11033" s="2">
        <v>8.0000000000000002E-3</v>
      </c>
      <c r="H11033" s="2">
        <v>6.1000000000000004E-3</v>
      </c>
      <c r="I11033" s="2">
        <v>4.0000000000000001E-3</v>
      </c>
      <c r="J11033" s="2">
        <v>2.2000000000000001E-3</v>
      </c>
      <c r="K11033" s="2">
        <v>4.0000000000000002E-4</v>
      </c>
      <c r="L11033" s="2">
        <v>4.0000000000000002E-4</v>
      </c>
      <c r="M11033">
        <v>2785</v>
      </c>
    </row>
    <row r="11035" spans="1:13" x14ac:dyDescent="0.35">
      <c r="A11035" s="1" t="s">
        <v>2536</v>
      </c>
    </row>
    <row r="11036" spans="1:13" x14ac:dyDescent="0.35">
      <c r="A11036" t="s">
        <v>219</v>
      </c>
      <c r="B11036" t="s">
        <v>301</v>
      </c>
      <c r="C11036" t="s">
        <v>298</v>
      </c>
      <c r="D11036" t="s">
        <v>2521</v>
      </c>
      <c r="E11036" t="s">
        <v>2522</v>
      </c>
      <c r="F11036" t="s">
        <v>277</v>
      </c>
      <c r="G11036" t="s">
        <v>2523</v>
      </c>
      <c r="H11036" t="s">
        <v>2524</v>
      </c>
      <c r="I11036" t="s">
        <v>2525</v>
      </c>
      <c r="J11036" t="s">
        <v>282</v>
      </c>
      <c r="K11036" t="s">
        <v>318</v>
      </c>
      <c r="L11036" t="s">
        <v>2526</v>
      </c>
      <c r="M11036" t="s">
        <v>226</v>
      </c>
    </row>
    <row r="11037" spans="1:13" x14ac:dyDescent="0.35">
      <c r="A11037" t="s">
        <v>227</v>
      </c>
      <c r="B11037" t="s">
        <v>346</v>
      </c>
      <c r="C11037" s="2">
        <v>0.92200000000000004</v>
      </c>
      <c r="D11037" s="2">
        <v>3.4599999999999999E-2</v>
      </c>
      <c r="E11037" s="2">
        <v>1.5900000000000001E-2</v>
      </c>
      <c r="F11037" s="2">
        <v>8.6E-3</v>
      </c>
      <c r="G11037" s="2">
        <v>8.5000000000000006E-3</v>
      </c>
      <c r="H11037" s="2">
        <v>6.7000000000000002E-3</v>
      </c>
      <c r="I11037" s="2">
        <v>3.3999999999999998E-3</v>
      </c>
      <c r="J11037" s="2">
        <v>1.6999999999999999E-3</v>
      </c>
      <c r="L11037" s="2">
        <v>2.0000000000000001E-4</v>
      </c>
      <c r="M11037">
        <v>1446</v>
      </c>
    </row>
    <row r="11038" spans="1:13" x14ac:dyDescent="0.35">
      <c r="A11038" t="s">
        <v>227</v>
      </c>
      <c r="B11038" t="s">
        <v>347</v>
      </c>
      <c r="C11038" s="2">
        <v>0.90259999999999996</v>
      </c>
      <c r="D11038" s="2">
        <v>3.27E-2</v>
      </c>
      <c r="E11038" s="2">
        <v>1.7500000000000002E-2</v>
      </c>
      <c r="F11038" s="2">
        <v>1.4200000000000001E-2</v>
      </c>
      <c r="G11038" s="2">
        <v>8.0000000000000002E-3</v>
      </c>
      <c r="H11038" s="2">
        <v>6.1000000000000004E-3</v>
      </c>
      <c r="I11038" s="2">
        <v>6.3E-3</v>
      </c>
      <c r="J11038" s="2">
        <v>1.1900000000000001E-2</v>
      </c>
      <c r="K11038" s="2">
        <v>6.9999999999999999E-4</v>
      </c>
      <c r="L11038" s="2">
        <v>3.5000000000000001E-3</v>
      </c>
      <c r="M11038">
        <v>580</v>
      </c>
    </row>
    <row r="11039" spans="1:13" x14ac:dyDescent="0.35">
      <c r="A11039" t="s">
        <v>227</v>
      </c>
      <c r="B11039" t="s">
        <v>348</v>
      </c>
      <c r="C11039" s="2">
        <v>0.90780000000000005</v>
      </c>
      <c r="D11039" s="2">
        <v>4.7100000000000003E-2</v>
      </c>
      <c r="E11039" s="2">
        <v>2.0400000000000001E-2</v>
      </c>
      <c r="F11039" s="2">
        <v>9.7000000000000003E-3</v>
      </c>
      <c r="G11039" s="2">
        <v>3.8999999999999998E-3</v>
      </c>
      <c r="I11039" s="2">
        <v>8.0999999999999996E-3</v>
      </c>
      <c r="J11039" s="2">
        <v>3.5999999999999999E-3</v>
      </c>
      <c r="K11039" s="2">
        <v>4.1000000000000003E-3</v>
      </c>
      <c r="L11039" s="2">
        <v>5.0000000000000001E-4</v>
      </c>
      <c r="M11039">
        <v>759</v>
      </c>
    </row>
    <row r="11040" spans="1:13" x14ac:dyDescent="0.35">
      <c r="A11040" t="s">
        <v>228</v>
      </c>
      <c r="B11040" t="s">
        <v>228</v>
      </c>
      <c r="C11040" s="2">
        <v>0.92</v>
      </c>
      <c r="D11040" s="2">
        <v>3.5700000000000003E-2</v>
      </c>
      <c r="E11040" s="2">
        <v>1.6400000000000001E-2</v>
      </c>
      <c r="F11040" s="2">
        <v>8.9999999999999993E-3</v>
      </c>
      <c r="G11040" s="2">
        <v>8.0000000000000002E-3</v>
      </c>
      <c r="H11040" s="2">
        <v>6.1000000000000004E-3</v>
      </c>
      <c r="I11040" s="2">
        <v>4.0000000000000001E-3</v>
      </c>
      <c r="J11040" s="2">
        <v>2.2000000000000001E-3</v>
      </c>
      <c r="K11040" s="2">
        <v>4.0000000000000002E-4</v>
      </c>
      <c r="L11040" s="2">
        <v>4.0000000000000002E-4</v>
      </c>
      <c r="M11040">
        <v>2785</v>
      </c>
    </row>
    <row r="11042" spans="1:13" x14ac:dyDescent="0.35">
      <c r="A11042" s="1" t="s">
        <v>2537</v>
      </c>
    </row>
    <row r="11043" spans="1:13" x14ac:dyDescent="0.35">
      <c r="A11043" t="s">
        <v>219</v>
      </c>
      <c r="B11043" t="s">
        <v>301</v>
      </c>
      <c r="C11043" t="s">
        <v>298</v>
      </c>
      <c r="D11043" t="s">
        <v>2521</v>
      </c>
      <c r="E11043" t="s">
        <v>2522</v>
      </c>
      <c r="F11043" t="s">
        <v>277</v>
      </c>
      <c r="G11043" t="s">
        <v>2523</v>
      </c>
      <c r="H11043" t="s">
        <v>2524</v>
      </c>
      <c r="I11043" t="s">
        <v>2525</v>
      </c>
      <c r="J11043" t="s">
        <v>282</v>
      </c>
      <c r="K11043" t="s">
        <v>318</v>
      </c>
      <c r="L11043" t="s">
        <v>2526</v>
      </c>
      <c r="M11043" t="s">
        <v>226</v>
      </c>
    </row>
    <row r="11044" spans="1:13" x14ac:dyDescent="0.35">
      <c r="A11044" t="s">
        <v>227</v>
      </c>
      <c r="B11044" t="s">
        <v>251</v>
      </c>
      <c r="C11044" s="2">
        <v>0.92430000000000001</v>
      </c>
      <c r="D11044" s="2">
        <v>3.2099999999999997E-2</v>
      </c>
      <c r="E11044" s="2">
        <v>1.09E-2</v>
      </c>
      <c r="F11044" s="2">
        <v>9.7000000000000003E-3</v>
      </c>
      <c r="G11044" s="2">
        <v>1.0999999999999999E-2</v>
      </c>
      <c r="H11044" s="2">
        <v>7.4000000000000003E-3</v>
      </c>
      <c r="I11044" s="2">
        <v>2.3999999999999998E-3</v>
      </c>
      <c r="J11044" s="2">
        <v>3.0000000000000001E-3</v>
      </c>
      <c r="K11044" s="2">
        <v>4.0000000000000002E-4</v>
      </c>
      <c r="L11044" s="2">
        <v>4.0000000000000002E-4</v>
      </c>
      <c r="M11044">
        <v>2006</v>
      </c>
    </row>
    <row r="11045" spans="1:13" x14ac:dyDescent="0.35">
      <c r="A11045" t="s">
        <v>227</v>
      </c>
      <c r="B11045" t="s">
        <v>252</v>
      </c>
      <c r="C11045" s="2">
        <v>0.90739999999999998</v>
      </c>
      <c r="D11045" s="2">
        <v>4.5100000000000001E-2</v>
      </c>
      <c r="E11045" s="2">
        <v>3.0099999999999998E-2</v>
      </c>
      <c r="F11045" s="2">
        <v>7.7999999999999996E-3</v>
      </c>
      <c r="G11045" s="2">
        <v>5.0000000000000001E-4</v>
      </c>
      <c r="H11045" s="2">
        <v>3.2000000000000002E-3</v>
      </c>
      <c r="I11045" s="2">
        <v>7.7999999999999996E-3</v>
      </c>
      <c r="K11045" s="2">
        <v>6.9999999999999999E-4</v>
      </c>
      <c r="L11045" s="2">
        <v>2.0000000000000001E-4</v>
      </c>
      <c r="M11045">
        <v>618</v>
      </c>
    </row>
    <row r="11046" spans="1:13" x14ac:dyDescent="0.35">
      <c r="A11046" t="s">
        <v>227</v>
      </c>
      <c r="B11046" t="s">
        <v>253</v>
      </c>
      <c r="C11046" s="2">
        <v>0.91610000000000003</v>
      </c>
      <c r="D11046" s="2">
        <v>4.5400000000000003E-2</v>
      </c>
      <c r="E11046" s="2">
        <v>3.1699999999999999E-2</v>
      </c>
      <c r="F11046" s="2">
        <v>3.3999999999999998E-3</v>
      </c>
      <c r="H11046" s="2">
        <v>1.6000000000000001E-3</v>
      </c>
      <c r="I11046" s="2">
        <v>7.9000000000000008E-3</v>
      </c>
      <c r="M11046">
        <v>152</v>
      </c>
    </row>
    <row r="11047" spans="1:13" x14ac:dyDescent="0.35">
      <c r="A11047" s="3" t="s">
        <v>227</v>
      </c>
      <c r="B11047" s="3" t="s">
        <v>254</v>
      </c>
      <c r="C11047" s="4">
        <v>0.94199999999999995</v>
      </c>
      <c r="D11047" s="5"/>
      <c r="E11047" s="5"/>
      <c r="F11047" s="5"/>
      <c r="G11047" s="5"/>
      <c r="H11047" s="5"/>
      <c r="I11047" s="5"/>
      <c r="J11047" s="4">
        <v>5.8000000000000003E-2</v>
      </c>
      <c r="K11047" s="5"/>
      <c r="L11047" s="5"/>
      <c r="M11047" s="5" t="s">
        <v>515</v>
      </c>
    </row>
    <row r="11048" spans="1:13" x14ac:dyDescent="0.35">
      <c r="A11048" t="s">
        <v>228</v>
      </c>
      <c r="B11048" t="s">
        <v>228</v>
      </c>
      <c r="C11048" s="2">
        <v>0.92</v>
      </c>
      <c r="D11048" s="2">
        <v>3.5700000000000003E-2</v>
      </c>
      <c r="E11048" s="2">
        <v>1.6400000000000001E-2</v>
      </c>
      <c r="F11048" s="2">
        <v>8.9999999999999993E-3</v>
      </c>
      <c r="G11048" s="2">
        <v>8.0000000000000002E-3</v>
      </c>
      <c r="H11048" s="2">
        <v>6.1000000000000004E-3</v>
      </c>
      <c r="I11048" s="2">
        <v>4.0000000000000001E-3</v>
      </c>
      <c r="J11048" s="2">
        <v>2.2000000000000001E-3</v>
      </c>
      <c r="K11048" s="2">
        <v>4.0000000000000002E-4</v>
      </c>
      <c r="L11048" s="2">
        <v>4.0000000000000002E-4</v>
      </c>
      <c r="M11048">
        <v>2785</v>
      </c>
    </row>
    <row r="11050" spans="1:13" x14ac:dyDescent="0.35">
      <c r="A11050" s="1" t="s">
        <v>2538</v>
      </c>
    </row>
    <row r="11051" spans="1:13" x14ac:dyDescent="0.35">
      <c r="A11051" t="s">
        <v>219</v>
      </c>
      <c r="B11051" t="s">
        <v>301</v>
      </c>
      <c r="C11051" t="s">
        <v>298</v>
      </c>
      <c r="D11051" t="s">
        <v>2521</v>
      </c>
      <c r="E11051" t="s">
        <v>2522</v>
      </c>
      <c r="F11051" t="s">
        <v>277</v>
      </c>
      <c r="G11051" t="s">
        <v>2523</v>
      </c>
      <c r="H11051" t="s">
        <v>2524</v>
      </c>
      <c r="I11051" t="s">
        <v>2525</v>
      </c>
      <c r="J11051" t="s">
        <v>282</v>
      </c>
      <c r="K11051" t="s">
        <v>318</v>
      </c>
      <c r="L11051" t="s">
        <v>2526</v>
      </c>
      <c r="M11051" t="s">
        <v>226</v>
      </c>
    </row>
    <row r="11052" spans="1:13" x14ac:dyDescent="0.35">
      <c r="A11052" t="s">
        <v>227</v>
      </c>
      <c r="B11052" t="s">
        <v>1335</v>
      </c>
      <c r="C11052" s="2">
        <v>0.91830000000000001</v>
      </c>
      <c r="D11052" s="2">
        <v>2.4199999999999999E-2</v>
      </c>
      <c r="E11052" s="2">
        <v>1.61E-2</v>
      </c>
      <c r="F11052" s="2">
        <v>1.06E-2</v>
      </c>
      <c r="G11052" s="2">
        <v>1.8499999999999999E-2</v>
      </c>
      <c r="H11052" s="2">
        <v>7.7000000000000002E-3</v>
      </c>
      <c r="I11052" s="2">
        <v>2.5999999999999999E-3</v>
      </c>
      <c r="J11052" s="2">
        <v>2.7000000000000001E-3</v>
      </c>
      <c r="K11052" s="2">
        <v>6.9999999999999999E-4</v>
      </c>
      <c r="L11052" s="2">
        <v>2.0000000000000001E-4</v>
      </c>
      <c r="M11052">
        <v>836</v>
      </c>
    </row>
    <row r="11053" spans="1:13" x14ac:dyDescent="0.35">
      <c r="A11053" s="3" t="s">
        <v>227</v>
      </c>
      <c r="B11053" s="3" t="s">
        <v>1336</v>
      </c>
      <c r="C11053" s="4">
        <v>1</v>
      </c>
      <c r="D11053" s="5"/>
      <c r="E11053" s="5"/>
      <c r="F11053" s="5"/>
      <c r="G11053" s="5"/>
      <c r="H11053" s="5"/>
      <c r="I11053" s="5"/>
      <c r="J11053" s="5"/>
      <c r="K11053" s="5"/>
      <c r="L11053" s="5"/>
      <c r="M11053" s="5" t="s">
        <v>434</v>
      </c>
    </row>
    <row r="11054" spans="1:13" x14ac:dyDescent="0.35">
      <c r="A11054" t="s">
        <v>227</v>
      </c>
      <c r="B11054" t="s">
        <v>1337</v>
      </c>
      <c r="C11054" s="2">
        <v>0.92059999999999997</v>
      </c>
      <c r="D11054" s="2">
        <v>4.1599999999999998E-2</v>
      </c>
      <c r="E11054" s="2">
        <v>1.66E-2</v>
      </c>
      <c r="F11054" s="2">
        <v>8.2000000000000007E-3</v>
      </c>
      <c r="G11054" s="2">
        <v>2.8E-3</v>
      </c>
      <c r="H11054" s="2">
        <v>5.3E-3</v>
      </c>
      <c r="I11054" s="2">
        <v>4.7000000000000002E-3</v>
      </c>
      <c r="J11054" s="2">
        <v>2E-3</v>
      </c>
      <c r="K11054" s="2">
        <v>2.9999999999999997E-4</v>
      </c>
      <c r="L11054" s="2">
        <v>4.0000000000000002E-4</v>
      </c>
      <c r="M11054">
        <v>1947</v>
      </c>
    </row>
    <row r="11055" spans="1:13" x14ac:dyDescent="0.35">
      <c r="A11055" t="s">
        <v>228</v>
      </c>
      <c r="B11055" t="s">
        <v>228</v>
      </c>
      <c r="C11055" s="2">
        <v>0.92</v>
      </c>
      <c r="D11055" s="2">
        <v>3.5700000000000003E-2</v>
      </c>
      <c r="E11055" s="2">
        <v>1.6400000000000001E-2</v>
      </c>
      <c r="F11055" s="2">
        <v>8.9999999999999993E-3</v>
      </c>
      <c r="G11055" s="2">
        <v>8.0000000000000002E-3</v>
      </c>
      <c r="H11055" s="2">
        <v>6.1000000000000004E-3</v>
      </c>
      <c r="I11055" s="2">
        <v>4.0000000000000001E-3</v>
      </c>
      <c r="J11055" s="2">
        <v>2.2000000000000001E-3</v>
      </c>
      <c r="K11055" s="2">
        <v>4.0000000000000002E-4</v>
      </c>
      <c r="L11055" s="2">
        <v>4.0000000000000002E-4</v>
      </c>
      <c r="M11055">
        <v>2785</v>
      </c>
    </row>
    <row r="11057" spans="1:14" x14ac:dyDescent="0.35">
      <c r="A11057" s="1" t="s">
        <v>2539</v>
      </c>
    </row>
    <row r="11058" spans="1:14" x14ac:dyDescent="0.35">
      <c r="A11058" t="s">
        <v>219</v>
      </c>
      <c r="B11058" t="s">
        <v>301</v>
      </c>
      <c r="C11058" t="s">
        <v>298</v>
      </c>
      <c r="D11058" t="s">
        <v>2521</v>
      </c>
      <c r="E11058" t="s">
        <v>2522</v>
      </c>
      <c r="F11058" t="s">
        <v>277</v>
      </c>
      <c r="G11058" t="s">
        <v>2523</v>
      </c>
      <c r="H11058" t="s">
        <v>2524</v>
      </c>
      <c r="I11058" t="s">
        <v>2525</v>
      </c>
      <c r="J11058" t="s">
        <v>282</v>
      </c>
      <c r="K11058" t="s">
        <v>318</v>
      </c>
      <c r="L11058" t="s">
        <v>2526</v>
      </c>
      <c r="M11058" t="s">
        <v>226</v>
      </c>
    </row>
    <row r="11059" spans="1:14" x14ac:dyDescent="0.35">
      <c r="A11059" t="s">
        <v>227</v>
      </c>
      <c r="B11059" t="s">
        <v>1339</v>
      </c>
      <c r="C11059" s="2">
        <v>0.86</v>
      </c>
      <c r="D11059" s="2">
        <v>2.8400000000000002E-2</v>
      </c>
      <c r="E11059" s="2">
        <v>3.15E-2</v>
      </c>
      <c r="F11059" s="2">
        <v>2.3999999999999998E-3</v>
      </c>
      <c r="H11059" s="2">
        <v>3.8E-3</v>
      </c>
      <c r="I11059" s="2">
        <v>7.3800000000000004E-2</v>
      </c>
      <c r="M11059">
        <v>51</v>
      </c>
    </row>
    <row r="11060" spans="1:14" x14ac:dyDescent="0.35">
      <c r="A11060" t="s">
        <v>227</v>
      </c>
      <c r="B11060" t="s">
        <v>1340</v>
      </c>
      <c r="C11060" s="2">
        <v>0.93430000000000002</v>
      </c>
      <c r="D11060" s="2">
        <v>4.4499999999999998E-2</v>
      </c>
      <c r="E11060" s="2">
        <v>8.3000000000000001E-3</v>
      </c>
      <c r="F11060" s="2">
        <v>2.8999999999999998E-3</v>
      </c>
      <c r="G11060" s="2">
        <v>8.0000000000000002E-3</v>
      </c>
      <c r="H11060" s="2">
        <v>6.9999999999999999E-4</v>
      </c>
      <c r="I11060" s="2">
        <v>5.9999999999999995E-4</v>
      </c>
      <c r="J11060" s="2">
        <v>6.9999999999999999E-4</v>
      </c>
      <c r="L11060" s="2">
        <v>2.9999999999999997E-4</v>
      </c>
      <c r="M11060">
        <v>720</v>
      </c>
    </row>
    <row r="11061" spans="1:14" x14ac:dyDescent="0.35">
      <c r="A11061" t="s">
        <v>227</v>
      </c>
      <c r="B11061" t="s">
        <v>1341</v>
      </c>
      <c r="C11061" s="2">
        <v>0.91069999999999995</v>
      </c>
      <c r="D11061" s="2">
        <v>3.4799999999999998E-2</v>
      </c>
      <c r="E11061" s="2">
        <v>1.8800000000000001E-2</v>
      </c>
      <c r="F11061" s="2">
        <v>1.32E-2</v>
      </c>
      <c r="G11061" s="2">
        <v>9.1000000000000004E-3</v>
      </c>
      <c r="H11061" s="2">
        <v>8.2000000000000007E-3</v>
      </c>
      <c r="I11061" s="2">
        <v>4.1999999999999997E-3</v>
      </c>
      <c r="J11061" s="2">
        <v>1.8E-3</v>
      </c>
      <c r="K11061" s="2">
        <v>8.0000000000000004E-4</v>
      </c>
      <c r="L11061" s="2">
        <v>5.9999999999999995E-4</v>
      </c>
      <c r="M11061">
        <v>1331</v>
      </c>
    </row>
    <row r="11062" spans="1:14" x14ac:dyDescent="0.35">
      <c r="A11062" t="s">
        <v>227</v>
      </c>
      <c r="B11062" t="s">
        <v>1342</v>
      </c>
      <c r="C11062" s="2">
        <v>0.93140000000000001</v>
      </c>
      <c r="D11062" s="2">
        <v>2.9700000000000001E-2</v>
      </c>
      <c r="E11062" s="2">
        <v>1.7899999999999999E-2</v>
      </c>
      <c r="F11062" s="2">
        <v>6.6E-3</v>
      </c>
      <c r="G11062" s="2">
        <v>6.4999999999999997E-3</v>
      </c>
      <c r="H11062" s="2">
        <v>7.0000000000000001E-3</v>
      </c>
      <c r="J11062" s="2">
        <v>4.8999999999999998E-3</v>
      </c>
      <c r="M11062">
        <v>683</v>
      </c>
    </row>
    <row r="11063" spans="1:14" x14ac:dyDescent="0.35">
      <c r="A11063" t="s">
        <v>228</v>
      </c>
      <c r="B11063" t="s">
        <v>228</v>
      </c>
      <c r="C11063" s="2">
        <v>0.92</v>
      </c>
      <c r="D11063" s="2">
        <v>3.5700000000000003E-2</v>
      </c>
      <c r="E11063" s="2">
        <v>1.6400000000000001E-2</v>
      </c>
      <c r="F11063" s="2">
        <v>8.9999999999999993E-3</v>
      </c>
      <c r="G11063" s="2">
        <v>8.0000000000000002E-3</v>
      </c>
      <c r="H11063" s="2">
        <v>6.1000000000000004E-3</v>
      </c>
      <c r="I11063" s="2">
        <v>4.0000000000000001E-3</v>
      </c>
      <c r="J11063" s="2">
        <v>2.2000000000000001E-3</v>
      </c>
      <c r="K11063" s="2">
        <v>4.0000000000000002E-4</v>
      </c>
      <c r="L11063" s="2">
        <v>4.0000000000000002E-4</v>
      </c>
      <c r="M11063">
        <v>2785</v>
      </c>
    </row>
    <row r="11065" spans="1:14" x14ac:dyDescent="0.35">
      <c r="A11065" s="1" t="s">
        <v>2540</v>
      </c>
    </row>
    <row r="11066" spans="1:14" x14ac:dyDescent="0.35">
      <c r="A11066" t="s">
        <v>219</v>
      </c>
      <c r="B11066" t="s">
        <v>301</v>
      </c>
      <c r="C11066" t="s">
        <v>325</v>
      </c>
      <c r="D11066" t="s">
        <v>298</v>
      </c>
      <c r="E11066" t="s">
        <v>2521</v>
      </c>
      <c r="F11066" t="s">
        <v>2522</v>
      </c>
      <c r="G11066" t="s">
        <v>277</v>
      </c>
      <c r="H11066" t="s">
        <v>2523</v>
      </c>
      <c r="I11066" t="s">
        <v>2524</v>
      </c>
      <c r="J11066" t="s">
        <v>2525</v>
      </c>
      <c r="K11066" t="s">
        <v>282</v>
      </c>
      <c r="L11066" t="s">
        <v>318</v>
      </c>
      <c r="M11066" t="s">
        <v>2526</v>
      </c>
      <c r="N11066" t="s">
        <v>226</v>
      </c>
    </row>
    <row r="11067" spans="1:14" x14ac:dyDescent="0.35">
      <c r="A11067" s="3" t="s">
        <v>227</v>
      </c>
      <c r="B11067" s="3" t="s">
        <v>1335</v>
      </c>
      <c r="C11067" s="3" t="s">
        <v>1339</v>
      </c>
      <c r="D11067" s="4">
        <v>0.99670000000000003</v>
      </c>
      <c r="E11067" s="5"/>
      <c r="F11067" s="5"/>
      <c r="G11067" s="4">
        <v>3.3E-3</v>
      </c>
      <c r="H11067" s="5"/>
      <c r="I11067" s="5"/>
      <c r="J11067" s="5"/>
      <c r="K11067" s="5"/>
      <c r="L11067" s="5"/>
      <c r="M11067" s="5"/>
      <c r="N11067" s="5" t="s">
        <v>427</v>
      </c>
    </row>
    <row r="11068" spans="1:14" x14ac:dyDescent="0.35">
      <c r="A11068" t="s">
        <v>227</v>
      </c>
      <c r="B11068" t="s">
        <v>1335</v>
      </c>
      <c r="C11068" t="s">
        <v>1340</v>
      </c>
      <c r="D11068" s="2">
        <v>0.94820000000000004</v>
      </c>
      <c r="E11068" s="2">
        <v>1.7000000000000001E-2</v>
      </c>
      <c r="F11068" s="2">
        <v>8.3000000000000001E-3</v>
      </c>
      <c r="G11068" s="2">
        <v>2.5000000000000001E-3</v>
      </c>
      <c r="H11068" s="2">
        <v>2.07E-2</v>
      </c>
      <c r="I11068" s="2">
        <v>1.1000000000000001E-3</v>
      </c>
      <c r="K11068" s="2">
        <v>1.1999999999999999E-3</v>
      </c>
      <c r="M11068" s="2">
        <v>8.9999999999999998E-4</v>
      </c>
      <c r="N11068">
        <v>247</v>
      </c>
    </row>
    <row r="11069" spans="1:14" x14ac:dyDescent="0.35">
      <c r="A11069" t="s">
        <v>227</v>
      </c>
      <c r="B11069" t="s">
        <v>1335</v>
      </c>
      <c r="C11069" t="s">
        <v>1341</v>
      </c>
      <c r="D11069" s="2">
        <v>0.88959999999999995</v>
      </c>
      <c r="E11069" s="2">
        <v>3.39E-2</v>
      </c>
      <c r="F11069" s="2">
        <v>2.1499999999999998E-2</v>
      </c>
      <c r="G11069" s="2">
        <v>1.2699999999999999E-2</v>
      </c>
      <c r="H11069" s="2">
        <v>2.5100000000000001E-2</v>
      </c>
      <c r="I11069" s="2">
        <v>1.01E-2</v>
      </c>
      <c r="J11069" s="2">
        <v>5.0000000000000001E-3</v>
      </c>
      <c r="K11069" s="2">
        <v>3.8E-3</v>
      </c>
      <c r="L11069" s="2">
        <v>1.2999999999999999E-3</v>
      </c>
      <c r="N11069">
        <v>413</v>
      </c>
    </row>
    <row r="11070" spans="1:14" x14ac:dyDescent="0.35">
      <c r="A11070" t="s">
        <v>227</v>
      </c>
      <c r="B11070" t="s">
        <v>1335</v>
      </c>
      <c r="C11070" t="s">
        <v>1342</v>
      </c>
      <c r="D11070" s="2">
        <v>0.9446</v>
      </c>
      <c r="E11070" s="2">
        <v>1.0999999999999999E-2</v>
      </c>
      <c r="F11070" s="2">
        <v>1.3899999999999999E-2</v>
      </c>
      <c r="G11070" s="2">
        <v>1.6299999999999999E-2</v>
      </c>
      <c r="H11070" s="2">
        <v>6.9999999999999999E-4</v>
      </c>
      <c r="I11070" s="2">
        <v>1.0999999999999999E-2</v>
      </c>
      <c r="K11070" s="2">
        <v>2.3999999999999998E-3</v>
      </c>
      <c r="N11070">
        <v>156</v>
      </c>
    </row>
    <row r="11071" spans="1:14" x14ac:dyDescent="0.35">
      <c r="A11071" s="3" t="s">
        <v>227</v>
      </c>
      <c r="B11071" s="3" t="s">
        <v>1336</v>
      </c>
      <c r="C11071" s="3" t="s">
        <v>1341</v>
      </c>
      <c r="D11071" s="4">
        <v>1</v>
      </c>
      <c r="E11071" s="5"/>
      <c r="F11071" s="5"/>
      <c r="G11071" s="5"/>
      <c r="H11071" s="5"/>
      <c r="I11071" s="5"/>
      <c r="J11071" s="5"/>
      <c r="K11071" s="5"/>
      <c r="L11071" s="5"/>
      <c r="M11071" s="5"/>
      <c r="N11071" s="5" t="s">
        <v>434</v>
      </c>
    </row>
    <row r="11072" spans="1:14" x14ac:dyDescent="0.35">
      <c r="A11072" t="s">
        <v>227</v>
      </c>
      <c r="B11072" t="s">
        <v>1337</v>
      </c>
      <c r="C11072" t="s">
        <v>1339</v>
      </c>
      <c r="D11072" s="2">
        <v>0.78110000000000002</v>
      </c>
      <c r="E11072" s="2">
        <v>4.48E-2</v>
      </c>
      <c r="F11072" s="2">
        <v>4.9700000000000001E-2</v>
      </c>
      <c r="G11072" s="2">
        <v>1.9E-3</v>
      </c>
      <c r="I11072" s="2">
        <v>6.1000000000000004E-3</v>
      </c>
      <c r="J11072" s="2">
        <v>0.11650000000000001</v>
      </c>
      <c r="N11072">
        <v>31</v>
      </c>
    </row>
    <row r="11073" spans="1:16" x14ac:dyDescent="0.35">
      <c r="A11073" t="s">
        <v>227</v>
      </c>
      <c r="B11073" t="s">
        <v>1337</v>
      </c>
      <c r="C11073" t="s">
        <v>1340</v>
      </c>
      <c r="D11073" s="2">
        <v>0.9264</v>
      </c>
      <c r="E11073" s="2">
        <v>6.0299999999999999E-2</v>
      </c>
      <c r="F11073" s="2">
        <v>8.3999999999999995E-3</v>
      </c>
      <c r="G11073" s="2">
        <v>3.0000000000000001E-3</v>
      </c>
      <c r="H11073" s="2">
        <v>5.9999999999999995E-4</v>
      </c>
      <c r="I11073" s="2">
        <v>5.0000000000000001E-4</v>
      </c>
      <c r="J11073" s="2">
        <v>8.9999999999999998E-4</v>
      </c>
      <c r="K11073" s="2">
        <v>4.0000000000000002E-4</v>
      </c>
      <c r="N11073">
        <v>473</v>
      </c>
    </row>
    <row r="11074" spans="1:16" x14ac:dyDescent="0.35">
      <c r="A11074" t="s">
        <v>227</v>
      </c>
      <c r="B11074" t="s">
        <v>1337</v>
      </c>
      <c r="C11074" t="s">
        <v>1341</v>
      </c>
      <c r="D11074" s="2">
        <v>0.92130000000000001</v>
      </c>
      <c r="E11074" s="2">
        <v>3.5400000000000001E-2</v>
      </c>
      <c r="F11074" s="2">
        <v>1.7399999999999999E-2</v>
      </c>
      <c r="G11074" s="2">
        <v>1.34E-2</v>
      </c>
      <c r="H11074" s="2">
        <v>8.0000000000000004E-4</v>
      </c>
      <c r="I11074" s="2">
        <v>7.3000000000000001E-3</v>
      </c>
      <c r="J11074" s="2">
        <v>3.8E-3</v>
      </c>
      <c r="K11074" s="2">
        <v>8.9999999999999998E-4</v>
      </c>
      <c r="L11074" s="2">
        <v>5.9999999999999995E-4</v>
      </c>
      <c r="M11074" s="2">
        <v>8.9999999999999998E-4</v>
      </c>
      <c r="N11074">
        <v>916</v>
      </c>
    </row>
    <row r="11075" spans="1:16" x14ac:dyDescent="0.35">
      <c r="A11075" t="s">
        <v>227</v>
      </c>
      <c r="B11075" t="s">
        <v>1337</v>
      </c>
      <c r="C11075" t="s">
        <v>1342</v>
      </c>
      <c r="D11075" s="2">
        <v>0.92630000000000001</v>
      </c>
      <c r="E11075" s="2">
        <v>3.6900000000000002E-2</v>
      </c>
      <c r="F11075" s="2">
        <v>1.9400000000000001E-2</v>
      </c>
      <c r="G11075" s="2">
        <v>2.8999999999999998E-3</v>
      </c>
      <c r="H11075" s="2">
        <v>8.6999999999999994E-3</v>
      </c>
      <c r="I11075" s="2">
        <v>5.4000000000000003E-3</v>
      </c>
      <c r="K11075" s="2">
        <v>5.7999999999999996E-3</v>
      </c>
      <c r="N11075">
        <v>527</v>
      </c>
    </row>
    <row r="11076" spans="1:16" x14ac:dyDescent="0.35">
      <c r="A11076" t="s">
        <v>228</v>
      </c>
      <c r="B11076" t="s">
        <v>228</v>
      </c>
      <c r="C11076" t="s">
        <v>228</v>
      </c>
      <c r="D11076" s="2">
        <v>0.92</v>
      </c>
      <c r="E11076" s="2">
        <v>3.5700000000000003E-2</v>
      </c>
      <c r="F11076" s="2">
        <v>1.6400000000000001E-2</v>
      </c>
      <c r="G11076" s="2">
        <v>8.9999999999999993E-3</v>
      </c>
      <c r="H11076" s="2">
        <v>8.0000000000000002E-3</v>
      </c>
      <c r="I11076" s="2">
        <v>6.1000000000000004E-3</v>
      </c>
      <c r="J11076" s="2">
        <v>4.0000000000000001E-3</v>
      </c>
      <c r="K11076" s="2">
        <v>2.2000000000000001E-3</v>
      </c>
      <c r="L11076" s="2">
        <v>4.0000000000000002E-4</v>
      </c>
      <c r="M11076" s="2">
        <v>4.0000000000000002E-4</v>
      </c>
      <c r="N11076">
        <v>2785</v>
      </c>
    </row>
    <row r="11078" spans="1:16" x14ac:dyDescent="0.35">
      <c r="A11078" s="1" t="s">
        <v>2541</v>
      </c>
    </row>
    <row r="11079" spans="1:16" x14ac:dyDescent="0.35">
      <c r="A11079" t="s">
        <v>219</v>
      </c>
      <c r="B11079" t="s">
        <v>540</v>
      </c>
      <c r="C11079" t="s">
        <v>2542</v>
      </c>
      <c r="D11079" t="s">
        <v>2543</v>
      </c>
      <c r="E11079" t="s">
        <v>2544</v>
      </c>
      <c r="F11079" t="s">
        <v>2545</v>
      </c>
      <c r="G11079" t="s">
        <v>2546</v>
      </c>
      <c r="H11079" t="s">
        <v>2547</v>
      </c>
      <c r="I11079" t="s">
        <v>277</v>
      </c>
      <c r="J11079" t="s">
        <v>2548</v>
      </c>
      <c r="K11079" t="s">
        <v>2549</v>
      </c>
      <c r="L11079" t="s">
        <v>282</v>
      </c>
      <c r="M11079" t="s">
        <v>2550</v>
      </c>
      <c r="N11079" t="s">
        <v>318</v>
      </c>
      <c r="O11079" t="s">
        <v>226</v>
      </c>
    </row>
    <row r="11080" spans="1:16" x14ac:dyDescent="0.35">
      <c r="A11080" t="s">
        <v>227</v>
      </c>
      <c r="B11080" s="2">
        <v>0.93330000000000002</v>
      </c>
      <c r="C11080" s="2">
        <v>1.29E-2</v>
      </c>
      <c r="D11080" s="2">
        <v>1.0800000000000001E-2</v>
      </c>
      <c r="E11080" s="2">
        <v>9.1999999999999998E-3</v>
      </c>
      <c r="F11080" s="2">
        <v>8.2000000000000007E-3</v>
      </c>
      <c r="G11080" s="2">
        <v>7.6E-3</v>
      </c>
      <c r="H11080" s="2">
        <v>7.4999999999999997E-3</v>
      </c>
      <c r="I11080" s="2">
        <v>4.7000000000000002E-3</v>
      </c>
      <c r="J11080" s="2">
        <v>4.7000000000000002E-3</v>
      </c>
      <c r="K11080" s="2">
        <v>4.1999999999999997E-3</v>
      </c>
      <c r="L11080" s="2">
        <v>2.3999999999999998E-3</v>
      </c>
      <c r="M11080" s="2">
        <v>2E-3</v>
      </c>
      <c r="N11080" s="2">
        <v>1.1000000000000001E-3</v>
      </c>
      <c r="O11080">
        <v>2796</v>
      </c>
    </row>
    <row r="11081" spans="1:16" x14ac:dyDescent="0.35">
      <c r="A11081" t="s">
        <v>228</v>
      </c>
      <c r="B11081" s="2">
        <v>0.93330000000000002</v>
      </c>
      <c r="C11081" s="2">
        <v>1.29E-2</v>
      </c>
      <c r="D11081" s="2">
        <v>1.0800000000000001E-2</v>
      </c>
      <c r="E11081" s="2">
        <v>9.1999999999999998E-3</v>
      </c>
      <c r="F11081" s="2">
        <v>8.2000000000000007E-3</v>
      </c>
      <c r="G11081" s="2">
        <v>7.6E-3</v>
      </c>
      <c r="H11081" s="2">
        <v>7.4999999999999997E-3</v>
      </c>
      <c r="I11081" s="2">
        <v>4.7000000000000002E-3</v>
      </c>
      <c r="J11081" s="2">
        <v>4.7000000000000002E-3</v>
      </c>
      <c r="K11081" s="2">
        <v>4.1999999999999997E-3</v>
      </c>
      <c r="L11081" s="2">
        <v>2.3999999999999998E-3</v>
      </c>
      <c r="M11081" s="2">
        <v>2E-3</v>
      </c>
      <c r="N11081" s="2">
        <v>1.1000000000000001E-3</v>
      </c>
      <c r="O11081">
        <v>2796</v>
      </c>
    </row>
    <row r="11083" spans="1:16" x14ac:dyDescent="0.35">
      <c r="A11083" s="1" t="s">
        <v>2551</v>
      </c>
    </row>
    <row r="11084" spans="1:16" x14ac:dyDescent="0.35">
      <c r="A11084" t="s">
        <v>219</v>
      </c>
      <c r="B11084" t="s">
        <v>301</v>
      </c>
      <c r="C11084" t="s">
        <v>540</v>
      </c>
      <c r="D11084" t="s">
        <v>2542</v>
      </c>
      <c r="E11084" t="s">
        <v>2543</v>
      </c>
      <c r="F11084" t="s">
        <v>2544</v>
      </c>
      <c r="G11084" t="s">
        <v>2545</v>
      </c>
      <c r="H11084" t="s">
        <v>2546</v>
      </c>
      <c r="I11084" t="s">
        <v>2547</v>
      </c>
      <c r="J11084" t="s">
        <v>277</v>
      </c>
      <c r="K11084" t="s">
        <v>2548</v>
      </c>
      <c r="L11084" t="s">
        <v>2549</v>
      </c>
      <c r="M11084" t="s">
        <v>282</v>
      </c>
      <c r="N11084" t="s">
        <v>2550</v>
      </c>
      <c r="O11084" t="s">
        <v>318</v>
      </c>
      <c r="P11084" t="s">
        <v>226</v>
      </c>
    </row>
    <row r="11085" spans="1:16" x14ac:dyDescent="0.35">
      <c r="A11085" t="s">
        <v>227</v>
      </c>
      <c r="B11085" t="s">
        <v>238</v>
      </c>
      <c r="C11085" s="2">
        <v>0.9042</v>
      </c>
      <c r="D11085" s="2">
        <v>2.2800000000000001E-2</v>
      </c>
      <c r="E11085" s="2">
        <v>1.54E-2</v>
      </c>
      <c r="F11085" s="2">
        <v>0.01</v>
      </c>
      <c r="G11085" s="2">
        <v>1.47E-2</v>
      </c>
      <c r="H11085" s="2">
        <v>6.7000000000000002E-3</v>
      </c>
      <c r="I11085" s="2">
        <v>1.43E-2</v>
      </c>
      <c r="J11085" s="2">
        <v>5.1999999999999998E-3</v>
      </c>
      <c r="K11085" s="2">
        <v>5.0000000000000001E-3</v>
      </c>
      <c r="L11085" s="2">
        <v>7.7999999999999996E-3</v>
      </c>
      <c r="M11085" s="2">
        <v>5.0000000000000001E-3</v>
      </c>
      <c r="N11085" s="2">
        <v>4.7999999999999996E-3</v>
      </c>
      <c r="O11085" s="2">
        <v>5.9999999999999995E-4</v>
      </c>
      <c r="P11085">
        <v>998</v>
      </c>
    </row>
    <row r="11086" spans="1:16" x14ac:dyDescent="0.35">
      <c r="A11086" t="s">
        <v>227</v>
      </c>
      <c r="B11086" t="s">
        <v>237</v>
      </c>
      <c r="C11086" s="2">
        <v>0.95009999999999994</v>
      </c>
      <c r="D11086" s="2">
        <v>7.1000000000000004E-3</v>
      </c>
      <c r="E11086" s="2">
        <v>8.2000000000000007E-3</v>
      </c>
      <c r="F11086" s="2">
        <v>8.8000000000000005E-3</v>
      </c>
      <c r="G11086" s="2">
        <v>4.4000000000000003E-3</v>
      </c>
      <c r="H11086" s="2">
        <v>8.2000000000000007E-3</v>
      </c>
      <c r="I11086" s="2">
        <v>3.5000000000000001E-3</v>
      </c>
      <c r="J11086" s="2">
        <v>4.4000000000000003E-3</v>
      </c>
      <c r="K11086" s="2">
        <v>4.4999999999999997E-3</v>
      </c>
      <c r="L11086" s="2">
        <v>2.2000000000000001E-3</v>
      </c>
      <c r="M11086" s="2">
        <v>8.0000000000000004E-4</v>
      </c>
      <c r="N11086" s="2">
        <v>2.9999999999999997E-4</v>
      </c>
      <c r="O11086" s="2">
        <v>1.2999999999999999E-3</v>
      </c>
      <c r="P11086">
        <v>1798</v>
      </c>
    </row>
    <row r="11087" spans="1:16" x14ac:dyDescent="0.35">
      <c r="A11087" t="s">
        <v>228</v>
      </c>
      <c r="B11087" t="s">
        <v>228</v>
      </c>
      <c r="C11087" s="2">
        <v>0.93330000000000002</v>
      </c>
      <c r="D11087" s="2">
        <v>1.29E-2</v>
      </c>
      <c r="E11087" s="2">
        <v>1.0800000000000001E-2</v>
      </c>
      <c r="F11087" s="2">
        <v>9.1999999999999998E-3</v>
      </c>
      <c r="G11087" s="2">
        <v>8.2000000000000007E-3</v>
      </c>
      <c r="H11087" s="2">
        <v>7.6E-3</v>
      </c>
      <c r="I11087" s="2">
        <v>7.4999999999999997E-3</v>
      </c>
      <c r="J11087" s="2">
        <v>4.7000000000000002E-3</v>
      </c>
      <c r="K11087" s="2">
        <v>4.7000000000000002E-3</v>
      </c>
      <c r="L11087" s="2">
        <v>4.1999999999999997E-3</v>
      </c>
      <c r="M11087" s="2">
        <v>2.3999999999999998E-3</v>
      </c>
      <c r="N11087" s="2">
        <v>2E-3</v>
      </c>
      <c r="O11087" s="2">
        <v>1.1000000000000001E-3</v>
      </c>
      <c r="P11087">
        <v>2796</v>
      </c>
    </row>
    <row r="11089" spans="1:16" x14ac:dyDescent="0.35">
      <c r="A11089" s="1" t="s">
        <v>2552</v>
      </c>
    </row>
    <row r="11090" spans="1:16" x14ac:dyDescent="0.35">
      <c r="A11090" t="s">
        <v>219</v>
      </c>
      <c r="B11090" t="s">
        <v>301</v>
      </c>
      <c r="C11090" t="s">
        <v>540</v>
      </c>
      <c r="D11090" t="s">
        <v>2542</v>
      </c>
      <c r="E11090" t="s">
        <v>2543</v>
      </c>
      <c r="F11090" t="s">
        <v>2544</v>
      </c>
      <c r="G11090" t="s">
        <v>2545</v>
      </c>
      <c r="H11090" t="s">
        <v>2546</v>
      </c>
      <c r="I11090" t="s">
        <v>2547</v>
      </c>
      <c r="J11090" t="s">
        <v>277</v>
      </c>
      <c r="K11090" t="s">
        <v>2548</v>
      </c>
      <c r="L11090" t="s">
        <v>2549</v>
      </c>
      <c r="M11090" t="s">
        <v>282</v>
      </c>
      <c r="N11090" t="s">
        <v>2550</v>
      </c>
      <c r="O11090" t="s">
        <v>318</v>
      </c>
      <c r="P11090" t="s">
        <v>226</v>
      </c>
    </row>
    <row r="11091" spans="1:16" x14ac:dyDescent="0.35">
      <c r="A11091" t="s">
        <v>227</v>
      </c>
      <c r="B11091" t="s">
        <v>235</v>
      </c>
      <c r="C11091" s="2">
        <v>0.91120000000000001</v>
      </c>
      <c r="D11091" s="2">
        <v>2.1700000000000001E-2</v>
      </c>
      <c r="E11091" s="2">
        <v>1.78E-2</v>
      </c>
      <c r="F11091" s="2">
        <v>1.0200000000000001E-2</v>
      </c>
      <c r="G11091" s="2">
        <v>6.6E-3</v>
      </c>
      <c r="H11091" s="2">
        <v>1.0699999999999999E-2</v>
      </c>
      <c r="I11091" s="2">
        <v>6.3E-3</v>
      </c>
      <c r="J11091" s="2">
        <v>7.1000000000000004E-3</v>
      </c>
      <c r="K11091" s="2">
        <v>5.9999999999999995E-4</v>
      </c>
      <c r="L11091" s="2">
        <v>3.0000000000000001E-3</v>
      </c>
      <c r="M11091" s="2">
        <v>3.7000000000000002E-3</v>
      </c>
      <c r="N11091" s="2">
        <v>5.0000000000000001E-4</v>
      </c>
      <c r="O11091" s="2">
        <v>1.8E-3</v>
      </c>
      <c r="P11091">
        <v>987</v>
      </c>
    </row>
    <row r="11092" spans="1:16" x14ac:dyDescent="0.35">
      <c r="A11092" t="s">
        <v>227</v>
      </c>
      <c r="B11092" t="s">
        <v>234</v>
      </c>
      <c r="C11092" s="2">
        <v>0.9425</v>
      </c>
      <c r="D11092" s="2">
        <v>9.1999999999999998E-3</v>
      </c>
      <c r="E11092" s="2">
        <v>7.9000000000000008E-3</v>
      </c>
      <c r="F11092" s="2">
        <v>8.8000000000000005E-3</v>
      </c>
      <c r="G11092" s="2">
        <v>8.8999999999999999E-3</v>
      </c>
      <c r="H11092" s="2">
        <v>6.4000000000000003E-3</v>
      </c>
      <c r="I11092" s="2">
        <v>8.0000000000000002E-3</v>
      </c>
      <c r="J11092" s="2">
        <v>3.7000000000000002E-3</v>
      </c>
      <c r="K11092" s="2">
        <v>6.4000000000000003E-3</v>
      </c>
      <c r="L11092" s="2">
        <v>4.7999999999999996E-3</v>
      </c>
      <c r="M11092" s="2">
        <v>1.8E-3</v>
      </c>
      <c r="N11092" s="2">
        <v>2.5999999999999999E-3</v>
      </c>
      <c r="O11092" s="2">
        <v>8.0000000000000004E-4</v>
      </c>
      <c r="P11092">
        <v>1809</v>
      </c>
    </row>
    <row r="11093" spans="1:16" x14ac:dyDescent="0.35">
      <c r="A11093" t="s">
        <v>228</v>
      </c>
      <c r="B11093" t="s">
        <v>228</v>
      </c>
      <c r="C11093" s="2">
        <v>0.93330000000000002</v>
      </c>
      <c r="D11093" s="2">
        <v>1.29E-2</v>
      </c>
      <c r="E11093" s="2">
        <v>1.0800000000000001E-2</v>
      </c>
      <c r="F11093" s="2">
        <v>9.1999999999999998E-3</v>
      </c>
      <c r="G11093" s="2">
        <v>8.2000000000000007E-3</v>
      </c>
      <c r="H11093" s="2">
        <v>7.6E-3</v>
      </c>
      <c r="I11093" s="2">
        <v>7.4999999999999997E-3</v>
      </c>
      <c r="J11093" s="2">
        <v>4.7000000000000002E-3</v>
      </c>
      <c r="K11093" s="2">
        <v>4.7000000000000002E-3</v>
      </c>
      <c r="L11093" s="2">
        <v>4.1999999999999997E-3</v>
      </c>
      <c r="M11093" s="2">
        <v>2.3999999999999998E-3</v>
      </c>
      <c r="N11093" s="2">
        <v>2E-3</v>
      </c>
      <c r="O11093" s="2">
        <v>1.1000000000000001E-3</v>
      </c>
      <c r="P11093">
        <v>2796</v>
      </c>
    </row>
    <row r="11095" spans="1:16" x14ac:dyDescent="0.35">
      <c r="A11095" s="1" t="s">
        <v>2553</v>
      </c>
    </row>
    <row r="11096" spans="1:16" x14ac:dyDescent="0.35">
      <c r="A11096" t="s">
        <v>219</v>
      </c>
      <c r="B11096" t="s">
        <v>301</v>
      </c>
      <c r="C11096" t="s">
        <v>540</v>
      </c>
      <c r="D11096" t="s">
        <v>2542</v>
      </c>
      <c r="E11096" t="s">
        <v>2543</v>
      </c>
      <c r="F11096" t="s">
        <v>2544</v>
      </c>
      <c r="G11096" t="s">
        <v>2545</v>
      </c>
      <c r="H11096" t="s">
        <v>2546</v>
      </c>
      <c r="I11096" t="s">
        <v>2547</v>
      </c>
      <c r="J11096" t="s">
        <v>277</v>
      </c>
      <c r="K11096" t="s">
        <v>2548</v>
      </c>
      <c r="L11096" t="s">
        <v>2549</v>
      </c>
      <c r="M11096" t="s">
        <v>282</v>
      </c>
      <c r="N11096" t="s">
        <v>2550</v>
      </c>
      <c r="O11096" t="s">
        <v>318</v>
      </c>
      <c r="P11096" t="s">
        <v>226</v>
      </c>
    </row>
    <row r="11097" spans="1:16" x14ac:dyDescent="0.35">
      <c r="A11097" t="s">
        <v>227</v>
      </c>
      <c r="B11097" t="s">
        <v>240</v>
      </c>
      <c r="C11097" s="2">
        <v>0.93369999999999997</v>
      </c>
      <c r="D11097" s="2">
        <v>8.6E-3</v>
      </c>
      <c r="E11097" s="2">
        <v>1.14E-2</v>
      </c>
      <c r="F11097" s="2">
        <v>7.7999999999999996E-3</v>
      </c>
      <c r="G11097" s="2">
        <v>7.1000000000000004E-3</v>
      </c>
      <c r="H11097" s="2">
        <v>9.4999999999999998E-3</v>
      </c>
      <c r="I11097" s="2">
        <v>7.9000000000000008E-3</v>
      </c>
      <c r="J11097" s="2">
        <v>6.3E-3</v>
      </c>
      <c r="K11097" s="2">
        <v>3.0999999999999999E-3</v>
      </c>
      <c r="L11097" s="2">
        <v>6.4999999999999997E-3</v>
      </c>
      <c r="M11097" s="2">
        <v>3.5999999999999999E-3</v>
      </c>
      <c r="N11097" s="2">
        <v>2.8999999999999998E-3</v>
      </c>
      <c r="O11097" s="2">
        <v>1E-3</v>
      </c>
      <c r="P11097">
        <v>1747</v>
      </c>
    </row>
    <row r="11098" spans="1:16" x14ac:dyDescent="0.35">
      <c r="A11098" t="s">
        <v>227</v>
      </c>
      <c r="B11098" t="s">
        <v>241</v>
      </c>
      <c r="C11098" s="2">
        <v>0.94499999999999995</v>
      </c>
      <c r="D11098" s="2">
        <v>1.6199999999999999E-2</v>
      </c>
      <c r="E11098" s="2">
        <v>1.0800000000000001E-2</v>
      </c>
      <c r="F11098" s="2">
        <v>8.3999999999999995E-3</v>
      </c>
      <c r="G11098" s="2">
        <v>9.9000000000000008E-3</v>
      </c>
      <c r="H11098" s="2">
        <v>3.5999999999999999E-3</v>
      </c>
      <c r="I11098" s="2">
        <v>2.5000000000000001E-3</v>
      </c>
      <c r="J11098" s="2">
        <v>1.8E-3</v>
      </c>
      <c r="K11098" s="2">
        <v>9.2999999999999992E-3</v>
      </c>
      <c r="M11098" s="2">
        <v>2.0000000000000001E-4</v>
      </c>
      <c r="N11098" s="2">
        <v>1E-4</v>
      </c>
      <c r="O11098" s="2">
        <v>1.2999999999999999E-3</v>
      </c>
      <c r="P11098">
        <v>883</v>
      </c>
    </row>
    <row r="11099" spans="1:16" x14ac:dyDescent="0.35">
      <c r="A11099" t="s">
        <v>227</v>
      </c>
      <c r="B11099" t="s">
        <v>242</v>
      </c>
      <c r="C11099" s="2">
        <v>0.878</v>
      </c>
      <c r="D11099" s="2">
        <v>3.95E-2</v>
      </c>
      <c r="E11099" s="2">
        <v>5.4000000000000003E-3</v>
      </c>
      <c r="F11099" s="2">
        <v>2.6700000000000002E-2</v>
      </c>
      <c r="G11099" s="2">
        <v>1.0800000000000001E-2</v>
      </c>
      <c r="H11099" s="2">
        <v>8.2000000000000007E-3</v>
      </c>
      <c r="I11099" s="2">
        <v>2.53E-2</v>
      </c>
      <c r="J11099" s="2">
        <v>2E-3</v>
      </c>
      <c r="L11099" s="2">
        <v>1.2999999999999999E-3</v>
      </c>
      <c r="N11099" s="2">
        <v>1.6000000000000001E-3</v>
      </c>
      <c r="O11099" s="2">
        <v>1.1000000000000001E-3</v>
      </c>
      <c r="P11099">
        <v>166</v>
      </c>
    </row>
    <row r="11100" spans="1:16" x14ac:dyDescent="0.35">
      <c r="A11100" t="s">
        <v>228</v>
      </c>
      <c r="B11100" t="s">
        <v>228</v>
      </c>
      <c r="C11100" s="2">
        <v>0.93330000000000002</v>
      </c>
      <c r="D11100" s="2">
        <v>1.29E-2</v>
      </c>
      <c r="E11100" s="2">
        <v>1.0800000000000001E-2</v>
      </c>
      <c r="F11100" s="2">
        <v>9.1999999999999998E-3</v>
      </c>
      <c r="G11100" s="2">
        <v>8.2000000000000007E-3</v>
      </c>
      <c r="H11100" s="2">
        <v>7.6E-3</v>
      </c>
      <c r="I11100" s="2">
        <v>7.4999999999999997E-3</v>
      </c>
      <c r="J11100" s="2">
        <v>4.7000000000000002E-3</v>
      </c>
      <c r="K11100" s="2">
        <v>4.7000000000000002E-3</v>
      </c>
      <c r="L11100" s="2">
        <v>4.1999999999999997E-3</v>
      </c>
      <c r="M11100" s="2">
        <v>2.3999999999999998E-3</v>
      </c>
      <c r="N11100" s="2">
        <v>2E-3</v>
      </c>
      <c r="O11100" s="2">
        <v>1.1000000000000001E-3</v>
      </c>
      <c r="P11100">
        <v>2796</v>
      </c>
    </row>
    <row r="11102" spans="1:16" x14ac:dyDescent="0.35">
      <c r="A11102" s="1" t="s">
        <v>2554</v>
      </c>
    </row>
    <row r="11103" spans="1:16" x14ac:dyDescent="0.35">
      <c r="A11103" t="s">
        <v>219</v>
      </c>
      <c r="B11103" t="s">
        <v>301</v>
      </c>
      <c r="C11103" t="s">
        <v>540</v>
      </c>
      <c r="D11103" t="s">
        <v>2542</v>
      </c>
      <c r="E11103" t="s">
        <v>2543</v>
      </c>
      <c r="F11103" t="s">
        <v>2544</v>
      </c>
      <c r="G11103" t="s">
        <v>2545</v>
      </c>
      <c r="H11103" t="s">
        <v>2546</v>
      </c>
      <c r="I11103" t="s">
        <v>2547</v>
      </c>
      <c r="J11103" t="s">
        <v>277</v>
      </c>
      <c r="K11103" t="s">
        <v>2548</v>
      </c>
      <c r="L11103" t="s">
        <v>2549</v>
      </c>
      <c r="M11103" t="s">
        <v>282</v>
      </c>
      <c r="N11103" t="s">
        <v>2550</v>
      </c>
      <c r="O11103" t="s">
        <v>318</v>
      </c>
      <c r="P11103" t="s">
        <v>226</v>
      </c>
    </row>
    <row r="11104" spans="1:16" x14ac:dyDescent="0.35">
      <c r="A11104" t="s">
        <v>227</v>
      </c>
      <c r="B11104" t="s">
        <v>334</v>
      </c>
      <c r="C11104" s="2">
        <v>0.92130000000000001</v>
      </c>
      <c r="D11104" s="2">
        <v>2.2499999999999999E-2</v>
      </c>
      <c r="E11104" s="2">
        <v>5.3E-3</v>
      </c>
      <c r="F11104" s="2">
        <v>1.49E-2</v>
      </c>
      <c r="G11104" s="2">
        <v>1.0200000000000001E-2</v>
      </c>
      <c r="H11104" s="2">
        <v>6.1999999999999998E-3</v>
      </c>
      <c r="I11104" s="2">
        <v>1.15E-2</v>
      </c>
      <c r="J11104" s="2">
        <v>1.14E-2</v>
      </c>
      <c r="K11104" s="2">
        <v>5.9999999999999995E-4</v>
      </c>
      <c r="L11104" s="2">
        <v>1.1999999999999999E-3</v>
      </c>
      <c r="M11104" s="2">
        <v>1.8E-3</v>
      </c>
      <c r="N11104" s="2">
        <v>1E-4</v>
      </c>
      <c r="O11104" s="2">
        <v>1.4E-3</v>
      </c>
      <c r="P11104">
        <v>619</v>
      </c>
    </row>
    <row r="11105" spans="1:16" x14ac:dyDescent="0.35">
      <c r="A11105" t="s">
        <v>227</v>
      </c>
      <c r="B11105" t="s">
        <v>335</v>
      </c>
      <c r="C11105" s="2">
        <v>0.94420000000000004</v>
      </c>
      <c r="D11105" s="2">
        <v>3.0000000000000001E-3</v>
      </c>
      <c r="E11105" s="2">
        <v>2.1100000000000001E-2</v>
      </c>
      <c r="F11105" s="2">
        <v>8.3999999999999995E-3</v>
      </c>
      <c r="G11105" s="2">
        <v>4.0000000000000002E-4</v>
      </c>
      <c r="H11105" s="2">
        <v>5.8999999999999999E-3</v>
      </c>
      <c r="I11105" s="2">
        <v>9.9000000000000008E-3</v>
      </c>
      <c r="J11105" s="2">
        <v>6.9999999999999999E-4</v>
      </c>
      <c r="K11105" s="2">
        <v>6.4000000000000003E-3</v>
      </c>
      <c r="L11105" s="2">
        <v>7.6E-3</v>
      </c>
      <c r="M11105" s="2">
        <v>2.9999999999999997E-4</v>
      </c>
      <c r="O11105" s="2">
        <v>5.9999999999999995E-4</v>
      </c>
      <c r="P11105">
        <v>621</v>
      </c>
    </row>
    <row r="11106" spans="1:16" x14ac:dyDescent="0.35">
      <c r="A11106" t="s">
        <v>227</v>
      </c>
      <c r="B11106" t="s">
        <v>336</v>
      </c>
      <c r="C11106" s="2">
        <v>0.9274</v>
      </c>
      <c r="D11106" s="2">
        <v>1.8599999999999998E-2</v>
      </c>
      <c r="E11106" s="2">
        <v>9.4999999999999998E-3</v>
      </c>
      <c r="F11106" s="2">
        <v>1.2999999999999999E-2</v>
      </c>
      <c r="G11106" s="2">
        <v>1.38E-2</v>
      </c>
      <c r="H11106" s="2">
        <v>1.3599999999999999E-2</v>
      </c>
      <c r="J11106" s="2">
        <v>1.5E-3</v>
      </c>
      <c r="K11106" s="2">
        <v>1E-4</v>
      </c>
      <c r="L11106" s="2">
        <v>1.4E-3</v>
      </c>
      <c r="M11106" s="2">
        <v>5.0000000000000001E-4</v>
      </c>
      <c r="N11106" s="2">
        <v>1E-3</v>
      </c>
      <c r="P11106">
        <v>621</v>
      </c>
    </row>
    <row r="11107" spans="1:16" x14ac:dyDescent="0.35">
      <c r="A11107" t="s">
        <v>227</v>
      </c>
      <c r="B11107" t="s">
        <v>337</v>
      </c>
      <c r="C11107" s="2">
        <v>0.93889999999999996</v>
      </c>
      <c r="D11107" s="2">
        <v>1.3599999999999999E-2</v>
      </c>
      <c r="E11107" s="2">
        <v>3.5999999999999999E-3</v>
      </c>
      <c r="F11107" s="2">
        <v>4.4999999999999997E-3</v>
      </c>
      <c r="G11107" s="2">
        <v>7.0000000000000001E-3</v>
      </c>
      <c r="H11107" s="2">
        <v>4.5999999999999999E-3</v>
      </c>
      <c r="I11107" s="2">
        <v>1.06E-2</v>
      </c>
      <c r="J11107" s="2">
        <v>6.8999999999999999E-3</v>
      </c>
      <c r="K11107" s="2">
        <v>1.2800000000000001E-2</v>
      </c>
      <c r="L11107" s="2">
        <v>3.0999999999999999E-3</v>
      </c>
      <c r="M11107" s="2">
        <v>6.7999999999999996E-3</v>
      </c>
      <c r="N11107" s="2">
        <v>5.1000000000000004E-3</v>
      </c>
      <c r="O11107" s="2">
        <v>3.0000000000000001E-3</v>
      </c>
      <c r="P11107">
        <v>599</v>
      </c>
    </row>
    <row r="11108" spans="1:16" x14ac:dyDescent="0.35">
      <c r="A11108" t="s">
        <v>228</v>
      </c>
      <c r="B11108" t="s">
        <v>228</v>
      </c>
      <c r="C11108" s="2">
        <v>0.93330000000000002</v>
      </c>
      <c r="D11108" s="2">
        <v>1.29E-2</v>
      </c>
      <c r="E11108" s="2">
        <v>1.0800000000000001E-2</v>
      </c>
      <c r="F11108" s="2">
        <v>9.1999999999999998E-3</v>
      </c>
      <c r="G11108" s="2">
        <v>8.2000000000000007E-3</v>
      </c>
      <c r="H11108" s="2">
        <v>7.6E-3</v>
      </c>
      <c r="I11108" s="2">
        <v>7.4999999999999997E-3</v>
      </c>
      <c r="J11108" s="2">
        <v>4.7000000000000002E-3</v>
      </c>
      <c r="K11108" s="2">
        <v>4.7000000000000002E-3</v>
      </c>
      <c r="L11108" s="2">
        <v>4.1999999999999997E-3</v>
      </c>
      <c r="M11108" s="2">
        <v>2.3999999999999998E-3</v>
      </c>
      <c r="N11108" s="2">
        <v>2E-3</v>
      </c>
      <c r="O11108" s="2">
        <v>1.1000000000000001E-3</v>
      </c>
      <c r="P11108">
        <v>2460</v>
      </c>
    </row>
    <row r="11110" spans="1:16" x14ac:dyDescent="0.35">
      <c r="A11110" s="1" t="s">
        <v>2555</v>
      </c>
    </row>
    <row r="11111" spans="1:16" x14ac:dyDescent="0.35">
      <c r="A11111" t="s">
        <v>219</v>
      </c>
      <c r="B11111" t="s">
        <v>301</v>
      </c>
      <c r="C11111" t="s">
        <v>540</v>
      </c>
      <c r="D11111" t="s">
        <v>2542</v>
      </c>
      <c r="E11111" t="s">
        <v>2543</v>
      </c>
      <c r="F11111" t="s">
        <v>2544</v>
      </c>
      <c r="G11111" t="s">
        <v>2545</v>
      </c>
      <c r="H11111" t="s">
        <v>2546</v>
      </c>
      <c r="I11111" t="s">
        <v>2547</v>
      </c>
      <c r="J11111" t="s">
        <v>277</v>
      </c>
      <c r="K11111" t="s">
        <v>2548</v>
      </c>
      <c r="L11111" t="s">
        <v>2549</v>
      </c>
      <c r="M11111" t="s">
        <v>282</v>
      </c>
      <c r="N11111" t="s">
        <v>2550</v>
      </c>
      <c r="O11111" t="s">
        <v>318</v>
      </c>
      <c r="P11111" t="s">
        <v>226</v>
      </c>
    </row>
    <row r="11112" spans="1:16" x14ac:dyDescent="0.35">
      <c r="A11112" t="s">
        <v>227</v>
      </c>
      <c r="B11112" t="s">
        <v>263</v>
      </c>
      <c r="C11112" s="2">
        <v>0.93969999999999998</v>
      </c>
      <c r="D11112" s="2">
        <v>2.5499999999999998E-2</v>
      </c>
      <c r="E11112" s="2">
        <v>1.01E-2</v>
      </c>
      <c r="F11112" s="2">
        <v>1.1000000000000001E-3</v>
      </c>
      <c r="G11112" s="2">
        <v>5.7999999999999996E-3</v>
      </c>
      <c r="H11112" s="2">
        <v>9.7000000000000003E-3</v>
      </c>
      <c r="I11112" s="2">
        <v>3.0999999999999999E-3</v>
      </c>
      <c r="J11112" s="2">
        <v>2.2000000000000001E-3</v>
      </c>
      <c r="K11112" s="2">
        <v>1.2699999999999999E-2</v>
      </c>
      <c r="L11112" s="2">
        <v>4.0000000000000002E-4</v>
      </c>
      <c r="M11112" s="2">
        <v>1.2999999999999999E-3</v>
      </c>
      <c r="N11112" s="2">
        <v>3.5000000000000001E-3</v>
      </c>
      <c r="O11112" s="2">
        <v>2.3E-3</v>
      </c>
      <c r="P11112">
        <v>584</v>
      </c>
    </row>
    <row r="11113" spans="1:16" x14ac:dyDescent="0.35">
      <c r="A11113" t="s">
        <v>227</v>
      </c>
      <c r="B11113" t="s">
        <v>262</v>
      </c>
      <c r="C11113" s="2">
        <v>0.9446</v>
      </c>
      <c r="D11113" s="2">
        <v>6.1000000000000004E-3</v>
      </c>
      <c r="E11113" s="2">
        <v>1.24E-2</v>
      </c>
      <c r="F11113" s="2">
        <v>1.2200000000000001E-2</v>
      </c>
      <c r="G11113" s="2">
        <v>1.2500000000000001E-2</v>
      </c>
      <c r="H11113" s="2">
        <v>8.9999999999999998E-4</v>
      </c>
      <c r="I11113" s="2">
        <v>6.3E-3</v>
      </c>
      <c r="J11113" s="2">
        <v>6.4000000000000003E-3</v>
      </c>
      <c r="K11113" s="2">
        <v>3.2000000000000002E-3</v>
      </c>
      <c r="L11113" s="2">
        <v>1E-3</v>
      </c>
      <c r="M11113" s="2">
        <v>5.0000000000000001E-4</v>
      </c>
      <c r="N11113" s="2">
        <v>5.9999999999999995E-4</v>
      </c>
      <c r="P11113">
        <v>1153</v>
      </c>
    </row>
    <row r="11114" spans="1:16" x14ac:dyDescent="0.35">
      <c r="A11114" t="s">
        <v>227</v>
      </c>
      <c r="B11114" t="s">
        <v>261</v>
      </c>
      <c r="C11114" s="2">
        <v>0.92169999999999996</v>
      </c>
      <c r="D11114" s="2">
        <v>1.11E-2</v>
      </c>
      <c r="E11114" s="2">
        <v>9.9000000000000008E-3</v>
      </c>
      <c r="F11114" s="2">
        <v>1.0699999999999999E-2</v>
      </c>
      <c r="G11114" s="2">
        <v>5.7000000000000002E-3</v>
      </c>
      <c r="H11114" s="2">
        <v>1.2500000000000001E-2</v>
      </c>
      <c r="I11114" s="2">
        <v>1.0699999999999999E-2</v>
      </c>
      <c r="J11114" s="2">
        <v>4.4000000000000003E-3</v>
      </c>
      <c r="K11114" s="2">
        <v>2.0999999999999999E-3</v>
      </c>
      <c r="L11114" s="2">
        <v>8.9999999999999993E-3</v>
      </c>
      <c r="M11114" s="2">
        <v>4.4999999999999997E-3</v>
      </c>
      <c r="N11114" s="2">
        <v>2.5000000000000001E-3</v>
      </c>
      <c r="O11114" s="2">
        <v>1.4E-3</v>
      </c>
      <c r="P11114">
        <v>1057</v>
      </c>
    </row>
    <row r="11115" spans="1:16" x14ac:dyDescent="0.35">
      <c r="A11115" s="3" t="s">
        <v>227</v>
      </c>
      <c r="B11115" s="3" t="s">
        <v>232</v>
      </c>
      <c r="C11115" s="4">
        <v>0.5</v>
      </c>
      <c r="D11115" s="4">
        <v>0.5</v>
      </c>
      <c r="E11115" s="5"/>
      <c r="F11115" s="5"/>
      <c r="G11115" s="5"/>
      <c r="H11115" s="5"/>
      <c r="I11115" s="5"/>
      <c r="J11115" s="5"/>
      <c r="K11115" s="5"/>
      <c r="L11115" s="5"/>
      <c r="M11115" s="5"/>
      <c r="N11115" s="5"/>
      <c r="O11115" s="5"/>
      <c r="P11115" s="5" t="s">
        <v>434</v>
      </c>
    </row>
    <row r="11116" spans="1:16" x14ac:dyDescent="0.35">
      <c r="A11116" t="s">
        <v>228</v>
      </c>
      <c r="B11116" t="s">
        <v>228</v>
      </c>
      <c r="C11116" s="2">
        <v>0.93330000000000002</v>
      </c>
      <c r="D11116" s="2">
        <v>1.29E-2</v>
      </c>
      <c r="E11116" s="2">
        <v>1.0800000000000001E-2</v>
      </c>
      <c r="F11116" s="2">
        <v>9.1999999999999998E-3</v>
      </c>
      <c r="G11116" s="2">
        <v>8.2000000000000007E-3</v>
      </c>
      <c r="H11116" s="2">
        <v>7.6E-3</v>
      </c>
      <c r="I11116" s="2">
        <v>7.4999999999999997E-3</v>
      </c>
      <c r="J11116" s="2">
        <v>4.7000000000000002E-3</v>
      </c>
      <c r="K11116" s="2">
        <v>4.7000000000000002E-3</v>
      </c>
      <c r="L11116" s="2">
        <v>4.1999999999999997E-3</v>
      </c>
      <c r="M11116" s="2">
        <v>2.3999999999999998E-3</v>
      </c>
      <c r="N11116" s="2">
        <v>2E-3</v>
      </c>
      <c r="O11116" s="2">
        <v>1.1000000000000001E-3</v>
      </c>
      <c r="P11116">
        <v>2796</v>
      </c>
    </row>
    <row r="11118" spans="1:16" x14ac:dyDescent="0.35">
      <c r="A11118" s="1" t="s">
        <v>2556</v>
      </c>
    </row>
    <row r="11119" spans="1:16" x14ac:dyDescent="0.35">
      <c r="A11119" t="s">
        <v>219</v>
      </c>
      <c r="B11119" t="s">
        <v>301</v>
      </c>
      <c r="C11119" t="s">
        <v>540</v>
      </c>
      <c r="D11119" t="s">
        <v>2542</v>
      </c>
      <c r="E11119" t="s">
        <v>2543</v>
      </c>
      <c r="F11119" t="s">
        <v>2544</v>
      </c>
      <c r="G11119" t="s">
        <v>2545</v>
      </c>
      <c r="H11119" t="s">
        <v>2546</v>
      </c>
      <c r="I11119" t="s">
        <v>2547</v>
      </c>
      <c r="J11119" t="s">
        <v>277</v>
      </c>
      <c r="K11119" t="s">
        <v>2548</v>
      </c>
      <c r="L11119" t="s">
        <v>2549</v>
      </c>
      <c r="M11119" t="s">
        <v>282</v>
      </c>
      <c r="N11119" t="s">
        <v>2550</v>
      </c>
      <c r="O11119" t="s">
        <v>318</v>
      </c>
      <c r="P11119" t="s">
        <v>226</v>
      </c>
    </row>
    <row r="11120" spans="1:16" x14ac:dyDescent="0.35">
      <c r="A11120" t="s">
        <v>227</v>
      </c>
      <c r="B11120" t="s">
        <v>248</v>
      </c>
      <c r="C11120" s="2">
        <v>0.93910000000000005</v>
      </c>
      <c r="D11120" s="2">
        <v>2.0400000000000001E-2</v>
      </c>
      <c r="E11120" s="2">
        <v>5.8999999999999999E-3</v>
      </c>
      <c r="F11120" s="2">
        <v>1.24E-2</v>
      </c>
      <c r="G11120" s="2">
        <v>1.4E-2</v>
      </c>
      <c r="H11120" s="2">
        <v>2.9999999999999997E-4</v>
      </c>
      <c r="I11120" s="2">
        <v>2.7000000000000001E-3</v>
      </c>
      <c r="J11120" s="2">
        <v>1.6000000000000001E-3</v>
      </c>
      <c r="K11120" s="2">
        <v>6.3E-3</v>
      </c>
      <c r="L11120" s="2">
        <v>3.0999999999999999E-3</v>
      </c>
      <c r="M11120" s="2">
        <v>3.5000000000000001E-3</v>
      </c>
      <c r="P11120">
        <v>792</v>
      </c>
    </row>
    <row r="11121" spans="1:16" x14ac:dyDescent="0.35">
      <c r="A11121" t="s">
        <v>227</v>
      </c>
      <c r="B11121" t="s">
        <v>249</v>
      </c>
      <c r="C11121" s="2">
        <v>0.94240000000000002</v>
      </c>
      <c r="D11121" s="2">
        <v>1.29E-2</v>
      </c>
      <c r="E11121" s="2">
        <v>1.2E-2</v>
      </c>
      <c r="F11121" s="2">
        <v>3.7000000000000002E-3</v>
      </c>
      <c r="G11121" s="2">
        <v>5.3E-3</v>
      </c>
      <c r="H11121" s="2">
        <v>1.23E-2</v>
      </c>
      <c r="I11121" s="2">
        <v>4.8999999999999998E-3</v>
      </c>
      <c r="J11121" s="2">
        <v>8.2000000000000007E-3</v>
      </c>
      <c r="K11121" s="2">
        <v>1E-3</v>
      </c>
      <c r="L11121" s="2">
        <v>1.4E-3</v>
      </c>
      <c r="M11121" s="2">
        <v>1.5E-3</v>
      </c>
      <c r="N11121" s="2">
        <v>9.1999999999999998E-3</v>
      </c>
      <c r="P11121">
        <v>537</v>
      </c>
    </row>
    <row r="11122" spans="1:16" x14ac:dyDescent="0.35">
      <c r="A11122" t="s">
        <v>227</v>
      </c>
      <c r="B11122" t="s">
        <v>247</v>
      </c>
      <c r="C11122" s="2">
        <v>0.92689999999999995</v>
      </c>
      <c r="D11122" s="2">
        <v>8.9999999999999993E-3</v>
      </c>
      <c r="E11122" s="2">
        <v>1.2999999999999999E-2</v>
      </c>
      <c r="F11122" s="2">
        <v>9.5999999999999992E-3</v>
      </c>
      <c r="G11122" s="2">
        <v>6.1999999999999998E-3</v>
      </c>
      <c r="H11122" s="2">
        <v>9.7000000000000003E-3</v>
      </c>
      <c r="I11122" s="2">
        <v>1.0999999999999999E-2</v>
      </c>
      <c r="J11122" s="2">
        <v>5.0000000000000001E-3</v>
      </c>
      <c r="K11122" s="2">
        <v>5.1999999999999998E-3</v>
      </c>
      <c r="L11122" s="2">
        <v>5.8999999999999999E-3</v>
      </c>
      <c r="M11122" s="2">
        <v>2.0999999999999999E-3</v>
      </c>
      <c r="N11122" s="2">
        <v>4.0000000000000002E-4</v>
      </c>
      <c r="O11122" s="2">
        <v>2E-3</v>
      </c>
      <c r="P11122">
        <v>1467</v>
      </c>
    </row>
    <row r="11123" spans="1:16" x14ac:dyDescent="0.35">
      <c r="A11123" t="s">
        <v>228</v>
      </c>
      <c r="B11123" t="s">
        <v>228</v>
      </c>
      <c r="C11123" s="2">
        <v>0.93330000000000002</v>
      </c>
      <c r="D11123" s="2">
        <v>1.29E-2</v>
      </c>
      <c r="E11123" s="2">
        <v>1.0800000000000001E-2</v>
      </c>
      <c r="F11123" s="2">
        <v>9.1999999999999998E-3</v>
      </c>
      <c r="G11123" s="2">
        <v>8.2000000000000007E-3</v>
      </c>
      <c r="H11123" s="2">
        <v>7.6E-3</v>
      </c>
      <c r="I11123" s="2">
        <v>7.4999999999999997E-3</v>
      </c>
      <c r="J11123" s="2">
        <v>4.7000000000000002E-3</v>
      </c>
      <c r="K11123" s="2">
        <v>4.7000000000000002E-3</v>
      </c>
      <c r="L11123" s="2">
        <v>4.1999999999999997E-3</v>
      </c>
      <c r="M11123" s="2">
        <v>2.3999999999999998E-3</v>
      </c>
      <c r="N11123" s="2">
        <v>2E-3</v>
      </c>
      <c r="O11123" s="2">
        <v>1.1000000000000001E-3</v>
      </c>
      <c r="P11123">
        <v>2796</v>
      </c>
    </row>
    <row r="11125" spans="1:16" x14ac:dyDescent="0.35">
      <c r="A11125" s="1" t="s">
        <v>2557</v>
      </c>
    </row>
    <row r="11126" spans="1:16" x14ac:dyDescent="0.35">
      <c r="A11126" t="s">
        <v>219</v>
      </c>
      <c r="B11126" t="s">
        <v>301</v>
      </c>
      <c r="C11126" t="s">
        <v>540</v>
      </c>
      <c r="D11126" t="s">
        <v>2542</v>
      </c>
      <c r="E11126" t="s">
        <v>2543</v>
      </c>
      <c r="F11126" t="s">
        <v>2544</v>
      </c>
      <c r="G11126" t="s">
        <v>2545</v>
      </c>
      <c r="H11126" t="s">
        <v>2546</v>
      </c>
      <c r="I11126" t="s">
        <v>2547</v>
      </c>
      <c r="J11126" t="s">
        <v>277</v>
      </c>
      <c r="K11126" t="s">
        <v>2548</v>
      </c>
      <c r="L11126" t="s">
        <v>2549</v>
      </c>
      <c r="M11126" t="s">
        <v>282</v>
      </c>
      <c r="N11126" t="s">
        <v>2550</v>
      </c>
      <c r="O11126" t="s">
        <v>318</v>
      </c>
      <c r="P11126" t="s">
        <v>226</v>
      </c>
    </row>
    <row r="11127" spans="1:16" x14ac:dyDescent="0.35">
      <c r="A11127" t="s">
        <v>227</v>
      </c>
      <c r="B11127" t="s">
        <v>245</v>
      </c>
      <c r="C11127" s="2">
        <v>0.91969999999999996</v>
      </c>
      <c r="D11127" s="2">
        <v>1.6299999999999999E-2</v>
      </c>
      <c r="E11127" s="2">
        <v>1.18E-2</v>
      </c>
      <c r="F11127" s="2">
        <v>1.3299999999999999E-2</v>
      </c>
      <c r="G11127" s="2">
        <v>5.1999999999999998E-3</v>
      </c>
      <c r="H11127" s="2">
        <v>1.4800000000000001E-2</v>
      </c>
      <c r="I11127" s="2">
        <v>2.0199999999999999E-2</v>
      </c>
      <c r="J11127" s="2">
        <v>1.1000000000000001E-3</v>
      </c>
      <c r="K11127" s="2">
        <v>3.3E-3</v>
      </c>
      <c r="L11127" s="2">
        <v>4.1000000000000003E-3</v>
      </c>
      <c r="M11127" s="2">
        <v>6.9999999999999999E-4</v>
      </c>
      <c r="N11127" s="2">
        <v>1.1000000000000001E-3</v>
      </c>
      <c r="O11127" s="2">
        <v>2.3999999999999998E-3</v>
      </c>
      <c r="P11127">
        <v>778</v>
      </c>
    </row>
    <row r="11128" spans="1:16" x14ac:dyDescent="0.35">
      <c r="A11128" t="s">
        <v>227</v>
      </c>
      <c r="B11128" t="s">
        <v>244</v>
      </c>
      <c r="C11128" s="2">
        <v>0.93859999999999999</v>
      </c>
      <c r="D11128" s="2">
        <v>1.15E-2</v>
      </c>
      <c r="E11128" s="2">
        <v>1.04E-2</v>
      </c>
      <c r="F11128" s="2">
        <v>7.6E-3</v>
      </c>
      <c r="G11128" s="2">
        <v>9.4000000000000004E-3</v>
      </c>
      <c r="H11128" s="2">
        <v>4.7999999999999996E-3</v>
      </c>
      <c r="I11128" s="2">
        <v>2.5000000000000001E-3</v>
      </c>
      <c r="J11128" s="2">
        <v>6.1000000000000004E-3</v>
      </c>
      <c r="K11128" s="2">
        <v>5.1999999999999998E-3</v>
      </c>
      <c r="L11128" s="2">
        <v>4.3E-3</v>
      </c>
      <c r="M11128" s="2">
        <v>3.0000000000000001E-3</v>
      </c>
      <c r="N11128" s="2">
        <v>2.3999999999999998E-3</v>
      </c>
      <c r="O11128" s="2">
        <v>5.0000000000000001E-4</v>
      </c>
      <c r="P11128">
        <v>2018</v>
      </c>
    </row>
    <row r="11129" spans="1:16" x14ac:dyDescent="0.35">
      <c r="A11129" t="s">
        <v>228</v>
      </c>
      <c r="B11129" t="s">
        <v>228</v>
      </c>
      <c r="C11129" s="2">
        <v>0.93330000000000002</v>
      </c>
      <c r="D11129" s="2">
        <v>1.29E-2</v>
      </c>
      <c r="E11129" s="2">
        <v>1.0800000000000001E-2</v>
      </c>
      <c r="F11129" s="2">
        <v>9.1999999999999998E-3</v>
      </c>
      <c r="G11129" s="2">
        <v>8.2000000000000007E-3</v>
      </c>
      <c r="H11129" s="2">
        <v>7.6E-3</v>
      </c>
      <c r="I11129" s="2">
        <v>7.4999999999999997E-3</v>
      </c>
      <c r="J11129" s="2">
        <v>4.7000000000000002E-3</v>
      </c>
      <c r="K11129" s="2">
        <v>4.7000000000000002E-3</v>
      </c>
      <c r="L11129" s="2">
        <v>4.1999999999999997E-3</v>
      </c>
      <c r="M11129" s="2">
        <v>2.3999999999999998E-3</v>
      </c>
      <c r="N11129" s="2">
        <v>2E-3</v>
      </c>
      <c r="O11129" s="2">
        <v>1.1000000000000001E-3</v>
      </c>
      <c r="P11129">
        <v>2796</v>
      </c>
    </row>
    <row r="11131" spans="1:16" x14ac:dyDescent="0.35">
      <c r="A11131" s="1" t="s">
        <v>2558</v>
      </c>
    </row>
    <row r="11132" spans="1:16" x14ac:dyDescent="0.35">
      <c r="A11132" t="s">
        <v>219</v>
      </c>
      <c r="B11132" t="s">
        <v>301</v>
      </c>
      <c r="C11132" t="s">
        <v>540</v>
      </c>
      <c r="D11132" t="s">
        <v>2542</v>
      </c>
      <c r="E11132" t="s">
        <v>2543</v>
      </c>
      <c r="F11132" t="s">
        <v>2544</v>
      </c>
      <c r="G11132" t="s">
        <v>2545</v>
      </c>
      <c r="H11132" t="s">
        <v>2546</v>
      </c>
      <c r="I11132" t="s">
        <v>2547</v>
      </c>
      <c r="J11132" t="s">
        <v>277</v>
      </c>
      <c r="K11132" t="s">
        <v>2548</v>
      </c>
      <c r="L11132" t="s">
        <v>2549</v>
      </c>
      <c r="M11132" t="s">
        <v>282</v>
      </c>
      <c r="N11132" t="s">
        <v>2550</v>
      </c>
      <c r="O11132" t="s">
        <v>318</v>
      </c>
      <c r="P11132" t="s">
        <v>226</v>
      </c>
    </row>
    <row r="11133" spans="1:16" x14ac:dyDescent="0.35">
      <c r="A11133" t="s">
        <v>227</v>
      </c>
      <c r="B11133" t="s">
        <v>259</v>
      </c>
      <c r="C11133" s="2">
        <v>0.8417</v>
      </c>
      <c r="D11133" s="2">
        <v>1.1299999999999999E-2</v>
      </c>
      <c r="G11133" s="2">
        <v>1.0999999999999999E-2</v>
      </c>
      <c r="H11133" s="2">
        <v>3.0700000000000002E-2</v>
      </c>
      <c r="I11133" s="2">
        <v>9.4100000000000003E-2</v>
      </c>
      <c r="J11133" s="2">
        <v>1.1299999999999999E-2</v>
      </c>
      <c r="P11133">
        <v>69</v>
      </c>
    </row>
    <row r="11134" spans="1:16" x14ac:dyDescent="0.35">
      <c r="A11134" t="s">
        <v>227</v>
      </c>
      <c r="B11134" t="s">
        <v>257</v>
      </c>
      <c r="C11134" s="2">
        <v>0.90429999999999999</v>
      </c>
      <c r="D11134" s="2">
        <v>1.04E-2</v>
      </c>
      <c r="E11134" s="2">
        <v>4.4000000000000003E-3</v>
      </c>
      <c r="F11134" s="2">
        <v>1.4999999999999999E-2</v>
      </c>
      <c r="G11134" s="2">
        <v>4.0399999999999998E-2</v>
      </c>
      <c r="H11134" s="2">
        <v>5.7000000000000002E-3</v>
      </c>
      <c r="I11134" s="2">
        <v>3.0999999999999999E-3</v>
      </c>
      <c r="J11134" s="2">
        <v>1E-3</v>
      </c>
      <c r="K11134" s="2">
        <v>2.5700000000000001E-2</v>
      </c>
      <c r="L11134" s="2">
        <v>1.6000000000000001E-3</v>
      </c>
      <c r="M11134" s="2">
        <v>4.1999999999999997E-3</v>
      </c>
      <c r="N11134" s="2">
        <v>7.0000000000000001E-3</v>
      </c>
      <c r="P11134">
        <v>399</v>
      </c>
    </row>
    <row r="11135" spans="1:16" x14ac:dyDescent="0.35">
      <c r="A11135" t="s">
        <v>227</v>
      </c>
      <c r="B11135" t="s">
        <v>256</v>
      </c>
      <c r="C11135" s="2">
        <v>0.94540000000000002</v>
      </c>
      <c r="D11135" s="2">
        <v>1.6199999999999999E-2</v>
      </c>
      <c r="E11135" s="2">
        <v>1.2E-2</v>
      </c>
      <c r="F11135" s="2">
        <v>6.3E-3</v>
      </c>
      <c r="G11135" s="2">
        <v>1.6999999999999999E-3</v>
      </c>
      <c r="H11135" s="2">
        <v>6.3E-3</v>
      </c>
      <c r="I11135" s="2">
        <v>4.7000000000000002E-3</v>
      </c>
      <c r="J11135" s="2">
        <v>4.4000000000000003E-3</v>
      </c>
      <c r="K11135" s="2">
        <v>4.0000000000000002E-4</v>
      </c>
      <c r="L11135" s="2">
        <v>4.4000000000000003E-3</v>
      </c>
      <c r="M11135" s="2">
        <v>1.9E-3</v>
      </c>
      <c r="N11135" s="2">
        <v>1.1000000000000001E-3</v>
      </c>
      <c r="O11135" s="2">
        <v>1.1999999999999999E-3</v>
      </c>
      <c r="P11135">
        <v>1794</v>
      </c>
    </row>
    <row r="11136" spans="1:16" x14ac:dyDescent="0.35">
      <c r="A11136" s="3" t="s">
        <v>227</v>
      </c>
      <c r="B11136" s="3" t="s">
        <v>232</v>
      </c>
      <c r="C11136" s="4">
        <v>0.91810000000000003</v>
      </c>
      <c r="D11136" s="5"/>
      <c r="E11136" s="5"/>
      <c r="F11136" s="5"/>
      <c r="G11136" s="5"/>
      <c r="H11136" s="5"/>
      <c r="I11136" s="5"/>
      <c r="J11136" s="5"/>
      <c r="K11136" s="5"/>
      <c r="L11136" s="4">
        <v>8.1900000000000001E-2</v>
      </c>
      <c r="M11136" s="5"/>
      <c r="N11136" s="5"/>
      <c r="O11136" s="5"/>
      <c r="P11136" s="5" t="s">
        <v>307</v>
      </c>
    </row>
    <row r="11137" spans="1:16" x14ac:dyDescent="0.35">
      <c r="A11137" t="s">
        <v>227</v>
      </c>
      <c r="B11137" t="s">
        <v>258</v>
      </c>
      <c r="C11137" s="2">
        <v>0.92169999999999996</v>
      </c>
      <c r="D11137" s="2">
        <v>8.9999999999999998E-4</v>
      </c>
      <c r="E11137" s="2">
        <v>1.4200000000000001E-2</v>
      </c>
      <c r="F11137" s="2">
        <v>1.72E-2</v>
      </c>
      <c r="G11137" s="2">
        <v>1E-3</v>
      </c>
      <c r="H11137" s="2">
        <v>1.35E-2</v>
      </c>
      <c r="I11137" s="2">
        <v>1.5100000000000001E-2</v>
      </c>
      <c r="J11137" s="2">
        <v>9.4999999999999998E-3</v>
      </c>
      <c r="K11137" s="2">
        <v>6.9999999999999999E-4</v>
      </c>
      <c r="L11137" s="2">
        <v>5.7999999999999996E-3</v>
      </c>
      <c r="M11137" s="2">
        <v>2.5000000000000001E-3</v>
      </c>
      <c r="N11137" s="2">
        <v>6.9999999999999999E-4</v>
      </c>
      <c r="O11137" s="2">
        <v>2E-3</v>
      </c>
      <c r="P11137">
        <v>523</v>
      </c>
    </row>
    <row r="11138" spans="1:16" x14ac:dyDescent="0.35">
      <c r="A11138" t="s">
        <v>228</v>
      </c>
      <c r="B11138" t="s">
        <v>228</v>
      </c>
      <c r="C11138" s="2">
        <v>0.93330000000000002</v>
      </c>
      <c r="D11138" s="2">
        <v>1.29E-2</v>
      </c>
      <c r="E11138" s="2">
        <v>1.0800000000000001E-2</v>
      </c>
      <c r="F11138" s="2">
        <v>9.1999999999999998E-3</v>
      </c>
      <c r="G11138" s="2">
        <v>8.2000000000000007E-3</v>
      </c>
      <c r="H11138" s="2">
        <v>7.6E-3</v>
      </c>
      <c r="I11138" s="2">
        <v>7.4999999999999997E-3</v>
      </c>
      <c r="J11138" s="2">
        <v>4.7000000000000002E-3</v>
      </c>
      <c r="K11138" s="2">
        <v>4.7000000000000002E-3</v>
      </c>
      <c r="L11138" s="2">
        <v>4.1999999999999997E-3</v>
      </c>
      <c r="M11138" s="2">
        <v>2.3999999999999998E-3</v>
      </c>
      <c r="N11138" s="2">
        <v>2E-3</v>
      </c>
      <c r="O11138" s="2">
        <v>1.1000000000000001E-3</v>
      </c>
      <c r="P11138">
        <v>2796</v>
      </c>
    </row>
    <row r="11140" spans="1:16" x14ac:dyDescent="0.35">
      <c r="A11140" s="1" t="s">
        <v>2559</v>
      </c>
    </row>
    <row r="11141" spans="1:16" x14ac:dyDescent="0.35">
      <c r="A11141" t="s">
        <v>219</v>
      </c>
      <c r="B11141" t="s">
        <v>301</v>
      </c>
      <c r="C11141" t="s">
        <v>540</v>
      </c>
      <c r="D11141" t="s">
        <v>2542</v>
      </c>
      <c r="E11141" t="s">
        <v>2543</v>
      </c>
      <c r="F11141" t="s">
        <v>2544</v>
      </c>
      <c r="G11141" t="s">
        <v>2545</v>
      </c>
      <c r="H11141" t="s">
        <v>2546</v>
      </c>
      <c r="I11141" t="s">
        <v>2547</v>
      </c>
      <c r="J11141" t="s">
        <v>277</v>
      </c>
      <c r="K11141" t="s">
        <v>2548</v>
      </c>
      <c r="L11141" t="s">
        <v>2549</v>
      </c>
      <c r="M11141" t="s">
        <v>282</v>
      </c>
      <c r="N11141" t="s">
        <v>2550</v>
      </c>
      <c r="O11141" t="s">
        <v>318</v>
      </c>
      <c r="P11141" t="s">
        <v>226</v>
      </c>
    </row>
    <row r="11142" spans="1:16" x14ac:dyDescent="0.35">
      <c r="A11142" t="s">
        <v>227</v>
      </c>
      <c r="B11142" t="s">
        <v>343</v>
      </c>
      <c r="C11142" s="2">
        <v>0.90429999999999999</v>
      </c>
      <c r="D11142" s="2">
        <v>1.04E-2</v>
      </c>
      <c r="E11142" s="2">
        <v>4.4000000000000003E-3</v>
      </c>
      <c r="F11142" s="2">
        <v>1.4999999999999999E-2</v>
      </c>
      <c r="G11142" s="2">
        <v>4.0399999999999998E-2</v>
      </c>
      <c r="H11142" s="2">
        <v>5.7000000000000002E-3</v>
      </c>
      <c r="I11142" s="2">
        <v>3.0999999999999999E-3</v>
      </c>
      <c r="J11142" s="2">
        <v>1E-3</v>
      </c>
      <c r="K11142" s="2">
        <v>2.5700000000000001E-2</v>
      </c>
      <c r="L11142" s="2">
        <v>1.6000000000000001E-3</v>
      </c>
      <c r="M11142" s="2">
        <v>4.1999999999999997E-3</v>
      </c>
      <c r="N11142" s="2">
        <v>7.0000000000000001E-3</v>
      </c>
      <c r="P11142">
        <v>399</v>
      </c>
    </row>
    <row r="11143" spans="1:16" x14ac:dyDescent="0.35">
      <c r="A11143" t="s">
        <v>227</v>
      </c>
      <c r="B11143" t="s">
        <v>344</v>
      </c>
      <c r="C11143" s="2">
        <v>0.93910000000000005</v>
      </c>
      <c r="D11143" s="2">
        <v>1.34E-2</v>
      </c>
      <c r="E11143" s="2">
        <v>1.21E-2</v>
      </c>
      <c r="F11143" s="2">
        <v>8.0999999999999996E-3</v>
      </c>
      <c r="G11143" s="2">
        <v>1.8E-3</v>
      </c>
      <c r="H11143" s="2">
        <v>8.0000000000000002E-3</v>
      </c>
      <c r="I11143" s="2">
        <v>8.3999999999999995E-3</v>
      </c>
      <c r="J11143" s="2">
        <v>5.4000000000000003E-3</v>
      </c>
      <c r="K11143" s="2">
        <v>5.0000000000000001E-4</v>
      </c>
      <c r="L11143" s="2">
        <v>4.7999999999999996E-3</v>
      </c>
      <c r="M11143" s="2">
        <v>2E-3</v>
      </c>
      <c r="N11143" s="2">
        <v>1E-3</v>
      </c>
      <c r="O11143" s="2">
        <v>1.2999999999999999E-3</v>
      </c>
      <c r="P11143">
        <v>2397</v>
      </c>
    </row>
    <row r="11144" spans="1:16" x14ac:dyDescent="0.35">
      <c r="A11144" t="s">
        <v>228</v>
      </c>
      <c r="B11144" t="s">
        <v>228</v>
      </c>
      <c r="C11144" s="2">
        <v>0.93330000000000002</v>
      </c>
      <c r="D11144" s="2">
        <v>1.29E-2</v>
      </c>
      <c r="E11144" s="2">
        <v>1.0800000000000001E-2</v>
      </c>
      <c r="F11144" s="2">
        <v>9.1999999999999998E-3</v>
      </c>
      <c r="G11144" s="2">
        <v>8.2000000000000007E-3</v>
      </c>
      <c r="H11144" s="2">
        <v>7.6E-3</v>
      </c>
      <c r="I11144" s="2">
        <v>7.4999999999999997E-3</v>
      </c>
      <c r="J11144" s="2">
        <v>4.7000000000000002E-3</v>
      </c>
      <c r="K11144" s="2">
        <v>4.7000000000000002E-3</v>
      </c>
      <c r="L11144" s="2">
        <v>4.1999999999999997E-3</v>
      </c>
      <c r="M11144" s="2">
        <v>2.3999999999999998E-3</v>
      </c>
      <c r="N11144" s="2">
        <v>2E-3</v>
      </c>
      <c r="O11144" s="2">
        <v>1.1000000000000001E-3</v>
      </c>
      <c r="P11144">
        <v>2796</v>
      </c>
    </row>
    <row r="11146" spans="1:16" x14ac:dyDescent="0.35">
      <c r="A11146" s="1" t="s">
        <v>2560</v>
      </c>
    </row>
    <row r="11147" spans="1:16" x14ac:dyDescent="0.35">
      <c r="A11147" t="s">
        <v>219</v>
      </c>
      <c r="B11147" t="s">
        <v>301</v>
      </c>
      <c r="C11147" t="s">
        <v>540</v>
      </c>
      <c r="D11147" t="s">
        <v>2542</v>
      </c>
      <c r="E11147" t="s">
        <v>2543</v>
      </c>
      <c r="F11147" t="s">
        <v>2544</v>
      </c>
      <c r="G11147" t="s">
        <v>2545</v>
      </c>
      <c r="H11147" t="s">
        <v>2546</v>
      </c>
      <c r="I11147" t="s">
        <v>2547</v>
      </c>
      <c r="J11147" t="s">
        <v>277</v>
      </c>
      <c r="K11147" t="s">
        <v>2548</v>
      </c>
      <c r="L11147" t="s">
        <v>2549</v>
      </c>
      <c r="M11147" t="s">
        <v>282</v>
      </c>
      <c r="N11147" t="s">
        <v>2550</v>
      </c>
      <c r="O11147" t="s">
        <v>318</v>
      </c>
      <c r="P11147" t="s">
        <v>226</v>
      </c>
    </row>
    <row r="11148" spans="1:16" x14ac:dyDescent="0.35">
      <c r="A11148" t="s">
        <v>227</v>
      </c>
      <c r="B11148" t="s">
        <v>346</v>
      </c>
      <c r="C11148" s="2">
        <v>0.93330000000000002</v>
      </c>
      <c r="D11148" s="2">
        <v>1.4500000000000001E-2</v>
      </c>
      <c r="E11148" s="2">
        <v>0.01</v>
      </c>
      <c r="F11148" s="2">
        <v>9.4000000000000004E-3</v>
      </c>
      <c r="G11148" s="2">
        <v>7.7000000000000002E-3</v>
      </c>
      <c r="H11148" s="2">
        <v>8.2000000000000007E-3</v>
      </c>
      <c r="I11148" s="2">
        <v>8.5000000000000006E-3</v>
      </c>
      <c r="J11148" s="2">
        <v>3.7000000000000002E-3</v>
      </c>
      <c r="K11148" s="2">
        <v>4.8999999999999998E-3</v>
      </c>
      <c r="L11148" s="2">
        <v>4.5999999999999999E-3</v>
      </c>
      <c r="M11148" s="2">
        <v>2E-3</v>
      </c>
      <c r="N11148" s="2">
        <v>2.0999999999999999E-3</v>
      </c>
      <c r="O11148" s="2">
        <v>6.9999999999999999E-4</v>
      </c>
      <c r="P11148">
        <v>1451</v>
      </c>
    </row>
    <row r="11149" spans="1:16" x14ac:dyDescent="0.35">
      <c r="A11149" t="s">
        <v>227</v>
      </c>
      <c r="B11149" t="s">
        <v>347</v>
      </c>
      <c r="C11149" s="2">
        <v>0.91379999999999995</v>
      </c>
      <c r="D11149" s="2">
        <v>6.6E-3</v>
      </c>
      <c r="E11149" s="2">
        <v>1.9199999999999998E-2</v>
      </c>
      <c r="F11149" s="2">
        <v>1.4500000000000001E-2</v>
      </c>
      <c r="G11149" s="2">
        <v>1.9800000000000002E-2</v>
      </c>
      <c r="H11149" s="2">
        <v>2.8E-3</v>
      </c>
      <c r="I11149" s="2">
        <v>2.2000000000000001E-3</v>
      </c>
      <c r="J11149" s="2">
        <v>8.5000000000000006E-3</v>
      </c>
      <c r="K11149" s="2">
        <v>3.7000000000000002E-3</v>
      </c>
      <c r="L11149" s="2">
        <v>2.2000000000000001E-3</v>
      </c>
      <c r="M11149" s="2">
        <v>7.7000000000000002E-3</v>
      </c>
      <c r="N11149" s="2">
        <v>6.9999999999999999E-4</v>
      </c>
      <c r="O11149" s="2">
        <v>2.5999999999999999E-3</v>
      </c>
      <c r="P11149">
        <v>583</v>
      </c>
    </row>
    <row r="11150" spans="1:16" x14ac:dyDescent="0.35">
      <c r="A11150" t="s">
        <v>227</v>
      </c>
      <c r="B11150" t="s">
        <v>348</v>
      </c>
      <c r="C11150" s="2">
        <v>0.94069999999999998</v>
      </c>
      <c r="D11150" s="2">
        <v>8.0000000000000004E-4</v>
      </c>
      <c r="E11150" s="2">
        <v>1.5100000000000001E-2</v>
      </c>
      <c r="F11150" s="2">
        <v>5.8999999999999999E-3</v>
      </c>
      <c r="G11150" s="2">
        <v>8.0999999999999996E-3</v>
      </c>
      <c r="H11150" s="2">
        <v>4.8999999999999998E-3</v>
      </c>
      <c r="I11150" s="2">
        <v>8.0000000000000004E-4</v>
      </c>
      <c r="J11150" s="2">
        <v>1.2E-2</v>
      </c>
      <c r="K11150" s="2">
        <v>2.8E-3</v>
      </c>
      <c r="L11150" s="2">
        <v>1.6999999999999999E-3</v>
      </c>
      <c r="M11150" s="2">
        <v>3.5999999999999999E-3</v>
      </c>
      <c r="N11150" s="2">
        <v>1.1000000000000001E-3</v>
      </c>
      <c r="O11150" s="2">
        <v>4.1000000000000003E-3</v>
      </c>
      <c r="P11150">
        <v>762</v>
      </c>
    </row>
    <row r="11151" spans="1:16" x14ac:dyDescent="0.35">
      <c r="A11151" t="s">
        <v>228</v>
      </c>
      <c r="B11151" t="s">
        <v>228</v>
      </c>
      <c r="C11151" s="2">
        <v>0.93330000000000002</v>
      </c>
      <c r="D11151" s="2">
        <v>1.29E-2</v>
      </c>
      <c r="E11151" s="2">
        <v>1.0800000000000001E-2</v>
      </c>
      <c r="F11151" s="2">
        <v>9.1999999999999998E-3</v>
      </c>
      <c r="G11151" s="2">
        <v>8.2000000000000007E-3</v>
      </c>
      <c r="H11151" s="2">
        <v>7.6E-3</v>
      </c>
      <c r="I11151" s="2">
        <v>7.4999999999999997E-3</v>
      </c>
      <c r="J11151" s="2">
        <v>4.7000000000000002E-3</v>
      </c>
      <c r="K11151" s="2">
        <v>4.7000000000000002E-3</v>
      </c>
      <c r="L11151" s="2">
        <v>4.1999999999999997E-3</v>
      </c>
      <c r="M11151" s="2">
        <v>2.3999999999999998E-3</v>
      </c>
      <c r="N11151" s="2">
        <v>2E-3</v>
      </c>
      <c r="O11151" s="2">
        <v>1.1000000000000001E-3</v>
      </c>
      <c r="P11151">
        <v>2796</v>
      </c>
    </row>
    <row r="11153" spans="1:16" x14ac:dyDescent="0.35">
      <c r="A11153" s="1" t="s">
        <v>2561</v>
      </c>
    </row>
    <row r="11154" spans="1:16" x14ac:dyDescent="0.35">
      <c r="A11154" t="s">
        <v>219</v>
      </c>
      <c r="B11154" t="s">
        <v>301</v>
      </c>
      <c r="C11154" t="s">
        <v>540</v>
      </c>
      <c r="D11154" t="s">
        <v>2542</v>
      </c>
      <c r="E11154" t="s">
        <v>2543</v>
      </c>
      <c r="F11154" t="s">
        <v>2544</v>
      </c>
      <c r="G11154" t="s">
        <v>2545</v>
      </c>
      <c r="H11154" t="s">
        <v>2546</v>
      </c>
      <c r="I11154" t="s">
        <v>2547</v>
      </c>
      <c r="J11154" t="s">
        <v>277</v>
      </c>
      <c r="K11154" t="s">
        <v>2548</v>
      </c>
      <c r="L11154" t="s">
        <v>2549</v>
      </c>
      <c r="M11154" t="s">
        <v>282</v>
      </c>
      <c r="N11154" t="s">
        <v>2550</v>
      </c>
      <c r="O11154" t="s">
        <v>318</v>
      </c>
      <c r="P11154" t="s">
        <v>226</v>
      </c>
    </row>
    <row r="11155" spans="1:16" x14ac:dyDescent="0.35">
      <c r="A11155" t="s">
        <v>227</v>
      </c>
      <c r="B11155" t="s">
        <v>251</v>
      </c>
      <c r="C11155" s="2">
        <v>0.93859999999999999</v>
      </c>
      <c r="D11155" s="2">
        <v>1.15E-2</v>
      </c>
      <c r="E11155" s="2">
        <v>1.04E-2</v>
      </c>
      <c r="F11155" s="2">
        <v>7.6E-3</v>
      </c>
      <c r="G11155" s="2">
        <v>9.4000000000000004E-3</v>
      </c>
      <c r="H11155" s="2">
        <v>4.7999999999999996E-3</v>
      </c>
      <c r="I11155" s="2">
        <v>2.5000000000000001E-3</v>
      </c>
      <c r="J11155" s="2">
        <v>6.1000000000000004E-3</v>
      </c>
      <c r="K11155" s="2">
        <v>5.1999999999999998E-3</v>
      </c>
      <c r="L11155" s="2">
        <v>4.3E-3</v>
      </c>
      <c r="M11155" s="2">
        <v>3.0000000000000001E-3</v>
      </c>
      <c r="N11155" s="2">
        <v>2.3999999999999998E-3</v>
      </c>
      <c r="O11155" s="2">
        <v>5.0000000000000001E-4</v>
      </c>
      <c r="P11155">
        <v>2018</v>
      </c>
    </row>
    <row r="11156" spans="1:16" x14ac:dyDescent="0.35">
      <c r="A11156" t="s">
        <v>227</v>
      </c>
      <c r="B11156" t="s">
        <v>252</v>
      </c>
      <c r="C11156" s="2">
        <v>0.91500000000000004</v>
      </c>
      <c r="D11156" s="2">
        <v>1.9800000000000002E-2</v>
      </c>
      <c r="E11156" s="2">
        <v>1.11E-2</v>
      </c>
      <c r="F11156" s="2">
        <v>9.1999999999999998E-3</v>
      </c>
      <c r="G11156" s="2">
        <v>6.4000000000000003E-3</v>
      </c>
      <c r="H11156" s="2">
        <v>1.7399999999999999E-2</v>
      </c>
      <c r="I11156" s="2">
        <v>2.2200000000000001E-2</v>
      </c>
      <c r="J11156" s="2">
        <v>1.4E-3</v>
      </c>
      <c r="K11156" s="2">
        <v>4.1000000000000003E-3</v>
      </c>
      <c r="L11156" s="2">
        <v>4.4000000000000003E-3</v>
      </c>
      <c r="N11156" s="2">
        <v>5.0000000000000001E-4</v>
      </c>
      <c r="O11156" s="2">
        <v>3.0000000000000001E-3</v>
      </c>
      <c r="P11156">
        <v>617</v>
      </c>
    </row>
    <row r="11157" spans="1:16" x14ac:dyDescent="0.35">
      <c r="A11157" t="s">
        <v>227</v>
      </c>
      <c r="B11157" t="s">
        <v>253</v>
      </c>
      <c r="C11157" s="2">
        <v>0.95230000000000004</v>
      </c>
      <c r="D11157" s="2">
        <v>1.6999999999999999E-3</v>
      </c>
      <c r="E11157" s="2">
        <v>1.5299999999999999E-2</v>
      </c>
      <c r="F11157" s="2">
        <v>3.1699999999999999E-2</v>
      </c>
      <c r="H11157" s="2">
        <v>4.4000000000000003E-3</v>
      </c>
      <c r="L11157" s="2">
        <v>3.0999999999999999E-3</v>
      </c>
      <c r="M11157" s="2">
        <v>1.6999999999999999E-3</v>
      </c>
      <c r="N11157" s="2">
        <v>3.7000000000000002E-3</v>
      </c>
      <c r="P11157">
        <v>152</v>
      </c>
    </row>
    <row r="11158" spans="1:16" x14ac:dyDescent="0.35">
      <c r="A11158" s="3" t="s">
        <v>227</v>
      </c>
      <c r="B11158" s="3" t="s">
        <v>254</v>
      </c>
      <c r="C11158" s="4">
        <v>0.59030000000000005</v>
      </c>
      <c r="D11158" s="5"/>
      <c r="E11158" s="5"/>
      <c r="F11158" s="5"/>
      <c r="G11158" s="5"/>
      <c r="H11158" s="5"/>
      <c r="I11158" s="4">
        <v>0.35170000000000001</v>
      </c>
      <c r="J11158" s="5"/>
      <c r="K11158" s="5"/>
      <c r="L11158" s="5"/>
      <c r="M11158" s="4">
        <v>5.8000000000000003E-2</v>
      </c>
      <c r="N11158" s="5"/>
      <c r="O11158" s="5"/>
      <c r="P11158" s="5" t="s">
        <v>515</v>
      </c>
    </row>
    <row r="11159" spans="1:16" x14ac:dyDescent="0.35">
      <c r="A11159" t="s">
        <v>228</v>
      </c>
      <c r="B11159" t="s">
        <v>228</v>
      </c>
      <c r="C11159" s="2">
        <v>0.93330000000000002</v>
      </c>
      <c r="D11159" s="2">
        <v>1.29E-2</v>
      </c>
      <c r="E11159" s="2">
        <v>1.0800000000000001E-2</v>
      </c>
      <c r="F11159" s="2">
        <v>9.1999999999999998E-3</v>
      </c>
      <c r="G11159" s="2">
        <v>8.2000000000000007E-3</v>
      </c>
      <c r="H11159" s="2">
        <v>7.6E-3</v>
      </c>
      <c r="I11159" s="2">
        <v>7.4999999999999997E-3</v>
      </c>
      <c r="J11159" s="2">
        <v>4.7000000000000002E-3</v>
      </c>
      <c r="K11159" s="2">
        <v>4.7000000000000002E-3</v>
      </c>
      <c r="L11159" s="2">
        <v>4.1999999999999997E-3</v>
      </c>
      <c r="M11159" s="2">
        <v>2.3999999999999998E-3</v>
      </c>
      <c r="N11159" s="2">
        <v>2E-3</v>
      </c>
      <c r="O11159" s="2">
        <v>1.1000000000000001E-3</v>
      </c>
      <c r="P11159">
        <v>2796</v>
      </c>
    </row>
    <row r="11161" spans="1:16" x14ac:dyDescent="0.35">
      <c r="A11161" s="1" t="s">
        <v>2562</v>
      </c>
    </row>
    <row r="11162" spans="1:16" x14ac:dyDescent="0.35">
      <c r="A11162" t="s">
        <v>219</v>
      </c>
      <c r="B11162" t="s">
        <v>301</v>
      </c>
      <c r="C11162" t="s">
        <v>540</v>
      </c>
      <c r="D11162" t="s">
        <v>2542</v>
      </c>
      <c r="E11162" t="s">
        <v>2543</v>
      </c>
      <c r="F11162" t="s">
        <v>2544</v>
      </c>
      <c r="G11162" t="s">
        <v>2545</v>
      </c>
      <c r="H11162" t="s">
        <v>2546</v>
      </c>
      <c r="I11162" t="s">
        <v>2547</v>
      </c>
      <c r="J11162" t="s">
        <v>277</v>
      </c>
      <c r="K11162" t="s">
        <v>2548</v>
      </c>
      <c r="L11162" t="s">
        <v>2549</v>
      </c>
      <c r="M11162" t="s">
        <v>282</v>
      </c>
      <c r="N11162" t="s">
        <v>2550</v>
      </c>
      <c r="O11162" t="s">
        <v>318</v>
      </c>
      <c r="P11162" t="s">
        <v>226</v>
      </c>
    </row>
    <row r="11163" spans="1:16" x14ac:dyDescent="0.35">
      <c r="A11163" t="s">
        <v>227</v>
      </c>
      <c r="B11163" t="s">
        <v>1335</v>
      </c>
      <c r="C11163" s="2">
        <v>0.91669999999999996</v>
      </c>
      <c r="D11163" s="2">
        <v>2.18E-2</v>
      </c>
      <c r="E11163" s="2">
        <v>1.7000000000000001E-2</v>
      </c>
      <c r="F11163" s="2">
        <v>2E-3</v>
      </c>
      <c r="G11163" s="2">
        <v>8.2000000000000007E-3</v>
      </c>
      <c r="H11163" s="2">
        <v>1.34E-2</v>
      </c>
      <c r="I11163" s="2">
        <v>8.6E-3</v>
      </c>
      <c r="J11163" s="2">
        <v>2.8999999999999998E-3</v>
      </c>
      <c r="K11163" s="2">
        <v>5.3E-3</v>
      </c>
      <c r="L11163" s="2">
        <v>6.3E-3</v>
      </c>
      <c r="M11163" s="2">
        <v>4.5999999999999999E-3</v>
      </c>
      <c r="N11163" s="2">
        <v>5.0000000000000001E-3</v>
      </c>
      <c r="O11163" s="2">
        <v>1.4E-3</v>
      </c>
      <c r="P11163">
        <v>842</v>
      </c>
    </row>
    <row r="11164" spans="1:16" x14ac:dyDescent="0.35">
      <c r="A11164" s="3" t="s">
        <v>227</v>
      </c>
      <c r="B11164" s="3" t="s">
        <v>1336</v>
      </c>
      <c r="C11164" s="4">
        <v>1</v>
      </c>
      <c r="D11164" s="5"/>
      <c r="E11164" s="5"/>
      <c r="F11164" s="5"/>
      <c r="G11164" s="5"/>
      <c r="H11164" s="5"/>
      <c r="I11164" s="5"/>
      <c r="J11164" s="5"/>
      <c r="K11164" s="5"/>
      <c r="L11164" s="5"/>
      <c r="M11164" s="5"/>
      <c r="N11164" s="5"/>
      <c r="O11164" s="5"/>
      <c r="P11164" s="5" t="s">
        <v>434</v>
      </c>
    </row>
    <row r="11165" spans="1:16" x14ac:dyDescent="0.35">
      <c r="A11165" t="s">
        <v>227</v>
      </c>
      <c r="B11165" t="s">
        <v>1337</v>
      </c>
      <c r="C11165" s="2">
        <v>0.9415</v>
      </c>
      <c r="D11165" s="2">
        <v>8.3999999999999995E-3</v>
      </c>
      <c r="E11165" s="2">
        <v>7.7999999999999996E-3</v>
      </c>
      <c r="F11165" s="2">
        <v>1.29E-2</v>
      </c>
      <c r="G11165" s="2">
        <v>8.2000000000000007E-3</v>
      </c>
      <c r="H11165" s="2">
        <v>4.7999999999999996E-3</v>
      </c>
      <c r="I11165" s="2">
        <v>7.0000000000000001E-3</v>
      </c>
      <c r="J11165" s="2">
        <v>5.5999999999999999E-3</v>
      </c>
      <c r="K11165" s="2">
        <v>4.4000000000000003E-3</v>
      </c>
      <c r="L11165" s="2">
        <v>3.2000000000000002E-3</v>
      </c>
      <c r="M11165" s="2">
        <v>1.2999999999999999E-3</v>
      </c>
      <c r="N11165" s="2">
        <v>5.0000000000000001E-4</v>
      </c>
      <c r="O11165" s="2">
        <v>8.9999999999999998E-4</v>
      </c>
      <c r="P11165">
        <v>1952</v>
      </c>
    </row>
    <row r="11166" spans="1:16" x14ac:dyDescent="0.35">
      <c r="A11166" t="s">
        <v>228</v>
      </c>
      <c r="B11166" t="s">
        <v>228</v>
      </c>
      <c r="C11166" s="2">
        <v>0.93330000000000002</v>
      </c>
      <c r="D11166" s="2">
        <v>1.29E-2</v>
      </c>
      <c r="E11166" s="2">
        <v>1.0800000000000001E-2</v>
      </c>
      <c r="F11166" s="2">
        <v>9.1999999999999998E-3</v>
      </c>
      <c r="G11166" s="2">
        <v>8.2000000000000007E-3</v>
      </c>
      <c r="H11166" s="2">
        <v>7.6E-3</v>
      </c>
      <c r="I11166" s="2">
        <v>7.4999999999999997E-3</v>
      </c>
      <c r="J11166" s="2">
        <v>4.7000000000000002E-3</v>
      </c>
      <c r="K11166" s="2">
        <v>4.7000000000000002E-3</v>
      </c>
      <c r="L11166" s="2">
        <v>4.1999999999999997E-3</v>
      </c>
      <c r="M11166" s="2">
        <v>2.3999999999999998E-3</v>
      </c>
      <c r="N11166" s="2">
        <v>2E-3</v>
      </c>
      <c r="O11166" s="2">
        <v>1.1000000000000001E-3</v>
      </c>
      <c r="P11166">
        <v>2796</v>
      </c>
    </row>
    <row r="11168" spans="1:16" x14ac:dyDescent="0.35">
      <c r="A11168" s="1" t="s">
        <v>2563</v>
      </c>
    </row>
    <row r="11169" spans="1:17" x14ac:dyDescent="0.35">
      <c r="A11169" t="s">
        <v>219</v>
      </c>
      <c r="B11169" t="s">
        <v>301</v>
      </c>
      <c r="C11169" t="s">
        <v>540</v>
      </c>
      <c r="D11169" t="s">
        <v>2542</v>
      </c>
      <c r="E11169" t="s">
        <v>2543</v>
      </c>
      <c r="F11169" t="s">
        <v>2544</v>
      </c>
      <c r="G11169" t="s">
        <v>2545</v>
      </c>
      <c r="H11169" t="s">
        <v>2546</v>
      </c>
      <c r="I11169" t="s">
        <v>2547</v>
      </c>
      <c r="J11169" t="s">
        <v>277</v>
      </c>
      <c r="K11169" t="s">
        <v>2548</v>
      </c>
      <c r="L11169" t="s">
        <v>2549</v>
      </c>
      <c r="M11169" t="s">
        <v>282</v>
      </c>
      <c r="N11169" t="s">
        <v>2550</v>
      </c>
      <c r="O11169" t="s">
        <v>318</v>
      </c>
      <c r="P11169" t="s">
        <v>226</v>
      </c>
    </row>
    <row r="11170" spans="1:17" x14ac:dyDescent="0.35">
      <c r="A11170" t="s">
        <v>227</v>
      </c>
      <c r="B11170" t="s">
        <v>1339</v>
      </c>
      <c r="C11170" s="2">
        <v>0.87350000000000005</v>
      </c>
      <c r="F11170" s="2">
        <v>3.15E-2</v>
      </c>
      <c r="J11170" s="2">
        <v>1.12E-2</v>
      </c>
      <c r="L11170" s="2">
        <v>7.3800000000000004E-2</v>
      </c>
      <c r="O11170" s="2">
        <v>0.01</v>
      </c>
      <c r="P11170">
        <v>51</v>
      </c>
    </row>
    <row r="11171" spans="1:17" x14ac:dyDescent="0.35">
      <c r="A11171" t="s">
        <v>227</v>
      </c>
      <c r="B11171" t="s">
        <v>1340</v>
      </c>
      <c r="C11171" s="2">
        <v>0.93030000000000002</v>
      </c>
      <c r="D11171" s="2">
        <v>1.26E-2</v>
      </c>
      <c r="E11171" s="2">
        <v>1.3599999999999999E-2</v>
      </c>
      <c r="F11171" s="2">
        <v>1.55E-2</v>
      </c>
      <c r="G11171" s="2">
        <v>4.1999999999999997E-3</v>
      </c>
      <c r="H11171" s="2">
        <v>1.4200000000000001E-2</v>
      </c>
      <c r="I11171" s="2">
        <v>1.09E-2</v>
      </c>
      <c r="J11171" s="2">
        <v>1.9E-3</v>
      </c>
      <c r="K11171" s="2">
        <v>4.7000000000000002E-3</v>
      </c>
      <c r="L11171" s="2">
        <v>6.9999999999999999E-4</v>
      </c>
      <c r="M11171" s="2">
        <v>8.0000000000000004E-4</v>
      </c>
      <c r="N11171" s="2">
        <v>1.2999999999999999E-3</v>
      </c>
      <c r="O11171" s="2">
        <v>6.9999999999999999E-4</v>
      </c>
      <c r="P11171">
        <v>722</v>
      </c>
    </row>
    <row r="11172" spans="1:17" x14ac:dyDescent="0.35">
      <c r="A11172" t="s">
        <v>227</v>
      </c>
      <c r="B11172" t="s">
        <v>1341</v>
      </c>
      <c r="C11172" s="2">
        <v>0.93130000000000002</v>
      </c>
      <c r="D11172" s="2">
        <v>1.1900000000000001E-2</v>
      </c>
      <c r="E11172" s="2">
        <v>1.0800000000000001E-2</v>
      </c>
      <c r="F11172" s="2">
        <v>7.4999999999999997E-3</v>
      </c>
      <c r="G11172" s="2">
        <v>7.1000000000000004E-3</v>
      </c>
      <c r="H11172" s="2">
        <v>8.5000000000000006E-3</v>
      </c>
      <c r="I11172" s="2">
        <v>9.5999999999999992E-3</v>
      </c>
      <c r="J11172" s="2">
        <v>6.7999999999999996E-3</v>
      </c>
      <c r="K11172" s="2">
        <v>5.3E-3</v>
      </c>
      <c r="L11172" s="2">
        <v>3.0000000000000001E-3</v>
      </c>
      <c r="M11172" s="2">
        <v>3.3E-3</v>
      </c>
      <c r="N11172" s="2">
        <v>3.3E-3</v>
      </c>
      <c r="O11172" s="2">
        <v>1.2999999999999999E-3</v>
      </c>
      <c r="P11172">
        <v>1338</v>
      </c>
    </row>
    <row r="11173" spans="1:17" x14ac:dyDescent="0.35">
      <c r="A11173" t="s">
        <v>227</v>
      </c>
      <c r="B11173" t="s">
        <v>1342</v>
      </c>
      <c r="C11173" s="2">
        <v>0.94640000000000002</v>
      </c>
      <c r="D11173" s="2">
        <v>1.6500000000000001E-2</v>
      </c>
      <c r="E11173" s="2">
        <v>9.1000000000000004E-3</v>
      </c>
      <c r="F11173" s="2">
        <v>4.4999999999999997E-3</v>
      </c>
      <c r="G11173" s="2">
        <v>1.54E-2</v>
      </c>
      <c r="I11173" s="2">
        <v>2.9999999999999997E-4</v>
      </c>
      <c r="J11173" s="2">
        <v>2.3E-3</v>
      </c>
      <c r="K11173" s="2">
        <v>3.7000000000000002E-3</v>
      </c>
      <c r="L11173" s="2">
        <v>3.7000000000000002E-3</v>
      </c>
      <c r="M11173" s="2">
        <v>2.2000000000000001E-3</v>
      </c>
      <c r="P11173">
        <v>685</v>
      </c>
    </row>
    <row r="11174" spans="1:17" x14ac:dyDescent="0.35">
      <c r="A11174" t="s">
        <v>228</v>
      </c>
      <c r="B11174" t="s">
        <v>228</v>
      </c>
      <c r="C11174" s="2">
        <v>0.93330000000000002</v>
      </c>
      <c r="D11174" s="2">
        <v>1.29E-2</v>
      </c>
      <c r="E11174" s="2">
        <v>1.0800000000000001E-2</v>
      </c>
      <c r="F11174" s="2">
        <v>9.1999999999999998E-3</v>
      </c>
      <c r="G11174" s="2">
        <v>8.2000000000000007E-3</v>
      </c>
      <c r="H11174" s="2">
        <v>7.6E-3</v>
      </c>
      <c r="I11174" s="2">
        <v>7.4999999999999997E-3</v>
      </c>
      <c r="J11174" s="2">
        <v>4.7000000000000002E-3</v>
      </c>
      <c r="K11174" s="2">
        <v>4.7000000000000002E-3</v>
      </c>
      <c r="L11174" s="2">
        <v>4.1999999999999997E-3</v>
      </c>
      <c r="M11174" s="2">
        <v>2.3999999999999998E-3</v>
      </c>
      <c r="N11174" s="2">
        <v>2E-3</v>
      </c>
      <c r="O11174" s="2">
        <v>1.1000000000000001E-3</v>
      </c>
      <c r="P11174">
        <v>2796</v>
      </c>
    </row>
    <row r="11176" spans="1:17" x14ac:dyDescent="0.35">
      <c r="A11176" s="1" t="s">
        <v>2564</v>
      </c>
    </row>
    <row r="11177" spans="1:17" x14ac:dyDescent="0.35">
      <c r="A11177" t="s">
        <v>219</v>
      </c>
      <c r="B11177" t="s">
        <v>301</v>
      </c>
      <c r="C11177" t="s">
        <v>325</v>
      </c>
      <c r="D11177" t="s">
        <v>540</v>
      </c>
      <c r="E11177" t="s">
        <v>2542</v>
      </c>
      <c r="F11177" t="s">
        <v>2543</v>
      </c>
      <c r="G11177" t="s">
        <v>2544</v>
      </c>
      <c r="H11177" t="s">
        <v>2545</v>
      </c>
      <c r="I11177" t="s">
        <v>2546</v>
      </c>
      <c r="J11177" t="s">
        <v>2547</v>
      </c>
      <c r="K11177" t="s">
        <v>277</v>
      </c>
      <c r="L11177" t="s">
        <v>2548</v>
      </c>
      <c r="M11177" t="s">
        <v>2549</v>
      </c>
      <c r="N11177" t="s">
        <v>282</v>
      </c>
      <c r="O11177" t="s">
        <v>2550</v>
      </c>
      <c r="P11177" t="s">
        <v>318</v>
      </c>
      <c r="Q11177" t="s">
        <v>226</v>
      </c>
    </row>
    <row r="11178" spans="1:17" x14ac:dyDescent="0.35">
      <c r="A11178" s="3" t="s">
        <v>227</v>
      </c>
      <c r="B11178" s="3" t="s">
        <v>1335</v>
      </c>
      <c r="C11178" s="3" t="s">
        <v>1339</v>
      </c>
      <c r="D11178" s="4">
        <v>0.94540000000000002</v>
      </c>
      <c r="E11178" s="5"/>
      <c r="F11178" s="5"/>
      <c r="G11178" s="5"/>
      <c r="H11178" s="5"/>
      <c r="I11178" s="5"/>
      <c r="J11178" s="5"/>
      <c r="K11178" s="4">
        <v>2.7300000000000001E-2</v>
      </c>
      <c r="L11178" s="5"/>
      <c r="M11178" s="5"/>
      <c r="N11178" s="5"/>
      <c r="O11178" s="5"/>
      <c r="P11178" s="4">
        <v>2.7300000000000001E-2</v>
      </c>
      <c r="Q11178" s="5" t="s">
        <v>427</v>
      </c>
    </row>
    <row r="11179" spans="1:17" x14ac:dyDescent="0.35">
      <c r="A11179" t="s">
        <v>227</v>
      </c>
      <c r="B11179" t="s">
        <v>1335</v>
      </c>
      <c r="C11179" t="s">
        <v>1340</v>
      </c>
      <c r="D11179" s="2">
        <v>0.93100000000000005</v>
      </c>
      <c r="E11179" s="2">
        <v>2.4799999999999999E-2</v>
      </c>
      <c r="F11179" s="2">
        <v>2.2800000000000001E-2</v>
      </c>
      <c r="H11179" s="2">
        <v>2.8E-3</v>
      </c>
      <c r="I11179" s="2">
        <v>1.29E-2</v>
      </c>
      <c r="J11179" s="2">
        <v>1.0200000000000001E-2</v>
      </c>
      <c r="K11179" s="2">
        <v>2.5999999999999999E-3</v>
      </c>
      <c r="L11179" s="2">
        <v>1E-3</v>
      </c>
      <c r="M11179" s="2">
        <v>1E-3</v>
      </c>
      <c r="N11179" s="2">
        <v>1.2999999999999999E-3</v>
      </c>
      <c r="P11179" s="2">
        <v>8.0000000000000004E-4</v>
      </c>
      <c r="Q11179">
        <v>248</v>
      </c>
    </row>
    <row r="11180" spans="1:17" x14ac:dyDescent="0.35">
      <c r="A11180" t="s">
        <v>227</v>
      </c>
      <c r="B11180" t="s">
        <v>1335</v>
      </c>
      <c r="C11180" t="s">
        <v>1341</v>
      </c>
      <c r="D11180" s="2">
        <v>0.90369999999999995</v>
      </c>
      <c r="E11180" s="2">
        <v>2.41E-2</v>
      </c>
      <c r="F11180" s="2">
        <v>1.17E-2</v>
      </c>
      <c r="G11180" s="2">
        <v>3.7000000000000002E-3</v>
      </c>
      <c r="H11180" s="2">
        <v>8.8999999999999999E-3</v>
      </c>
      <c r="I11180" s="2">
        <v>1.9300000000000001E-2</v>
      </c>
      <c r="J11180" s="2">
        <v>1.15E-2</v>
      </c>
      <c r="K11180" s="2">
        <v>2.3E-3</v>
      </c>
      <c r="L11180" s="2">
        <v>9.5999999999999992E-3</v>
      </c>
      <c r="M11180" s="2">
        <v>6.7000000000000002E-3</v>
      </c>
      <c r="N11180" s="2">
        <v>7.7999999999999996E-3</v>
      </c>
      <c r="O11180" s="2">
        <v>9.4999999999999998E-3</v>
      </c>
      <c r="P11180" s="2">
        <v>8.9999999999999998E-4</v>
      </c>
      <c r="Q11180">
        <v>417</v>
      </c>
    </row>
    <row r="11181" spans="1:17" x14ac:dyDescent="0.35">
      <c r="A11181" t="s">
        <v>227</v>
      </c>
      <c r="B11181" t="s">
        <v>1335</v>
      </c>
      <c r="C11181" t="s">
        <v>1342</v>
      </c>
      <c r="D11181" s="2">
        <v>0.9294</v>
      </c>
      <c r="E11181" s="2">
        <v>1.4500000000000001E-2</v>
      </c>
      <c r="F11181" s="2">
        <v>2.5999999999999999E-2</v>
      </c>
      <c r="H11181" s="2">
        <v>1.4500000000000001E-2</v>
      </c>
      <c r="K11181" s="2">
        <v>1.8E-3</v>
      </c>
      <c r="M11181" s="2">
        <v>1.3100000000000001E-2</v>
      </c>
      <c r="N11181" s="2">
        <v>6.9999999999999999E-4</v>
      </c>
      <c r="Q11181">
        <v>157</v>
      </c>
    </row>
    <row r="11182" spans="1:17" x14ac:dyDescent="0.35">
      <c r="A11182" s="3" t="s">
        <v>227</v>
      </c>
      <c r="B11182" s="3" t="s">
        <v>1336</v>
      </c>
      <c r="C11182" s="3" t="s">
        <v>1341</v>
      </c>
      <c r="D11182" s="4">
        <v>1</v>
      </c>
      <c r="E11182" s="5"/>
      <c r="F11182" s="5"/>
      <c r="G11182" s="5"/>
      <c r="H11182" s="5"/>
      <c r="I11182" s="5"/>
      <c r="J11182" s="5"/>
      <c r="K11182" s="5"/>
      <c r="L11182" s="5"/>
      <c r="M11182" s="5"/>
      <c r="N11182" s="5"/>
      <c r="O11182" s="5"/>
      <c r="P11182" s="5"/>
      <c r="Q11182" s="5" t="s">
        <v>434</v>
      </c>
    </row>
    <row r="11183" spans="1:17" x14ac:dyDescent="0.35">
      <c r="A11183" t="s">
        <v>227</v>
      </c>
      <c r="B11183" t="s">
        <v>1337</v>
      </c>
      <c r="C11183" t="s">
        <v>1339</v>
      </c>
      <c r="D11183" s="2">
        <v>0.83199999999999996</v>
      </c>
      <c r="G11183" s="2">
        <v>4.9700000000000001E-2</v>
      </c>
      <c r="K11183" s="2">
        <v>1.9E-3</v>
      </c>
      <c r="M11183" s="2">
        <v>0.11650000000000001</v>
      </c>
      <c r="Q11183">
        <v>31</v>
      </c>
    </row>
    <row r="11184" spans="1:17" x14ac:dyDescent="0.35">
      <c r="A11184" t="s">
        <v>227</v>
      </c>
      <c r="B11184" t="s">
        <v>1337</v>
      </c>
      <c r="C11184" t="s">
        <v>1340</v>
      </c>
      <c r="D11184" s="2">
        <v>0.92989999999999995</v>
      </c>
      <c r="E11184" s="2">
        <v>5.7000000000000002E-3</v>
      </c>
      <c r="F11184" s="2">
        <v>8.5000000000000006E-3</v>
      </c>
      <c r="G11184" s="2">
        <v>2.4199999999999999E-2</v>
      </c>
      <c r="H11184" s="2">
        <v>5.0000000000000001E-3</v>
      </c>
      <c r="I11184" s="2">
        <v>1.49E-2</v>
      </c>
      <c r="J11184" s="2">
        <v>1.12E-2</v>
      </c>
      <c r="K11184" s="2">
        <v>1.5E-3</v>
      </c>
      <c r="L11184" s="2">
        <v>6.7999999999999996E-3</v>
      </c>
      <c r="M11184" s="2">
        <v>5.0000000000000001E-4</v>
      </c>
      <c r="N11184" s="2">
        <v>5.9999999999999995E-4</v>
      </c>
      <c r="O11184" s="2">
        <v>2E-3</v>
      </c>
      <c r="P11184" s="2">
        <v>5.9999999999999995E-4</v>
      </c>
      <c r="Q11184">
        <v>474</v>
      </c>
    </row>
    <row r="11185" spans="1:17" x14ac:dyDescent="0.35">
      <c r="A11185" t="s">
        <v>227</v>
      </c>
      <c r="B11185" t="s">
        <v>1337</v>
      </c>
      <c r="C11185" t="s">
        <v>1341</v>
      </c>
      <c r="D11185" s="2">
        <v>0.9456</v>
      </c>
      <c r="E11185" s="2">
        <v>5.4999999999999997E-3</v>
      </c>
      <c r="F11185" s="2">
        <v>1.04E-2</v>
      </c>
      <c r="G11185" s="2">
        <v>9.5999999999999992E-3</v>
      </c>
      <c r="H11185" s="2">
        <v>6.1999999999999998E-3</v>
      </c>
      <c r="I11185" s="2">
        <v>2.8E-3</v>
      </c>
      <c r="J11185" s="2">
        <v>8.6E-3</v>
      </c>
      <c r="K11185" s="2">
        <v>9.1999999999999998E-3</v>
      </c>
      <c r="L11185" s="2">
        <v>3.0999999999999999E-3</v>
      </c>
      <c r="M11185" s="2">
        <v>1.1000000000000001E-3</v>
      </c>
      <c r="N11185" s="2">
        <v>8.9999999999999998E-4</v>
      </c>
      <c r="O11185" s="2">
        <v>1E-4</v>
      </c>
      <c r="P11185" s="2">
        <v>1.6000000000000001E-3</v>
      </c>
      <c r="Q11185">
        <v>919</v>
      </c>
    </row>
    <row r="11186" spans="1:17" x14ac:dyDescent="0.35">
      <c r="A11186" t="s">
        <v>227</v>
      </c>
      <c r="B11186" t="s">
        <v>1337</v>
      </c>
      <c r="C11186" t="s">
        <v>1342</v>
      </c>
      <c r="D11186" s="2">
        <v>0.95299999999999996</v>
      </c>
      <c r="E11186" s="2">
        <v>1.7299999999999999E-2</v>
      </c>
      <c r="F11186" s="2">
        <v>2.5999999999999999E-3</v>
      </c>
      <c r="G11186" s="2">
        <v>6.1999999999999998E-3</v>
      </c>
      <c r="H11186" s="2">
        <v>1.5699999999999999E-2</v>
      </c>
      <c r="J11186" s="2">
        <v>5.0000000000000001E-4</v>
      </c>
      <c r="K11186" s="2">
        <v>2.3999999999999998E-3</v>
      </c>
      <c r="L11186" s="2">
        <v>5.1000000000000004E-3</v>
      </c>
      <c r="N11186" s="2">
        <v>2.8E-3</v>
      </c>
      <c r="Q11186">
        <v>528</v>
      </c>
    </row>
    <row r="11187" spans="1:17" x14ac:dyDescent="0.35">
      <c r="A11187" t="s">
        <v>228</v>
      </c>
      <c r="B11187" t="s">
        <v>228</v>
      </c>
      <c r="C11187" t="s">
        <v>228</v>
      </c>
      <c r="D11187" s="2">
        <v>0.93330000000000002</v>
      </c>
      <c r="E11187" s="2">
        <v>1.29E-2</v>
      </c>
      <c r="F11187" s="2">
        <v>1.0800000000000001E-2</v>
      </c>
      <c r="G11187" s="2">
        <v>9.1999999999999998E-3</v>
      </c>
      <c r="H11187" s="2">
        <v>8.2000000000000007E-3</v>
      </c>
      <c r="I11187" s="2">
        <v>7.6E-3</v>
      </c>
      <c r="J11187" s="2">
        <v>7.4999999999999997E-3</v>
      </c>
      <c r="K11187" s="2">
        <v>4.7000000000000002E-3</v>
      </c>
      <c r="L11187" s="2">
        <v>4.7000000000000002E-3</v>
      </c>
      <c r="M11187" s="2">
        <v>4.1999999999999997E-3</v>
      </c>
      <c r="N11187" s="2">
        <v>2.3999999999999998E-3</v>
      </c>
      <c r="O11187" s="2">
        <v>2E-3</v>
      </c>
      <c r="P11187" s="2">
        <v>1.1000000000000001E-3</v>
      </c>
      <c r="Q11187">
        <v>2796</v>
      </c>
    </row>
    <row r="11189" spans="1:17" x14ac:dyDescent="0.35">
      <c r="A11189" s="1" t="s">
        <v>2565</v>
      </c>
    </row>
    <row r="11190" spans="1:17" x14ac:dyDescent="0.35">
      <c r="A11190" t="s">
        <v>219</v>
      </c>
      <c r="B11190" t="s">
        <v>540</v>
      </c>
      <c r="C11190" t="s">
        <v>277</v>
      </c>
      <c r="D11190" t="s">
        <v>2566</v>
      </c>
      <c r="E11190" t="s">
        <v>2543</v>
      </c>
      <c r="F11190" t="s">
        <v>2567</v>
      </c>
      <c r="G11190" t="s">
        <v>2181</v>
      </c>
      <c r="H11190" t="s">
        <v>2546</v>
      </c>
      <c r="I11190" t="s">
        <v>2568</v>
      </c>
      <c r="J11190" t="s">
        <v>2569</v>
      </c>
      <c r="K11190" t="s">
        <v>2570</v>
      </c>
      <c r="L11190" t="s">
        <v>2571</v>
      </c>
      <c r="M11190" t="s">
        <v>2549</v>
      </c>
      <c r="N11190" t="s">
        <v>2572</v>
      </c>
      <c r="O11190" t="s">
        <v>282</v>
      </c>
      <c r="P11190" t="s">
        <v>226</v>
      </c>
    </row>
    <row r="11191" spans="1:17" x14ac:dyDescent="0.35">
      <c r="A11191" t="s">
        <v>227</v>
      </c>
      <c r="B11191" s="2">
        <v>0.93640000000000001</v>
      </c>
      <c r="C11191" s="2">
        <v>1.35E-2</v>
      </c>
      <c r="D11191" s="2">
        <v>1.09E-2</v>
      </c>
      <c r="E11191" s="2">
        <v>1.0500000000000001E-2</v>
      </c>
      <c r="F11191" s="2">
        <v>7.1000000000000004E-3</v>
      </c>
      <c r="G11191" s="2">
        <v>6.4000000000000003E-3</v>
      </c>
      <c r="H11191" s="2">
        <v>6.4000000000000003E-3</v>
      </c>
      <c r="I11191" s="2">
        <v>4.7000000000000002E-3</v>
      </c>
      <c r="J11191" s="2">
        <v>4.7000000000000002E-3</v>
      </c>
      <c r="K11191" s="2">
        <v>3.7000000000000002E-3</v>
      </c>
      <c r="L11191" s="2">
        <v>3.0999999999999999E-3</v>
      </c>
      <c r="M11191" s="2">
        <v>3.0000000000000001E-3</v>
      </c>
      <c r="N11191" s="2">
        <v>1.9E-3</v>
      </c>
      <c r="O11191" s="2">
        <v>1.6999999999999999E-3</v>
      </c>
      <c r="P11191">
        <v>2802</v>
      </c>
    </row>
    <row r="11192" spans="1:17" x14ac:dyDescent="0.35">
      <c r="A11192" t="s">
        <v>228</v>
      </c>
      <c r="B11192" s="2">
        <v>0.93640000000000001</v>
      </c>
      <c r="C11192" s="2">
        <v>1.35E-2</v>
      </c>
      <c r="D11192" s="2">
        <v>1.09E-2</v>
      </c>
      <c r="E11192" s="2">
        <v>1.0500000000000001E-2</v>
      </c>
      <c r="F11192" s="2">
        <v>7.1000000000000004E-3</v>
      </c>
      <c r="G11192" s="2">
        <v>6.4000000000000003E-3</v>
      </c>
      <c r="H11192" s="2">
        <v>6.4000000000000003E-3</v>
      </c>
      <c r="I11192" s="2">
        <v>4.7000000000000002E-3</v>
      </c>
      <c r="J11192" s="2">
        <v>4.7000000000000002E-3</v>
      </c>
      <c r="K11192" s="2">
        <v>3.7000000000000002E-3</v>
      </c>
      <c r="L11192" s="2">
        <v>3.0999999999999999E-3</v>
      </c>
      <c r="M11192" s="2">
        <v>3.0000000000000001E-3</v>
      </c>
      <c r="N11192" s="2">
        <v>1.9E-3</v>
      </c>
      <c r="O11192" s="2">
        <v>1.6999999999999999E-3</v>
      </c>
      <c r="P11192">
        <v>2802</v>
      </c>
    </row>
    <row r="11194" spans="1:17" x14ac:dyDescent="0.35">
      <c r="A11194" s="1" t="s">
        <v>2573</v>
      </c>
    </row>
    <row r="11195" spans="1:17" x14ac:dyDescent="0.35">
      <c r="A11195" t="s">
        <v>219</v>
      </c>
      <c r="B11195" t="s">
        <v>301</v>
      </c>
      <c r="C11195" t="s">
        <v>540</v>
      </c>
      <c r="D11195" t="s">
        <v>277</v>
      </c>
      <c r="E11195" t="s">
        <v>2566</v>
      </c>
      <c r="F11195" t="s">
        <v>2543</v>
      </c>
      <c r="G11195" t="s">
        <v>2567</v>
      </c>
      <c r="H11195" t="s">
        <v>2181</v>
      </c>
      <c r="I11195" t="s">
        <v>2546</v>
      </c>
      <c r="J11195" t="s">
        <v>2568</v>
      </c>
      <c r="K11195" t="s">
        <v>2569</v>
      </c>
      <c r="L11195" t="s">
        <v>2570</v>
      </c>
      <c r="M11195" t="s">
        <v>2571</v>
      </c>
      <c r="N11195" t="s">
        <v>2549</v>
      </c>
      <c r="O11195" t="s">
        <v>2572</v>
      </c>
      <c r="P11195" t="s">
        <v>282</v>
      </c>
      <c r="Q11195" t="s">
        <v>226</v>
      </c>
    </row>
    <row r="11196" spans="1:17" x14ac:dyDescent="0.35">
      <c r="A11196" t="s">
        <v>227</v>
      </c>
      <c r="B11196" t="s">
        <v>238</v>
      </c>
      <c r="C11196" s="2">
        <v>0.89459999999999995</v>
      </c>
      <c r="D11196" s="2">
        <v>2.07E-2</v>
      </c>
      <c r="E11196" s="2">
        <v>1.37E-2</v>
      </c>
      <c r="F11196" s="2">
        <v>2.0799999999999999E-2</v>
      </c>
      <c r="G11196" s="2">
        <v>1.18E-2</v>
      </c>
      <c r="H11196" s="2">
        <v>1.55E-2</v>
      </c>
      <c r="I11196" s="2">
        <v>1.04E-2</v>
      </c>
      <c r="J11196" s="2">
        <v>1.0999999999999999E-2</v>
      </c>
      <c r="K11196" s="2">
        <v>3.3E-3</v>
      </c>
      <c r="L11196" s="2">
        <v>8.3000000000000001E-3</v>
      </c>
      <c r="M11196" s="2">
        <v>8.0000000000000002E-3</v>
      </c>
      <c r="N11196" s="2">
        <v>6.7999999999999996E-3</v>
      </c>
      <c r="O11196" s="2">
        <v>4.4999999999999997E-3</v>
      </c>
      <c r="P11196" s="2">
        <v>3.3E-3</v>
      </c>
      <c r="Q11196">
        <v>1002</v>
      </c>
    </row>
    <row r="11197" spans="1:17" x14ac:dyDescent="0.35">
      <c r="A11197" t="s">
        <v>227</v>
      </c>
      <c r="B11197" t="s">
        <v>237</v>
      </c>
      <c r="C11197" s="2">
        <v>0.96079999999999999</v>
      </c>
      <c r="D11197" s="2">
        <v>9.2999999999999992E-3</v>
      </c>
      <c r="E11197" s="2">
        <v>9.2999999999999992E-3</v>
      </c>
      <c r="F11197" s="2">
        <v>4.4000000000000003E-3</v>
      </c>
      <c r="G11197" s="2">
        <v>4.3E-3</v>
      </c>
      <c r="H11197" s="2">
        <v>1.1000000000000001E-3</v>
      </c>
      <c r="I11197" s="2">
        <v>4.0000000000000001E-3</v>
      </c>
      <c r="J11197" s="2">
        <v>1E-3</v>
      </c>
      <c r="K11197" s="2">
        <v>5.5999999999999999E-3</v>
      </c>
      <c r="L11197" s="2">
        <v>1E-3</v>
      </c>
      <c r="M11197" s="2">
        <v>1E-4</v>
      </c>
      <c r="N11197" s="2">
        <v>6.9999999999999999E-4</v>
      </c>
      <c r="O11197" s="2">
        <v>2.9999999999999997E-4</v>
      </c>
      <c r="P11197" s="2">
        <v>8.0000000000000004E-4</v>
      </c>
      <c r="Q11197">
        <v>1800</v>
      </c>
    </row>
    <row r="11198" spans="1:17" x14ac:dyDescent="0.35">
      <c r="A11198" t="s">
        <v>228</v>
      </c>
      <c r="B11198" t="s">
        <v>228</v>
      </c>
      <c r="C11198" s="2">
        <v>0.93640000000000001</v>
      </c>
      <c r="D11198" s="2">
        <v>1.35E-2</v>
      </c>
      <c r="E11198" s="2">
        <v>1.09E-2</v>
      </c>
      <c r="F11198" s="2">
        <v>1.0500000000000001E-2</v>
      </c>
      <c r="G11198" s="2">
        <v>7.1000000000000004E-3</v>
      </c>
      <c r="H11198" s="2">
        <v>6.4000000000000003E-3</v>
      </c>
      <c r="I11198" s="2">
        <v>6.4000000000000003E-3</v>
      </c>
      <c r="J11198" s="2">
        <v>4.7000000000000002E-3</v>
      </c>
      <c r="K11198" s="2">
        <v>4.7000000000000002E-3</v>
      </c>
      <c r="L11198" s="2">
        <v>3.7000000000000002E-3</v>
      </c>
      <c r="M11198" s="2">
        <v>3.0999999999999999E-3</v>
      </c>
      <c r="N11198" s="2">
        <v>3.0000000000000001E-3</v>
      </c>
      <c r="O11198" s="2">
        <v>1.9E-3</v>
      </c>
      <c r="P11198" s="2">
        <v>1.6999999999999999E-3</v>
      </c>
      <c r="Q11198">
        <v>2802</v>
      </c>
    </row>
    <row r="11200" spans="1:17" x14ac:dyDescent="0.35">
      <c r="A11200" s="1" t="s">
        <v>2574</v>
      </c>
    </row>
    <row r="11201" spans="1:17" x14ac:dyDescent="0.35">
      <c r="A11201" t="s">
        <v>219</v>
      </c>
      <c r="B11201" t="s">
        <v>301</v>
      </c>
      <c r="C11201" t="s">
        <v>540</v>
      </c>
      <c r="D11201" t="s">
        <v>277</v>
      </c>
      <c r="E11201" t="s">
        <v>2566</v>
      </c>
      <c r="F11201" t="s">
        <v>2543</v>
      </c>
      <c r="G11201" t="s">
        <v>2567</v>
      </c>
      <c r="H11201" t="s">
        <v>2181</v>
      </c>
      <c r="I11201" t="s">
        <v>2546</v>
      </c>
      <c r="J11201" t="s">
        <v>2568</v>
      </c>
      <c r="K11201" t="s">
        <v>2569</v>
      </c>
      <c r="L11201" t="s">
        <v>2570</v>
      </c>
      <c r="M11201" t="s">
        <v>2571</v>
      </c>
      <c r="N11201" t="s">
        <v>2549</v>
      </c>
      <c r="O11201" t="s">
        <v>2572</v>
      </c>
      <c r="P11201" t="s">
        <v>282</v>
      </c>
      <c r="Q11201" t="s">
        <v>226</v>
      </c>
    </row>
    <row r="11202" spans="1:17" x14ac:dyDescent="0.35">
      <c r="A11202" t="s">
        <v>227</v>
      </c>
      <c r="B11202" t="s">
        <v>235</v>
      </c>
      <c r="C11202" s="2">
        <v>0.91849999999999998</v>
      </c>
      <c r="D11202" s="2">
        <v>2.1700000000000001E-2</v>
      </c>
      <c r="E11202" s="2">
        <v>8.8999999999999999E-3</v>
      </c>
      <c r="F11202" s="2">
        <v>2.0299999999999999E-2</v>
      </c>
      <c r="G11202" s="2">
        <v>7.1000000000000004E-3</v>
      </c>
      <c r="H11202" s="2">
        <v>3.3999999999999998E-3</v>
      </c>
      <c r="I11202" s="2">
        <v>3.8E-3</v>
      </c>
      <c r="J11202" s="2">
        <v>9.9000000000000008E-3</v>
      </c>
      <c r="K11202" s="2">
        <v>6.6E-3</v>
      </c>
      <c r="L11202" s="2">
        <v>2.8E-3</v>
      </c>
      <c r="M11202" s="2">
        <v>6.4999999999999997E-3</v>
      </c>
      <c r="N11202" s="2">
        <v>1E-3</v>
      </c>
      <c r="O11202" s="2">
        <v>5.7000000000000002E-3</v>
      </c>
      <c r="P11202" s="2">
        <v>1.1999999999999999E-3</v>
      </c>
      <c r="Q11202">
        <v>989</v>
      </c>
    </row>
    <row r="11203" spans="1:17" x14ac:dyDescent="0.35">
      <c r="A11203" t="s">
        <v>227</v>
      </c>
      <c r="B11203" t="s">
        <v>234</v>
      </c>
      <c r="C11203" s="2">
        <v>0.94389999999999996</v>
      </c>
      <c r="D11203" s="2">
        <v>0.01</v>
      </c>
      <c r="E11203" s="2">
        <v>1.17E-2</v>
      </c>
      <c r="F11203" s="2">
        <v>6.4000000000000003E-3</v>
      </c>
      <c r="G11203" s="2">
        <v>7.1000000000000004E-3</v>
      </c>
      <c r="H11203" s="2">
        <v>7.6E-3</v>
      </c>
      <c r="I11203" s="2">
        <v>7.4999999999999997E-3</v>
      </c>
      <c r="J11203" s="2">
        <v>2.5000000000000001E-3</v>
      </c>
      <c r="K11203" s="2">
        <v>4.0000000000000001E-3</v>
      </c>
      <c r="L11203" s="2">
        <v>4.1000000000000003E-3</v>
      </c>
      <c r="M11203" s="2">
        <v>1.6000000000000001E-3</v>
      </c>
      <c r="N11203" s="2">
        <v>3.8E-3</v>
      </c>
      <c r="O11203" s="2">
        <v>2.9999999999999997E-4</v>
      </c>
      <c r="P11203" s="2">
        <v>2E-3</v>
      </c>
      <c r="Q11203">
        <v>1813</v>
      </c>
    </row>
    <row r="11204" spans="1:17" x14ac:dyDescent="0.35">
      <c r="A11204" t="s">
        <v>228</v>
      </c>
      <c r="B11204" t="s">
        <v>228</v>
      </c>
      <c r="C11204" s="2">
        <v>0.93640000000000001</v>
      </c>
      <c r="D11204" s="2">
        <v>1.35E-2</v>
      </c>
      <c r="E11204" s="2">
        <v>1.09E-2</v>
      </c>
      <c r="F11204" s="2">
        <v>1.0500000000000001E-2</v>
      </c>
      <c r="G11204" s="2">
        <v>7.1000000000000004E-3</v>
      </c>
      <c r="H11204" s="2">
        <v>6.4000000000000003E-3</v>
      </c>
      <c r="I11204" s="2">
        <v>6.4000000000000003E-3</v>
      </c>
      <c r="J11204" s="2">
        <v>4.7000000000000002E-3</v>
      </c>
      <c r="K11204" s="2">
        <v>4.7000000000000002E-3</v>
      </c>
      <c r="L11204" s="2">
        <v>3.7000000000000002E-3</v>
      </c>
      <c r="M11204" s="2">
        <v>3.0999999999999999E-3</v>
      </c>
      <c r="N11204" s="2">
        <v>3.0000000000000001E-3</v>
      </c>
      <c r="O11204" s="2">
        <v>1.9E-3</v>
      </c>
      <c r="P11204" s="2">
        <v>1.6999999999999999E-3</v>
      </c>
      <c r="Q11204">
        <v>2802</v>
      </c>
    </row>
    <row r="11206" spans="1:17" x14ac:dyDescent="0.35">
      <c r="A11206" s="1" t="s">
        <v>2575</v>
      </c>
    </row>
    <row r="11207" spans="1:17" x14ac:dyDescent="0.35">
      <c r="A11207" t="s">
        <v>219</v>
      </c>
      <c r="B11207" t="s">
        <v>301</v>
      </c>
      <c r="C11207" t="s">
        <v>540</v>
      </c>
      <c r="D11207" t="s">
        <v>277</v>
      </c>
      <c r="E11207" t="s">
        <v>2566</v>
      </c>
      <c r="F11207" t="s">
        <v>2543</v>
      </c>
      <c r="G11207" t="s">
        <v>2567</v>
      </c>
      <c r="H11207" t="s">
        <v>2181</v>
      </c>
      <c r="I11207" t="s">
        <v>2546</v>
      </c>
      <c r="J11207" t="s">
        <v>2568</v>
      </c>
      <c r="K11207" t="s">
        <v>2569</v>
      </c>
      <c r="L11207" t="s">
        <v>2570</v>
      </c>
      <c r="M11207" t="s">
        <v>2571</v>
      </c>
      <c r="N11207" t="s">
        <v>2549</v>
      </c>
      <c r="O11207" t="s">
        <v>2572</v>
      </c>
      <c r="P11207" t="s">
        <v>282</v>
      </c>
      <c r="Q11207" t="s">
        <v>226</v>
      </c>
    </row>
    <row r="11208" spans="1:17" x14ac:dyDescent="0.35">
      <c r="A11208" t="s">
        <v>227</v>
      </c>
      <c r="B11208" t="s">
        <v>240</v>
      </c>
      <c r="C11208" s="2">
        <v>0.92879999999999996</v>
      </c>
      <c r="D11208" s="2">
        <v>1.44E-2</v>
      </c>
      <c r="E11208" s="2">
        <v>1.26E-2</v>
      </c>
      <c r="F11208" s="2">
        <v>8.5000000000000006E-3</v>
      </c>
      <c r="G11208" s="2">
        <v>5.7999999999999996E-3</v>
      </c>
      <c r="H11208" s="2">
        <v>7.4000000000000003E-3</v>
      </c>
      <c r="I11208" s="2">
        <v>7.9000000000000008E-3</v>
      </c>
      <c r="J11208" s="2">
        <v>2.8999999999999998E-3</v>
      </c>
      <c r="K11208" s="2">
        <v>7.0000000000000001E-3</v>
      </c>
      <c r="L11208" s="2">
        <v>5.5999999999999999E-3</v>
      </c>
      <c r="M11208" s="2">
        <v>4.7999999999999996E-3</v>
      </c>
      <c r="N11208" s="2">
        <v>4.4000000000000003E-3</v>
      </c>
      <c r="O11208" s="2">
        <v>2.8999999999999998E-3</v>
      </c>
      <c r="P11208" s="2">
        <v>2.5999999999999999E-3</v>
      </c>
      <c r="Q11208">
        <v>1753</v>
      </c>
    </row>
    <row r="11209" spans="1:17" x14ac:dyDescent="0.35">
      <c r="A11209" t="s">
        <v>227</v>
      </c>
      <c r="B11209" t="s">
        <v>241</v>
      </c>
      <c r="C11209" s="2">
        <v>0.94879999999999998</v>
      </c>
      <c r="D11209" s="2">
        <v>1.0800000000000001E-2</v>
      </c>
      <c r="E11209" s="2">
        <v>9.1000000000000004E-3</v>
      </c>
      <c r="F11209" s="2">
        <v>1.6799999999999999E-2</v>
      </c>
      <c r="G11209" s="2">
        <v>1.1299999999999999E-2</v>
      </c>
      <c r="H11209" s="2">
        <v>2.5999999999999999E-3</v>
      </c>
      <c r="I11209" s="2">
        <v>2.2000000000000001E-3</v>
      </c>
      <c r="J11209" s="2">
        <v>9.7000000000000003E-3</v>
      </c>
      <c r="K11209" s="2">
        <v>5.9999999999999995E-4</v>
      </c>
      <c r="N11209" s="2">
        <v>5.0000000000000001E-4</v>
      </c>
      <c r="P11209" s="2">
        <v>2.9999999999999997E-4</v>
      </c>
      <c r="Q11209">
        <v>884</v>
      </c>
    </row>
    <row r="11210" spans="1:17" x14ac:dyDescent="0.35">
      <c r="A11210" t="s">
        <v>227</v>
      </c>
      <c r="B11210" t="s">
        <v>242</v>
      </c>
      <c r="C11210" s="2">
        <v>0.9546</v>
      </c>
      <c r="D11210" s="2">
        <v>1.7000000000000001E-2</v>
      </c>
      <c r="E11210" s="2">
        <v>2.3E-3</v>
      </c>
      <c r="F11210" s="2">
        <v>2E-3</v>
      </c>
      <c r="G11210" s="2">
        <v>1.4E-3</v>
      </c>
      <c r="H11210" s="2">
        <v>1.3599999999999999E-2</v>
      </c>
      <c r="I11210" s="2">
        <v>9.7999999999999997E-3</v>
      </c>
      <c r="K11210" s="2">
        <v>1.4E-3</v>
      </c>
      <c r="L11210" s="2">
        <v>1.4E-3</v>
      </c>
      <c r="Q11210">
        <v>165</v>
      </c>
    </row>
    <row r="11211" spans="1:17" x14ac:dyDescent="0.35">
      <c r="A11211" t="s">
        <v>228</v>
      </c>
      <c r="B11211" t="s">
        <v>228</v>
      </c>
      <c r="C11211" s="2">
        <v>0.93640000000000001</v>
      </c>
      <c r="D11211" s="2">
        <v>1.35E-2</v>
      </c>
      <c r="E11211" s="2">
        <v>1.09E-2</v>
      </c>
      <c r="F11211" s="2">
        <v>1.0500000000000001E-2</v>
      </c>
      <c r="G11211" s="2">
        <v>7.1000000000000004E-3</v>
      </c>
      <c r="H11211" s="2">
        <v>6.4000000000000003E-3</v>
      </c>
      <c r="I11211" s="2">
        <v>6.4000000000000003E-3</v>
      </c>
      <c r="J11211" s="2">
        <v>4.7000000000000002E-3</v>
      </c>
      <c r="K11211" s="2">
        <v>4.7000000000000002E-3</v>
      </c>
      <c r="L11211" s="2">
        <v>3.7000000000000002E-3</v>
      </c>
      <c r="M11211" s="2">
        <v>3.0999999999999999E-3</v>
      </c>
      <c r="N11211" s="2">
        <v>3.0000000000000001E-3</v>
      </c>
      <c r="O11211" s="2">
        <v>1.9E-3</v>
      </c>
      <c r="P11211" s="2">
        <v>1.6999999999999999E-3</v>
      </c>
      <c r="Q11211">
        <v>2802</v>
      </c>
    </row>
    <row r="11213" spans="1:17" x14ac:dyDescent="0.35">
      <c r="A11213" s="1" t="s">
        <v>2576</v>
      </c>
    </row>
    <row r="11214" spans="1:17" x14ac:dyDescent="0.35">
      <c r="A11214" t="s">
        <v>219</v>
      </c>
      <c r="B11214" t="s">
        <v>301</v>
      </c>
      <c r="C11214" t="s">
        <v>540</v>
      </c>
      <c r="D11214" t="s">
        <v>277</v>
      </c>
      <c r="E11214" t="s">
        <v>2566</v>
      </c>
      <c r="F11214" t="s">
        <v>2543</v>
      </c>
      <c r="G11214" t="s">
        <v>2567</v>
      </c>
      <c r="H11214" t="s">
        <v>2181</v>
      </c>
      <c r="I11214" t="s">
        <v>2546</v>
      </c>
      <c r="J11214" t="s">
        <v>2568</v>
      </c>
      <c r="K11214" t="s">
        <v>2569</v>
      </c>
      <c r="L11214" t="s">
        <v>2570</v>
      </c>
      <c r="M11214" t="s">
        <v>2571</v>
      </c>
      <c r="N11214" t="s">
        <v>2549</v>
      </c>
      <c r="O11214" t="s">
        <v>2572</v>
      </c>
      <c r="P11214" t="s">
        <v>282</v>
      </c>
      <c r="Q11214" t="s">
        <v>226</v>
      </c>
    </row>
    <row r="11215" spans="1:17" x14ac:dyDescent="0.35">
      <c r="A11215" t="s">
        <v>227</v>
      </c>
      <c r="B11215" t="s">
        <v>334</v>
      </c>
      <c r="C11215" s="2">
        <v>0.90469999999999995</v>
      </c>
      <c r="D11215" s="2">
        <v>3.5200000000000002E-2</v>
      </c>
      <c r="E11215" s="2">
        <v>6.8999999999999999E-3</v>
      </c>
      <c r="F11215" s="2">
        <v>2.3300000000000001E-2</v>
      </c>
      <c r="G11215" s="2">
        <v>6.0000000000000001E-3</v>
      </c>
      <c r="H11215" s="2">
        <v>6.4999999999999997E-3</v>
      </c>
      <c r="I11215" s="2">
        <v>8.2000000000000007E-3</v>
      </c>
      <c r="J11215" s="2">
        <v>3.3999999999999998E-3</v>
      </c>
      <c r="K11215" s="2">
        <v>8.8999999999999999E-3</v>
      </c>
      <c r="L11215" s="2">
        <v>2.8999999999999998E-3</v>
      </c>
      <c r="M11215" s="2">
        <v>4.0000000000000002E-4</v>
      </c>
      <c r="N11215" s="2">
        <v>1.1000000000000001E-3</v>
      </c>
      <c r="P11215" s="2">
        <v>2.0999999999999999E-3</v>
      </c>
      <c r="Q11215">
        <v>624</v>
      </c>
    </row>
    <row r="11216" spans="1:17" x14ac:dyDescent="0.35">
      <c r="A11216" t="s">
        <v>227</v>
      </c>
      <c r="B11216" t="s">
        <v>335</v>
      </c>
      <c r="C11216" s="2">
        <v>0.94740000000000002</v>
      </c>
      <c r="D11216" s="2">
        <v>4.1000000000000003E-3</v>
      </c>
      <c r="E11216" s="2">
        <v>1.0999999999999999E-2</v>
      </c>
      <c r="F11216" s="2">
        <v>1.23E-2</v>
      </c>
      <c r="G11216" s="2">
        <v>5.8999999999999999E-3</v>
      </c>
      <c r="H11216" s="2">
        <v>2.5000000000000001E-3</v>
      </c>
      <c r="I11216" s="2">
        <v>7.7999999999999996E-3</v>
      </c>
      <c r="K11216" s="2">
        <v>9.1999999999999998E-3</v>
      </c>
      <c r="L11216" s="2">
        <v>7.6E-3</v>
      </c>
      <c r="M11216" s="2">
        <v>8.6999999999999994E-3</v>
      </c>
      <c r="N11216" s="2">
        <v>5.7999999999999996E-3</v>
      </c>
      <c r="O11216" s="2">
        <v>5.7999999999999996E-3</v>
      </c>
      <c r="P11216" s="2">
        <v>2.9999999999999997E-4</v>
      </c>
      <c r="Q11216">
        <v>626</v>
      </c>
    </row>
    <row r="11217" spans="1:17" x14ac:dyDescent="0.35">
      <c r="A11217" t="s">
        <v>227</v>
      </c>
      <c r="B11217" t="s">
        <v>336</v>
      </c>
      <c r="C11217" s="2">
        <v>0.94710000000000005</v>
      </c>
      <c r="D11217" s="2">
        <v>0.01</v>
      </c>
      <c r="E11217" s="2">
        <v>1.5299999999999999E-2</v>
      </c>
      <c r="F11217" s="2">
        <v>2.2000000000000001E-3</v>
      </c>
      <c r="G11217" s="2">
        <v>1.3100000000000001E-2</v>
      </c>
      <c r="H11217" s="2">
        <v>5.3E-3</v>
      </c>
      <c r="I11217" s="2">
        <v>1.2999999999999999E-3</v>
      </c>
      <c r="J11217" s="2">
        <v>8.3999999999999995E-3</v>
      </c>
      <c r="K11217" s="2">
        <v>4.0000000000000002E-4</v>
      </c>
      <c r="M11217" s="2">
        <v>8.0000000000000004E-4</v>
      </c>
      <c r="N11217" s="2">
        <v>4.5999999999999999E-3</v>
      </c>
      <c r="P11217" s="2">
        <v>8.0000000000000004E-4</v>
      </c>
      <c r="Q11217">
        <v>620</v>
      </c>
    </row>
    <row r="11218" spans="1:17" x14ac:dyDescent="0.35">
      <c r="A11218" t="s">
        <v>227</v>
      </c>
      <c r="B11218" t="s">
        <v>337</v>
      </c>
      <c r="C11218" s="2">
        <v>0.93430000000000002</v>
      </c>
      <c r="D11218" s="2">
        <v>1.2699999999999999E-2</v>
      </c>
      <c r="E11218" s="2">
        <v>8.5000000000000006E-3</v>
      </c>
      <c r="F11218" s="2">
        <v>6.8999999999999999E-3</v>
      </c>
      <c r="G11218" s="2">
        <v>7.0000000000000001E-3</v>
      </c>
      <c r="H11218" s="2">
        <v>1.18E-2</v>
      </c>
      <c r="I11218" s="2">
        <v>8.8999999999999999E-3</v>
      </c>
      <c r="J11218" s="2">
        <v>8.0000000000000002E-3</v>
      </c>
      <c r="L11218" s="2">
        <v>3.7000000000000002E-3</v>
      </c>
      <c r="M11218" s="2">
        <v>8.9999999999999998E-4</v>
      </c>
      <c r="O11218" s="2">
        <v>8.9999999999999998E-4</v>
      </c>
      <c r="P11218" s="2">
        <v>3.3E-3</v>
      </c>
      <c r="Q11218">
        <v>598</v>
      </c>
    </row>
    <row r="11219" spans="1:17" x14ac:dyDescent="0.35">
      <c r="A11219" t="s">
        <v>228</v>
      </c>
      <c r="B11219" t="s">
        <v>228</v>
      </c>
      <c r="C11219" s="2">
        <v>0.93640000000000001</v>
      </c>
      <c r="D11219" s="2">
        <v>1.35E-2</v>
      </c>
      <c r="E11219" s="2">
        <v>1.09E-2</v>
      </c>
      <c r="F11219" s="2">
        <v>1.0500000000000001E-2</v>
      </c>
      <c r="G11219" s="2">
        <v>7.1000000000000004E-3</v>
      </c>
      <c r="H11219" s="2">
        <v>6.4000000000000003E-3</v>
      </c>
      <c r="I11219" s="2">
        <v>6.4000000000000003E-3</v>
      </c>
      <c r="J11219" s="2">
        <v>4.7000000000000002E-3</v>
      </c>
      <c r="K11219" s="2">
        <v>4.7000000000000002E-3</v>
      </c>
      <c r="L11219" s="2">
        <v>3.7000000000000002E-3</v>
      </c>
      <c r="M11219" s="2">
        <v>3.0999999999999999E-3</v>
      </c>
      <c r="N11219" s="2">
        <v>3.0000000000000001E-3</v>
      </c>
      <c r="O11219" s="2">
        <v>1.9E-3</v>
      </c>
      <c r="P11219" s="2">
        <v>1.6999999999999999E-3</v>
      </c>
      <c r="Q11219">
        <v>2468</v>
      </c>
    </row>
    <row r="11221" spans="1:17" x14ac:dyDescent="0.35">
      <c r="A11221" s="1" t="s">
        <v>2577</v>
      </c>
    </row>
    <row r="11222" spans="1:17" x14ac:dyDescent="0.35">
      <c r="A11222" t="s">
        <v>219</v>
      </c>
      <c r="B11222" t="s">
        <v>301</v>
      </c>
      <c r="C11222" t="s">
        <v>540</v>
      </c>
      <c r="D11222" t="s">
        <v>277</v>
      </c>
      <c r="E11222" t="s">
        <v>2566</v>
      </c>
      <c r="F11222" t="s">
        <v>2543</v>
      </c>
      <c r="G11222" t="s">
        <v>2567</v>
      </c>
      <c r="H11222" t="s">
        <v>2181</v>
      </c>
      <c r="I11222" t="s">
        <v>2546</v>
      </c>
      <c r="J11222" t="s">
        <v>2568</v>
      </c>
      <c r="K11222" t="s">
        <v>2569</v>
      </c>
      <c r="L11222" t="s">
        <v>2570</v>
      </c>
      <c r="M11222" t="s">
        <v>2571</v>
      </c>
      <c r="N11222" t="s">
        <v>2549</v>
      </c>
      <c r="O11222" t="s">
        <v>2572</v>
      </c>
      <c r="P11222" t="s">
        <v>282</v>
      </c>
      <c r="Q11222" t="s">
        <v>226</v>
      </c>
    </row>
    <row r="11223" spans="1:17" x14ac:dyDescent="0.35">
      <c r="A11223" t="s">
        <v>227</v>
      </c>
      <c r="B11223" t="s">
        <v>263</v>
      </c>
      <c r="C11223" s="2">
        <v>0.95979999999999999</v>
      </c>
      <c r="D11223" s="2">
        <v>2E-3</v>
      </c>
      <c r="E11223" s="2">
        <v>1.0699999999999999E-2</v>
      </c>
      <c r="F11223" s="2">
        <v>9.7999999999999997E-3</v>
      </c>
      <c r="G11223" s="2">
        <v>1.03E-2</v>
      </c>
      <c r="H11223" s="2">
        <v>6.1999999999999998E-3</v>
      </c>
      <c r="I11223" s="2">
        <v>5.5999999999999999E-3</v>
      </c>
      <c r="J11223" s="2">
        <v>5.0000000000000001E-4</v>
      </c>
      <c r="K11223" s="2">
        <v>1.37E-2</v>
      </c>
      <c r="L11223" s="2">
        <v>4.5999999999999999E-3</v>
      </c>
      <c r="M11223" s="2">
        <v>4.5999999999999999E-3</v>
      </c>
      <c r="N11223" s="2">
        <v>5.0000000000000001E-4</v>
      </c>
      <c r="P11223" s="2">
        <v>2.3E-3</v>
      </c>
      <c r="Q11223">
        <v>584</v>
      </c>
    </row>
    <row r="11224" spans="1:17" x14ac:dyDescent="0.35">
      <c r="A11224" t="s">
        <v>227</v>
      </c>
      <c r="B11224" t="s">
        <v>262</v>
      </c>
      <c r="C11224" s="2">
        <v>0.92030000000000001</v>
      </c>
      <c r="D11224" s="2">
        <v>1.7500000000000002E-2</v>
      </c>
      <c r="E11224" s="2">
        <v>1.21E-2</v>
      </c>
      <c r="F11224" s="2">
        <v>1.54E-2</v>
      </c>
      <c r="G11224" s="2">
        <v>1.0500000000000001E-2</v>
      </c>
      <c r="H11224" s="2">
        <v>8.3000000000000001E-3</v>
      </c>
      <c r="I11224" s="2">
        <v>6.4000000000000003E-3</v>
      </c>
      <c r="J11224" s="2">
        <v>9.2999999999999992E-3</v>
      </c>
      <c r="K11224" s="2">
        <v>4.7999999999999996E-3</v>
      </c>
      <c r="L11224" s="2">
        <v>5.1999999999999998E-3</v>
      </c>
      <c r="M11224" s="2">
        <v>6.9999999999999999E-4</v>
      </c>
      <c r="N11224" s="2">
        <v>1.5E-3</v>
      </c>
      <c r="O11224" s="2">
        <v>5.0000000000000001E-4</v>
      </c>
      <c r="P11224" s="2">
        <v>5.0000000000000001E-4</v>
      </c>
      <c r="Q11224">
        <v>1157</v>
      </c>
    </row>
    <row r="11225" spans="1:17" x14ac:dyDescent="0.35">
      <c r="A11225" t="s">
        <v>227</v>
      </c>
      <c r="B11225" t="s">
        <v>261</v>
      </c>
      <c r="C11225" s="2">
        <v>0.93869999999999998</v>
      </c>
      <c r="D11225" s="2">
        <v>1.5599999999999999E-2</v>
      </c>
      <c r="E11225" s="2">
        <v>0.01</v>
      </c>
      <c r="F11225" s="2">
        <v>6.6E-3</v>
      </c>
      <c r="G11225" s="2">
        <v>2.7000000000000001E-3</v>
      </c>
      <c r="H11225" s="2">
        <v>4.8999999999999998E-3</v>
      </c>
      <c r="I11225" s="2">
        <v>6.7000000000000002E-3</v>
      </c>
      <c r="J11225" s="2">
        <v>2.7000000000000001E-3</v>
      </c>
      <c r="K11225" s="2">
        <v>4.0000000000000002E-4</v>
      </c>
      <c r="L11225" s="2">
        <v>2E-3</v>
      </c>
      <c r="M11225" s="2">
        <v>4.4000000000000003E-3</v>
      </c>
      <c r="N11225" s="2">
        <v>5.4999999999999997E-3</v>
      </c>
      <c r="O11225" s="2">
        <v>3.8999999999999998E-3</v>
      </c>
      <c r="P11225" s="2">
        <v>2.5999999999999999E-3</v>
      </c>
      <c r="Q11225">
        <v>1059</v>
      </c>
    </row>
    <row r="11226" spans="1:17" x14ac:dyDescent="0.35">
      <c r="A11226" s="3" t="s">
        <v>227</v>
      </c>
      <c r="B11226" s="3" t="s">
        <v>232</v>
      </c>
      <c r="C11226" s="4">
        <v>1</v>
      </c>
      <c r="D11226" s="5"/>
      <c r="E11226" s="5"/>
      <c r="F11226" s="5"/>
      <c r="G11226" s="5"/>
      <c r="H11226" s="5"/>
      <c r="I11226" s="5"/>
      <c r="J11226" s="5"/>
      <c r="K11226" s="5"/>
      <c r="L11226" s="5"/>
      <c r="M11226" s="5"/>
      <c r="N11226" s="5"/>
      <c r="O11226" s="5"/>
      <c r="P11226" s="5"/>
      <c r="Q11226" s="5" t="s">
        <v>434</v>
      </c>
    </row>
    <row r="11227" spans="1:17" x14ac:dyDescent="0.35">
      <c r="A11227" t="s">
        <v>228</v>
      </c>
      <c r="B11227" t="s">
        <v>228</v>
      </c>
      <c r="C11227" s="2">
        <v>0.93640000000000001</v>
      </c>
      <c r="D11227" s="2">
        <v>1.35E-2</v>
      </c>
      <c r="E11227" s="2">
        <v>1.09E-2</v>
      </c>
      <c r="F11227" s="2">
        <v>1.0500000000000001E-2</v>
      </c>
      <c r="G11227" s="2">
        <v>7.1000000000000004E-3</v>
      </c>
      <c r="H11227" s="2">
        <v>6.4000000000000003E-3</v>
      </c>
      <c r="I11227" s="2">
        <v>6.4000000000000003E-3</v>
      </c>
      <c r="J11227" s="2">
        <v>4.7000000000000002E-3</v>
      </c>
      <c r="K11227" s="2">
        <v>4.7000000000000002E-3</v>
      </c>
      <c r="L11227" s="2">
        <v>3.7000000000000002E-3</v>
      </c>
      <c r="M11227" s="2">
        <v>3.0999999999999999E-3</v>
      </c>
      <c r="N11227" s="2">
        <v>3.0000000000000001E-3</v>
      </c>
      <c r="O11227" s="2">
        <v>1.9E-3</v>
      </c>
      <c r="P11227" s="2">
        <v>1.6999999999999999E-3</v>
      </c>
      <c r="Q11227">
        <v>2802</v>
      </c>
    </row>
    <row r="11229" spans="1:17" x14ac:dyDescent="0.35">
      <c r="A11229" s="1" t="s">
        <v>2578</v>
      </c>
    </row>
    <row r="11230" spans="1:17" x14ac:dyDescent="0.35">
      <c r="A11230" t="s">
        <v>219</v>
      </c>
      <c r="B11230" t="s">
        <v>301</v>
      </c>
      <c r="C11230" t="s">
        <v>540</v>
      </c>
      <c r="D11230" t="s">
        <v>277</v>
      </c>
      <c r="E11230" t="s">
        <v>2566</v>
      </c>
      <c r="F11230" t="s">
        <v>2543</v>
      </c>
      <c r="G11230" t="s">
        <v>2567</v>
      </c>
      <c r="H11230" t="s">
        <v>2181</v>
      </c>
      <c r="I11230" t="s">
        <v>2546</v>
      </c>
      <c r="J11230" t="s">
        <v>2568</v>
      </c>
      <c r="K11230" t="s">
        <v>2569</v>
      </c>
      <c r="L11230" t="s">
        <v>2570</v>
      </c>
      <c r="M11230" t="s">
        <v>2571</v>
      </c>
      <c r="N11230" t="s">
        <v>2549</v>
      </c>
      <c r="O11230" t="s">
        <v>2572</v>
      </c>
      <c r="P11230" t="s">
        <v>282</v>
      </c>
      <c r="Q11230" t="s">
        <v>226</v>
      </c>
    </row>
    <row r="11231" spans="1:17" x14ac:dyDescent="0.35">
      <c r="A11231" t="s">
        <v>227</v>
      </c>
      <c r="B11231" t="s">
        <v>248</v>
      </c>
      <c r="C11231" s="2">
        <v>0.94030000000000002</v>
      </c>
      <c r="D11231" s="2">
        <v>1.46E-2</v>
      </c>
      <c r="E11231" s="2">
        <v>1.23E-2</v>
      </c>
      <c r="F11231" s="2">
        <v>1.17E-2</v>
      </c>
      <c r="G11231" s="2">
        <v>8.3000000000000001E-3</v>
      </c>
      <c r="H11231" s="2">
        <v>5.7999999999999996E-3</v>
      </c>
      <c r="I11231" s="2">
        <v>3.2000000000000002E-3</v>
      </c>
      <c r="J11231" s="2">
        <v>9.9000000000000008E-3</v>
      </c>
      <c r="K11231" s="2">
        <v>2.9999999999999997E-4</v>
      </c>
      <c r="L11231" s="2">
        <v>1.9E-3</v>
      </c>
      <c r="P11231" s="2">
        <v>4.1999999999999997E-3</v>
      </c>
      <c r="Q11231">
        <v>792</v>
      </c>
    </row>
    <row r="11232" spans="1:17" x14ac:dyDescent="0.35">
      <c r="A11232" t="s">
        <v>227</v>
      </c>
      <c r="B11232" t="s">
        <v>249</v>
      </c>
      <c r="C11232" s="2">
        <v>0.90700000000000003</v>
      </c>
      <c r="D11232" s="2">
        <v>1.4999999999999999E-2</v>
      </c>
      <c r="E11232" s="2">
        <v>2.1399999999999999E-2</v>
      </c>
      <c r="F11232" s="2">
        <v>7.9000000000000008E-3</v>
      </c>
      <c r="G11232" s="2">
        <v>1.0800000000000001E-2</v>
      </c>
      <c r="H11232" s="2">
        <v>1.6799999999999999E-2</v>
      </c>
      <c r="I11232" s="2">
        <v>6.7000000000000002E-3</v>
      </c>
      <c r="J11232" s="2">
        <v>6.7000000000000002E-3</v>
      </c>
      <c r="K11232" s="2">
        <v>1.41E-2</v>
      </c>
      <c r="L11232" s="2">
        <v>8.6999999999999994E-3</v>
      </c>
      <c r="M11232" s="2">
        <v>1.4800000000000001E-2</v>
      </c>
      <c r="N11232" s="2">
        <v>4.3E-3</v>
      </c>
      <c r="O11232" s="2">
        <v>8.6E-3</v>
      </c>
      <c r="P11232" s="2">
        <v>1E-3</v>
      </c>
      <c r="Q11232">
        <v>539</v>
      </c>
    </row>
    <row r="11233" spans="1:17" x14ac:dyDescent="0.35">
      <c r="A11233" t="s">
        <v>227</v>
      </c>
      <c r="B11233" t="s">
        <v>247</v>
      </c>
      <c r="C11233" s="2">
        <v>0.94510000000000005</v>
      </c>
      <c r="D11233" s="2">
        <v>1.23E-2</v>
      </c>
      <c r="E11233" s="2">
        <v>6.3E-3</v>
      </c>
      <c r="F11233" s="2">
        <v>1.0800000000000001E-2</v>
      </c>
      <c r="G11233" s="2">
        <v>5.1000000000000004E-3</v>
      </c>
      <c r="H11233" s="2">
        <v>2.8999999999999998E-3</v>
      </c>
      <c r="I11233" s="2">
        <v>7.9000000000000008E-3</v>
      </c>
      <c r="J11233" s="2">
        <v>1.2999999999999999E-3</v>
      </c>
      <c r="K11233" s="2">
        <v>3.5999999999999999E-3</v>
      </c>
      <c r="L11233" s="2">
        <v>2.8E-3</v>
      </c>
      <c r="M11233" s="2">
        <v>2.9999999999999997E-4</v>
      </c>
      <c r="N11233" s="2">
        <v>4.0000000000000001E-3</v>
      </c>
      <c r="O11233" s="2">
        <v>4.0000000000000002E-4</v>
      </c>
      <c r="P11233" s="2">
        <v>6.9999999999999999E-4</v>
      </c>
      <c r="Q11233">
        <v>1471</v>
      </c>
    </row>
    <row r="11234" spans="1:17" x14ac:dyDescent="0.35">
      <c r="A11234" t="s">
        <v>228</v>
      </c>
      <c r="B11234" t="s">
        <v>228</v>
      </c>
      <c r="C11234" s="2">
        <v>0.93640000000000001</v>
      </c>
      <c r="D11234" s="2">
        <v>1.35E-2</v>
      </c>
      <c r="E11234" s="2">
        <v>1.09E-2</v>
      </c>
      <c r="F11234" s="2">
        <v>1.0500000000000001E-2</v>
      </c>
      <c r="G11234" s="2">
        <v>7.1000000000000004E-3</v>
      </c>
      <c r="H11234" s="2">
        <v>6.4000000000000003E-3</v>
      </c>
      <c r="I11234" s="2">
        <v>6.4000000000000003E-3</v>
      </c>
      <c r="J11234" s="2">
        <v>4.7000000000000002E-3</v>
      </c>
      <c r="K11234" s="2">
        <v>4.7000000000000002E-3</v>
      </c>
      <c r="L11234" s="2">
        <v>3.7000000000000002E-3</v>
      </c>
      <c r="M11234" s="2">
        <v>3.0999999999999999E-3</v>
      </c>
      <c r="N11234" s="2">
        <v>3.0000000000000001E-3</v>
      </c>
      <c r="O11234" s="2">
        <v>1.9E-3</v>
      </c>
      <c r="P11234" s="2">
        <v>1.6999999999999999E-3</v>
      </c>
      <c r="Q11234">
        <v>2802</v>
      </c>
    </row>
    <row r="11236" spans="1:17" x14ac:dyDescent="0.35">
      <c r="A11236" s="1" t="s">
        <v>2579</v>
      </c>
    </row>
    <row r="11237" spans="1:17" x14ac:dyDescent="0.35">
      <c r="A11237" t="s">
        <v>219</v>
      </c>
      <c r="B11237" t="s">
        <v>301</v>
      </c>
      <c r="C11237" t="s">
        <v>540</v>
      </c>
      <c r="D11237" t="s">
        <v>277</v>
      </c>
      <c r="E11237" t="s">
        <v>2566</v>
      </c>
      <c r="F11237" t="s">
        <v>2543</v>
      </c>
      <c r="G11237" t="s">
        <v>2567</v>
      </c>
      <c r="H11237" t="s">
        <v>2181</v>
      </c>
      <c r="I11237" t="s">
        <v>2546</v>
      </c>
      <c r="J11237" t="s">
        <v>2568</v>
      </c>
      <c r="K11237" t="s">
        <v>2569</v>
      </c>
      <c r="L11237" t="s">
        <v>2570</v>
      </c>
      <c r="M11237" t="s">
        <v>2571</v>
      </c>
      <c r="N11237" t="s">
        <v>2549</v>
      </c>
      <c r="O11237" t="s">
        <v>2572</v>
      </c>
      <c r="P11237" t="s">
        <v>282</v>
      </c>
      <c r="Q11237" t="s">
        <v>226</v>
      </c>
    </row>
    <row r="11238" spans="1:17" x14ac:dyDescent="0.35">
      <c r="A11238" t="s">
        <v>227</v>
      </c>
      <c r="B11238" t="s">
        <v>245</v>
      </c>
      <c r="C11238" s="2">
        <v>0.93430000000000002</v>
      </c>
      <c r="D11238" s="2">
        <v>1.2699999999999999E-2</v>
      </c>
      <c r="E11238" s="2">
        <v>1.0500000000000001E-2</v>
      </c>
      <c r="F11238" s="2">
        <v>6.7000000000000002E-3</v>
      </c>
      <c r="G11238" s="2">
        <v>1.23E-2</v>
      </c>
      <c r="H11238" s="2">
        <v>4.1999999999999997E-3</v>
      </c>
      <c r="I11238" s="2">
        <v>1.5100000000000001E-2</v>
      </c>
      <c r="J11238" s="2">
        <v>2.9999999999999997E-4</v>
      </c>
      <c r="K11238" s="2">
        <v>9.5999999999999992E-3</v>
      </c>
      <c r="L11238" s="2">
        <v>8.6E-3</v>
      </c>
      <c r="M11238" s="2">
        <v>3.3E-3</v>
      </c>
      <c r="N11238" s="2">
        <v>4.1000000000000003E-3</v>
      </c>
      <c r="P11238" s="2">
        <v>6.9999999999999999E-4</v>
      </c>
      <c r="Q11238">
        <v>781</v>
      </c>
    </row>
    <row r="11239" spans="1:17" x14ac:dyDescent="0.35">
      <c r="A11239" t="s">
        <v>227</v>
      </c>
      <c r="B11239" t="s">
        <v>244</v>
      </c>
      <c r="C11239" s="2">
        <v>0.93720000000000003</v>
      </c>
      <c r="D11239" s="2">
        <v>1.38E-2</v>
      </c>
      <c r="E11239" s="2">
        <v>1.11E-2</v>
      </c>
      <c r="F11239" s="2">
        <v>1.2E-2</v>
      </c>
      <c r="G11239" s="2">
        <v>5.0000000000000001E-3</v>
      </c>
      <c r="H11239" s="2">
        <v>7.3000000000000001E-3</v>
      </c>
      <c r="I11239" s="2">
        <v>2.8999999999999998E-3</v>
      </c>
      <c r="J11239" s="2">
        <v>6.4000000000000003E-3</v>
      </c>
      <c r="K11239" s="2">
        <v>2.8E-3</v>
      </c>
      <c r="L11239" s="2">
        <v>1.8E-3</v>
      </c>
      <c r="M11239" s="2">
        <v>3.0000000000000001E-3</v>
      </c>
      <c r="N11239" s="2">
        <v>2.5999999999999999E-3</v>
      </c>
      <c r="O11239" s="2">
        <v>2.5999999999999999E-3</v>
      </c>
      <c r="P11239" s="2">
        <v>2.2000000000000001E-3</v>
      </c>
      <c r="Q11239">
        <v>2021</v>
      </c>
    </row>
    <row r="11240" spans="1:17" x14ac:dyDescent="0.35">
      <c r="A11240" t="s">
        <v>228</v>
      </c>
      <c r="B11240" t="s">
        <v>228</v>
      </c>
      <c r="C11240" s="2">
        <v>0.93640000000000001</v>
      </c>
      <c r="D11240" s="2">
        <v>1.35E-2</v>
      </c>
      <c r="E11240" s="2">
        <v>1.09E-2</v>
      </c>
      <c r="F11240" s="2">
        <v>1.0500000000000001E-2</v>
      </c>
      <c r="G11240" s="2">
        <v>7.1000000000000004E-3</v>
      </c>
      <c r="H11240" s="2">
        <v>6.4000000000000003E-3</v>
      </c>
      <c r="I11240" s="2">
        <v>6.4000000000000003E-3</v>
      </c>
      <c r="J11240" s="2">
        <v>4.7000000000000002E-3</v>
      </c>
      <c r="K11240" s="2">
        <v>4.7000000000000002E-3</v>
      </c>
      <c r="L11240" s="2">
        <v>3.7000000000000002E-3</v>
      </c>
      <c r="M11240" s="2">
        <v>3.0999999999999999E-3</v>
      </c>
      <c r="N11240" s="2">
        <v>3.0000000000000001E-3</v>
      </c>
      <c r="O11240" s="2">
        <v>1.9E-3</v>
      </c>
      <c r="P11240" s="2">
        <v>1.6999999999999999E-3</v>
      </c>
      <c r="Q11240">
        <v>2802</v>
      </c>
    </row>
    <row r="11242" spans="1:17" x14ac:dyDescent="0.35">
      <c r="A11242" s="1" t="s">
        <v>2580</v>
      </c>
    </row>
    <row r="11243" spans="1:17" x14ac:dyDescent="0.35">
      <c r="A11243" t="s">
        <v>219</v>
      </c>
      <c r="B11243" t="s">
        <v>301</v>
      </c>
      <c r="C11243" t="s">
        <v>540</v>
      </c>
      <c r="D11243" t="s">
        <v>277</v>
      </c>
      <c r="E11243" t="s">
        <v>2566</v>
      </c>
      <c r="F11243" t="s">
        <v>2543</v>
      </c>
      <c r="G11243" t="s">
        <v>2567</v>
      </c>
      <c r="H11243" t="s">
        <v>2181</v>
      </c>
      <c r="I11243" t="s">
        <v>2546</v>
      </c>
      <c r="J11243" t="s">
        <v>2568</v>
      </c>
      <c r="K11243" t="s">
        <v>2569</v>
      </c>
      <c r="L11243" t="s">
        <v>2570</v>
      </c>
      <c r="M11243" t="s">
        <v>2571</v>
      </c>
      <c r="N11243" t="s">
        <v>2549</v>
      </c>
      <c r="O11243" t="s">
        <v>2572</v>
      </c>
      <c r="P11243" t="s">
        <v>282</v>
      </c>
      <c r="Q11243" t="s">
        <v>226</v>
      </c>
    </row>
    <row r="11244" spans="1:17" x14ac:dyDescent="0.35">
      <c r="A11244" t="s">
        <v>227</v>
      </c>
      <c r="B11244" t="s">
        <v>259</v>
      </c>
      <c r="C11244" s="2">
        <v>0.98929999999999996</v>
      </c>
      <c r="E11244" s="2">
        <v>2.8E-3</v>
      </c>
      <c r="G11244" s="2">
        <v>6.3E-3</v>
      </c>
      <c r="H11244" s="2">
        <v>1.6000000000000001E-3</v>
      </c>
      <c r="J11244" s="2">
        <v>6.3E-3</v>
      </c>
      <c r="K11244" s="2">
        <v>6.3E-3</v>
      </c>
      <c r="Q11244">
        <v>69</v>
      </c>
    </row>
    <row r="11245" spans="1:17" x14ac:dyDescent="0.35">
      <c r="A11245" t="s">
        <v>227</v>
      </c>
      <c r="B11245" t="s">
        <v>257</v>
      </c>
      <c r="C11245" s="2">
        <v>0.91610000000000003</v>
      </c>
      <c r="D11245" s="2">
        <v>2.46E-2</v>
      </c>
      <c r="E11245" s="2">
        <v>1.8100000000000002E-2</v>
      </c>
      <c r="F11245" s="2">
        <v>1.11E-2</v>
      </c>
      <c r="H11245" s="2">
        <v>4.7999999999999996E-3</v>
      </c>
      <c r="I11245" s="2">
        <v>8.6999999999999994E-3</v>
      </c>
      <c r="J11245" s="2">
        <v>4.0000000000000002E-4</v>
      </c>
      <c r="M11245" s="2">
        <v>1.04E-2</v>
      </c>
      <c r="N11245" s="2">
        <v>1.6999999999999999E-3</v>
      </c>
      <c r="O11245" s="2">
        <v>0.01</v>
      </c>
      <c r="P11245" s="2">
        <v>4.4000000000000003E-3</v>
      </c>
      <c r="Q11245">
        <v>404</v>
      </c>
    </row>
    <row r="11246" spans="1:17" x14ac:dyDescent="0.35">
      <c r="A11246" t="s">
        <v>227</v>
      </c>
      <c r="B11246" t="s">
        <v>256</v>
      </c>
      <c r="C11246" s="2">
        <v>0.94259999999999999</v>
      </c>
      <c r="D11246" s="2">
        <v>1.2500000000000001E-2</v>
      </c>
      <c r="E11246" s="2">
        <v>8.5000000000000006E-3</v>
      </c>
      <c r="F11246" s="2">
        <v>1.1599999999999999E-2</v>
      </c>
      <c r="G11246" s="2">
        <v>8.0999999999999996E-3</v>
      </c>
      <c r="H11246" s="2">
        <v>5.1000000000000004E-3</v>
      </c>
      <c r="I11246" s="2">
        <v>3.8E-3</v>
      </c>
      <c r="J11246" s="2">
        <v>6.7999999999999996E-3</v>
      </c>
      <c r="K11246" s="2">
        <v>6.6E-3</v>
      </c>
      <c r="L11246" s="2">
        <v>3.3999999999999998E-3</v>
      </c>
      <c r="M11246" s="2">
        <v>1.8E-3</v>
      </c>
      <c r="N11246" s="2">
        <v>3.5999999999999999E-3</v>
      </c>
      <c r="O11246" s="2">
        <v>2.9999999999999997E-4</v>
      </c>
      <c r="P11246" s="2">
        <v>8.9999999999999998E-4</v>
      </c>
      <c r="Q11246">
        <v>1796</v>
      </c>
    </row>
    <row r="11247" spans="1:17" x14ac:dyDescent="0.35">
      <c r="A11247" s="3" t="s">
        <v>227</v>
      </c>
      <c r="B11247" s="3" t="s">
        <v>232</v>
      </c>
      <c r="C11247" s="4">
        <v>0.91810000000000003</v>
      </c>
      <c r="D11247" s="5"/>
      <c r="E11247" s="5"/>
      <c r="F11247" s="5"/>
      <c r="G11247" s="5"/>
      <c r="H11247" s="5"/>
      <c r="I11247" s="4">
        <v>8.1900000000000001E-2</v>
      </c>
      <c r="J11247" s="5"/>
      <c r="K11247" s="5"/>
      <c r="L11247" s="5"/>
      <c r="M11247" s="5"/>
      <c r="N11247" s="5"/>
      <c r="O11247" s="5"/>
      <c r="P11247" s="5"/>
      <c r="Q11247" s="5" t="s">
        <v>307</v>
      </c>
    </row>
    <row r="11248" spans="1:17" x14ac:dyDescent="0.35">
      <c r="A11248" t="s">
        <v>227</v>
      </c>
      <c r="B11248" t="s">
        <v>258</v>
      </c>
      <c r="C11248" s="2">
        <v>0.9254</v>
      </c>
      <c r="D11248" s="2">
        <v>7.1000000000000004E-3</v>
      </c>
      <c r="E11248" s="2">
        <v>1.46E-2</v>
      </c>
      <c r="F11248" s="2">
        <v>6.3E-3</v>
      </c>
      <c r="G11248" s="2">
        <v>1.0699999999999999E-2</v>
      </c>
      <c r="H11248" s="2">
        <v>1.47E-2</v>
      </c>
      <c r="I11248" s="2">
        <v>1.5100000000000001E-2</v>
      </c>
      <c r="J11248" s="2">
        <v>2.0000000000000001E-4</v>
      </c>
      <c r="K11248" s="2">
        <v>1.6999999999999999E-3</v>
      </c>
      <c r="L11248" s="2">
        <v>9.9000000000000008E-3</v>
      </c>
      <c r="M11248" s="2">
        <v>5.9999999999999995E-4</v>
      </c>
      <c r="N11248" s="2">
        <v>2.3E-3</v>
      </c>
      <c r="P11248" s="2">
        <v>2.5000000000000001E-3</v>
      </c>
      <c r="Q11248">
        <v>522</v>
      </c>
    </row>
    <row r="11249" spans="1:17" x14ac:dyDescent="0.35">
      <c r="A11249" t="s">
        <v>228</v>
      </c>
      <c r="B11249" t="s">
        <v>228</v>
      </c>
      <c r="C11249" s="2">
        <v>0.93640000000000001</v>
      </c>
      <c r="D11249" s="2">
        <v>1.35E-2</v>
      </c>
      <c r="E11249" s="2">
        <v>1.09E-2</v>
      </c>
      <c r="F11249" s="2">
        <v>1.0500000000000001E-2</v>
      </c>
      <c r="G11249" s="2">
        <v>7.1000000000000004E-3</v>
      </c>
      <c r="H11249" s="2">
        <v>6.4000000000000003E-3</v>
      </c>
      <c r="I11249" s="2">
        <v>6.4000000000000003E-3</v>
      </c>
      <c r="J11249" s="2">
        <v>4.7000000000000002E-3</v>
      </c>
      <c r="K11249" s="2">
        <v>4.7000000000000002E-3</v>
      </c>
      <c r="L11249" s="2">
        <v>3.7000000000000002E-3</v>
      </c>
      <c r="M11249" s="2">
        <v>3.0999999999999999E-3</v>
      </c>
      <c r="N11249" s="2">
        <v>3.0000000000000001E-3</v>
      </c>
      <c r="O11249" s="2">
        <v>1.9E-3</v>
      </c>
      <c r="P11249" s="2">
        <v>1.6999999999999999E-3</v>
      </c>
      <c r="Q11249">
        <v>2802</v>
      </c>
    </row>
    <row r="11251" spans="1:17" x14ac:dyDescent="0.35">
      <c r="A11251" s="1" t="s">
        <v>2581</v>
      </c>
    </row>
    <row r="11252" spans="1:17" x14ac:dyDescent="0.35">
      <c r="A11252" t="s">
        <v>219</v>
      </c>
      <c r="B11252" t="s">
        <v>301</v>
      </c>
      <c r="C11252" t="s">
        <v>540</v>
      </c>
      <c r="D11252" t="s">
        <v>277</v>
      </c>
      <c r="E11252" t="s">
        <v>2566</v>
      </c>
      <c r="F11252" t="s">
        <v>2543</v>
      </c>
      <c r="G11252" t="s">
        <v>2567</v>
      </c>
      <c r="H11252" t="s">
        <v>2181</v>
      </c>
      <c r="I11252" t="s">
        <v>2546</v>
      </c>
      <c r="J11252" t="s">
        <v>2568</v>
      </c>
      <c r="K11252" t="s">
        <v>2569</v>
      </c>
      <c r="L11252" t="s">
        <v>2570</v>
      </c>
      <c r="M11252" t="s">
        <v>2571</v>
      </c>
      <c r="N11252" t="s">
        <v>2549</v>
      </c>
      <c r="O11252" t="s">
        <v>2572</v>
      </c>
      <c r="P11252" t="s">
        <v>282</v>
      </c>
      <c r="Q11252" t="s">
        <v>226</v>
      </c>
    </row>
    <row r="11253" spans="1:17" x14ac:dyDescent="0.35">
      <c r="A11253" t="s">
        <v>227</v>
      </c>
      <c r="B11253" t="s">
        <v>343</v>
      </c>
      <c r="C11253" s="2">
        <v>0.91610000000000003</v>
      </c>
      <c r="D11253" s="2">
        <v>2.46E-2</v>
      </c>
      <c r="E11253" s="2">
        <v>1.8100000000000002E-2</v>
      </c>
      <c r="F11253" s="2">
        <v>1.11E-2</v>
      </c>
      <c r="H11253" s="2">
        <v>4.7999999999999996E-3</v>
      </c>
      <c r="I11253" s="2">
        <v>8.6999999999999994E-3</v>
      </c>
      <c r="J11253" s="2">
        <v>4.0000000000000002E-4</v>
      </c>
      <c r="M11253" s="2">
        <v>1.04E-2</v>
      </c>
      <c r="N11253" s="2">
        <v>1.6999999999999999E-3</v>
      </c>
      <c r="O11253" s="2">
        <v>0.01</v>
      </c>
      <c r="P11253" s="2">
        <v>4.4000000000000003E-3</v>
      </c>
      <c r="Q11253">
        <v>404</v>
      </c>
    </row>
    <row r="11254" spans="1:17" x14ac:dyDescent="0.35">
      <c r="A11254" t="s">
        <v>227</v>
      </c>
      <c r="B11254" t="s">
        <v>344</v>
      </c>
      <c r="C11254" s="2">
        <v>0.9405</v>
      </c>
      <c r="D11254" s="2">
        <v>1.12E-2</v>
      </c>
      <c r="E11254" s="2">
        <v>9.4000000000000004E-3</v>
      </c>
      <c r="F11254" s="2">
        <v>1.04E-2</v>
      </c>
      <c r="G11254" s="2">
        <v>8.5000000000000006E-3</v>
      </c>
      <c r="H11254" s="2">
        <v>6.7000000000000002E-3</v>
      </c>
      <c r="I11254" s="2">
        <v>5.8999999999999999E-3</v>
      </c>
      <c r="J11254" s="2">
        <v>5.5999999999999999E-3</v>
      </c>
      <c r="K11254" s="2">
        <v>5.7000000000000002E-3</v>
      </c>
      <c r="L11254" s="2">
        <v>4.4999999999999997E-3</v>
      </c>
      <c r="M11254" s="2">
        <v>1.6000000000000001E-3</v>
      </c>
      <c r="N11254" s="2">
        <v>3.3E-3</v>
      </c>
      <c r="O11254" s="2">
        <v>2.0000000000000001E-4</v>
      </c>
      <c r="P11254" s="2">
        <v>1.1999999999999999E-3</v>
      </c>
      <c r="Q11254">
        <v>2398</v>
      </c>
    </row>
    <row r="11255" spans="1:17" x14ac:dyDescent="0.35">
      <c r="A11255" t="s">
        <v>228</v>
      </c>
      <c r="B11255" t="s">
        <v>228</v>
      </c>
      <c r="C11255" s="2">
        <v>0.93640000000000001</v>
      </c>
      <c r="D11255" s="2">
        <v>1.35E-2</v>
      </c>
      <c r="E11255" s="2">
        <v>1.09E-2</v>
      </c>
      <c r="F11255" s="2">
        <v>1.0500000000000001E-2</v>
      </c>
      <c r="G11255" s="2">
        <v>7.1000000000000004E-3</v>
      </c>
      <c r="H11255" s="2">
        <v>6.4000000000000003E-3</v>
      </c>
      <c r="I11255" s="2">
        <v>6.4000000000000003E-3</v>
      </c>
      <c r="J11255" s="2">
        <v>4.7000000000000002E-3</v>
      </c>
      <c r="K11255" s="2">
        <v>4.7000000000000002E-3</v>
      </c>
      <c r="L11255" s="2">
        <v>3.7000000000000002E-3</v>
      </c>
      <c r="M11255" s="2">
        <v>3.0999999999999999E-3</v>
      </c>
      <c r="N11255" s="2">
        <v>3.0000000000000001E-3</v>
      </c>
      <c r="O11255" s="2">
        <v>1.9E-3</v>
      </c>
      <c r="P11255" s="2">
        <v>1.6999999999999999E-3</v>
      </c>
      <c r="Q11255">
        <v>2802</v>
      </c>
    </row>
    <row r="11257" spans="1:17" x14ac:dyDescent="0.35">
      <c r="A11257" s="1" t="s">
        <v>2582</v>
      </c>
    </row>
    <row r="11258" spans="1:17" x14ac:dyDescent="0.35">
      <c r="A11258" t="s">
        <v>219</v>
      </c>
      <c r="B11258" t="s">
        <v>301</v>
      </c>
      <c r="C11258" t="s">
        <v>540</v>
      </c>
      <c r="D11258" t="s">
        <v>277</v>
      </c>
      <c r="E11258" t="s">
        <v>2566</v>
      </c>
      <c r="F11258" t="s">
        <v>2543</v>
      </c>
      <c r="G11258" t="s">
        <v>2567</v>
      </c>
      <c r="H11258" t="s">
        <v>2181</v>
      </c>
      <c r="I11258" t="s">
        <v>2546</v>
      </c>
      <c r="J11258" t="s">
        <v>2568</v>
      </c>
      <c r="K11258" t="s">
        <v>2569</v>
      </c>
      <c r="L11258" t="s">
        <v>2570</v>
      </c>
      <c r="M11258" t="s">
        <v>2571</v>
      </c>
      <c r="N11258" t="s">
        <v>2549</v>
      </c>
      <c r="O11258" t="s">
        <v>2572</v>
      </c>
      <c r="P11258" t="s">
        <v>282</v>
      </c>
      <c r="Q11258" t="s">
        <v>226</v>
      </c>
    </row>
    <row r="11259" spans="1:17" x14ac:dyDescent="0.35">
      <c r="A11259" t="s">
        <v>227</v>
      </c>
      <c r="B11259" t="s">
        <v>346</v>
      </c>
      <c r="C11259" s="2">
        <v>0.93799999999999994</v>
      </c>
      <c r="D11259" s="2">
        <v>1.4E-2</v>
      </c>
      <c r="E11259" s="2">
        <v>9.4999999999999998E-3</v>
      </c>
      <c r="F11259" s="2">
        <v>1.03E-2</v>
      </c>
      <c r="G11259" s="2">
        <v>7.7000000000000002E-3</v>
      </c>
      <c r="H11259" s="2">
        <v>6.1000000000000004E-3</v>
      </c>
      <c r="I11259" s="2">
        <v>6.1999999999999998E-3</v>
      </c>
      <c r="J11259" s="2">
        <v>5.3E-3</v>
      </c>
      <c r="K11259" s="2">
        <v>4.8999999999999998E-3</v>
      </c>
      <c r="L11259" s="2">
        <v>3.8999999999999998E-3</v>
      </c>
      <c r="M11259" s="2">
        <v>3.0000000000000001E-3</v>
      </c>
      <c r="N11259" s="2">
        <v>3.0000000000000001E-3</v>
      </c>
      <c r="O11259" s="2">
        <v>2.2000000000000001E-3</v>
      </c>
      <c r="P11259" s="2">
        <v>1.1999999999999999E-3</v>
      </c>
      <c r="Q11259">
        <v>1457</v>
      </c>
    </row>
    <row r="11260" spans="1:17" x14ac:dyDescent="0.35">
      <c r="A11260" t="s">
        <v>227</v>
      </c>
      <c r="B11260" t="s">
        <v>347</v>
      </c>
      <c r="C11260" s="2">
        <v>0.92</v>
      </c>
      <c r="D11260" s="2">
        <v>1.11E-2</v>
      </c>
      <c r="E11260" s="2">
        <v>2.12E-2</v>
      </c>
      <c r="F11260" s="2">
        <v>1.6799999999999999E-2</v>
      </c>
      <c r="G11260" s="2">
        <v>3.7000000000000002E-3</v>
      </c>
      <c r="H11260" s="2">
        <v>0.01</v>
      </c>
      <c r="I11260" s="2">
        <v>3.3E-3</v>
      </c>
      <c r="J11260" s="2">
        <v>3.7000000000000002E-3</v>
      </c>
      <c r="K11260" s="2">
        <v>2.8999999999999998E-3</v>
      </c>
      <c r="L11260" s="2">
        <v>4.1000000000000003E-3</v>
      </c>
      <c r="M11260" s="2">
        <v>3.0999999999999999E-3</v>
      </c>
      <c r="N11260" s="2">
        <v>4.1999999999999997E-3</v>
      </c>
      <c r="P11260" s="2">
        <v>8.9999999999999993E-3</v>
      </c>
      <c r="Q11260">
        <v>583</v>
      </c>
    </row>
    <row r="11261" spans="1:17" x14ac:dyDescent="0.35">
      <c r="A11261" t="s">
        <v>227</v>
      </c>
      <c r="B11261" t="s">
        <v>348</v>
      </c>
      <c r="C11261" s="2">
        <v>0.92810000000000004</v>
      </c>
      <c r="D11261" s="2">
        <v>0.01</v>
      </c>
      <c r="E11261" s="2">
        <v>1.9400000000000001E-2</v>
      </c>
      <c r="F11261" s="2">
        <v>1.0200000000000001E-2</v>
      </c>
      <c r="G11261" s="2">
        <v>3.5000000000000001E-3</v>
      </c>
      <c r="H11261" s="2">
        <v>7.7000000000000002E-3</v>
      </c>
      <c r="I11261" s="2">
        <v>9.5999999999999992E-3</v>
      </c>
      <c r="K11261" s="2">
        <v>4.4000000000000003E-3</v>
      </c>
      <c r="L11261" s="2">
        <v>1.9E-3</v>
      </c>
      <c r="M11261" s="2">
        <v>3.3E-3</v>
      </c>
      <c r="N11261" s="2">
        <v>2.3999999999999998E-3</v>
      </c>
      <c r="P11261" s="2">
        <v>4.1999999999999997E-3</v>
      </c>
      <c r="Q11261">
        <v>762</v>
      </c>
    </row>
    <row r="11262" spans="1:17" x14ac:dyDescent="0.35">
      <c r="A11262" t="s">
        <v>228</v>
      </c>
      <c r="B11262" t="s">
        <v>228</v>
      </c>
      <c r="C11262" s="2">
        <v>0.93640000000000001</v>
      </c>
      <c r="D11262" s="2">
        <v>1.35E-2</v>
      </c>
      <c r="E11262" s="2">
        <v>1.09E-2</v>
      </c>
      <c r="F11262" s="2">
        <v>1.0500000000000001E-2</v>
      </c>
      <c r="G11262" s="2">
        <v>7.1000000000000004E-3</v>
      </c>
      <c r="H11262" s="2">
        <v>6.4000000000000003E-3</v>
      </c>
      <c r="I11262" s="2">
        <v>6.4000000000000003E-3</v>
      </c>
      <c r="J11262" s="2">
        <v>4.7000000000000002E-3</v>
      </c>
      <c r="K11262" s="2">
        <v>4.7000000000000002E-3</v>
      </c>
      <c r="L11262" s="2">
        <v>3.7000000000000002E-3</v>
      </c>
      <c r="M11262" s="2">
        <v>3.0999999999999999E-3</v>
      </c>
      <c r="N11262" s="2">
        <v>3.0000000000000001E-3</v>
      </c>
      <c r="O11262" s="2">
        <v>1.9E-3</v>
      </c>
      <c r="P11262" s="2">
        <v>1.6999999999999999E-3</v>
      </c>
      <c r="Q11262">
        <v>2802</v>
      </c>
    </row>
    <row r="11264" spans="1:17" x14ac:dyDescent="0.35">
      <c r="A11264" s="1" t="s">
        <v>2583</v>
      </c>
    </row>
    <row r="11265" spans="1:17" x14ac:dyDescent="0.35">
      <c r="A11265" t="s">
        <v>219</v>
      </c>
      <c r="B11265" t="s">
        <v>301</v>
      </c>
      <c r="C11265" t="s">
        <v>540</v>
      </c>
      <c r="D11265" t="s">
        <v>277</v>
      </c>
      <c r="E11265" t="s">
        <v>2566</v>
      </c>
      <c r="F11265" t="s">
        <v>2543</v>
      </c>
      <c r="G11265" t="s">
        <v>2567</v>
      </c>
      <c r="H11265" t="s">
        <v>2181</v>
      </c>
      <c r="I11265" t="s">
        <v>2546</v>
      </c>
      <c r="J11265" t="s">
        <v>2568</v>
      </c>
      <c r="K11265" t="s">
        <v>2569</v>
      </c>
      <c r="L11265" t="s">
        <v>2570</v>
      </c>
      <c r="M11265" t="s">
        <v>2571</v>
      </c>
      <c r="N11265" t="s">
        <v>2549</v>
      </c>
      <c r="O11265" t="s">
        <v>2572</v>
      </c>
      <c r="P11265" t="s">
        <v>282</v>
      </c>
      <c r="Q11265" t="s">
        <v>226</v>
      </c>
    </row>
    <row r="11266" spans="1:17" x14ac:dyDescent="0.35">
      <c r="A11266" t="s">
        <v>227</v>
      </c>
      <c r="B11266" t="s">
        <v>251</v>
      </c>
      <c r="C11266" s="2">
        <v>0.93720000000000003</v>
      </c>
      <c r="D11266" s="2">
        <v>1.38E-2</v>
      </c>
      <c r="E11266" s="2">
        <v>1.11E-2</v>
      </c>
      <c r="F11266" s="2">
        <v>1.2E-2</v>
      </c>
      <c r="G11266" s="2">
        <v>5.0000000000000001E-3</v>
      </c>
      <c r="H11266" s="2">
        <v>7.3000000000000001E-3</v>
      </c>
      <c r="I11266" s="2">
        <v>2.8999999999999998E-3</v>
      </c>
      <c r="J11266" s="2">
        <v>6.4000000000000003E-3</v>
      </c>
      <c r="K11266" s="2">
        <v>2.8E-3</v>
      </c>
      <c r="L11266" s="2">
        <v>1.8E-3</v>
      </c>
      <c r="M11266" s="2">
        <v>3.0000000000000001E-3</v>
      </c>
      <c r="N11266" s="2">
        <v>2.5999999999999999E-3</v>
      </c>
      <c r="O11266" s="2">
        <v>2.5999999999999999E-3</v>
      </c>
      <c r="P11266" s="2">
        <v>2.2000000000000001E-3</v>
      </c>
      <c r="Q11266">
        <v>2021</v>
      </c>
    </row>
    <row r="11267" spans="1:17" x14ac:dyDescent="0.35">
      <c r="A11267" t="s">
        <v>227</v>
      </c>
      <c r="B11267" t="s">
        <v>252</v>
      </c>
      <c r="C11267" s="2">
        <v>0.94669999999999999</v>
      </c>
      <c r="D11267" s="2">
        <v>1.1599999999999999E-2</v>
      </c>
      <c r="E11267" s="2">
        <v>6.4000000000000003E-3</v>
      </c>
      <c r="F11267" s="2">
        <v>4.3E-3</v>
      </c>
      <c r="G11267" s="2">
        <v>8.3999999999999995E-3</v>
      </c>
      <c r="H11267" s="2">
        <v>5.1999999999999998E-3</v>
      </c>
      <c r="I11267" s="2">
        <v>1.1299999999999999E-2</v>
      </c>
      <c r="J11267" s="2">
        <v>4.0000000000000002E-4</v>
      </c>
      <c r="K11267" s="2">
        <v>1.18E-2</v>
      </c>
      <c r="L11267" s="2">
        <v>1.0699999999999999E-2</v>
      </c>
      <c r="M11267" s="2">
        <v>4.1000000000000003E-3</v>
      </c>
      <c r="N11267" s="2">
        <v>3.5999999999999999E-3</v>
      </c>
      <c r="Q11267">
        <v>619</v>
      </c>
    </row>
    <row r="11268" spans="1:17" x14ac:dyDescent="0.35">
      <c r="A11268" t="s">
        <v>227</v>
      </c>
      <c r="B11268" t="s">
        <v>253</v>
      </c>
      <c r="C11268" s="2">
        <v>0.88019999999999998</v>
      </c>
      <c r="D11268" s="2">
        <v>1.7899999999999999E-2</v>
      </c>
      <c r="E11268" s="2">
        <v>2.87E-2</v>
      </c>
      <c r="F11268" s="2">
        <v>1.72E-2</v>
      </c>
      <c r="G11268" s="2">
        <v>2.9899999999999999E-2</v>
      </c>
      <c r="I11268" s="2">
        <v>3.2199999999999999E-2</v>
      </c>
      <c r="N11268" s="2">
        <v>6.0000000000000001E-3</v>
      </c>
      <c r="P11268" s="2">
        <v>1.6999999999999999E-3</v>
      </c>
      <c r="Q11268">
        <v>153</v>
      </c>
    </row>
    <row r="11269" spans="1:17" x14ac:dyDescent="0.35">
      <c r="A11269" s="3" t="s">
        <v>227</v>
      </c>
      <c r="B11269" s="3" t="s">
        <v>254</v>
      </c>
      <c r="C11269" s="4">
        <v>0.94199999999999995</v>
      </c>
      <c r="D11269" s="5"/>
      <c r="E11269" s="5"/>
      <c r="F11269" s="5"/>
      <c r="G11269" s="5"/>
      <c r="H11269" s="5"/>
      <c r="I11269" s="5"/>
      <c r="J11269" s="5"/>
      <c r="K11269" s="5"/>
      <c r="L11269" s="5"/>
      <c r="M11269" s="5"/>
      <c r="N11269" s="5"/>
      <c r="O11269" s="5"/>
      <c r="P11269" s="4">
        <v>5.8000000000000003E-2</v>
      </c>
      <c r="Q11269" s="5" t="s">
        <v>515</v>
      </c>
    </row>
    <row r="11270" spans="1:17" x14ac:dyDescent="0.35">
      <c r="A11270" t="s">
        <v>228</v>
      </c>
      <c r="B11270" t="s">
        <v>228</v>
      </c>
      <c r="C11270" s="2">
        <v>0.93640000000000001</v>
      </c>
      <c r="D11270" s="2">
        <v>1.35E-2</v>
      </c>
      <c r="E11270" s="2">
        <v>1.09E-2</v>
      </c>
      <c r="F11270" s="2">
        <v>1.0500000000000001E-2</v>
      </c>
      <c r="G11270" s="2">
        <v>7.1000000000000004E-3</v>
      </c>
      <c r="H11270" s="2">
        <v>6.4000000000000003E-3</v>
      </c>
      <c r="I11270" s="2">
        <v>6.4000000000000003E-3</v>
      </c>
      <c r="J11270" s="2">
        <v>4.7000000000000002E-3</v>
      </c>
      <c r="K11270" s="2">
        <v>4.7000000000000002E-3</v>
      </c>
      <c r="L11270" s="2">
        <v>3.7000000000000002E-3</v>
      </c>
      <c r="M11270" s="2">
        <v>3.0999999999999999E-3</v>
      </c>
      <c r="N11270" s="2">
        <v>3.0000000000000001E-3</v>
      </c>
      <c r="O11270" s="2">
        <v>1.9E-3</v>
      </c>
      <c r="P11270" s="2">
        <v>1.6999999999999999E-3</v>
      </c>
      <c r="Q11270">
        <v>2802</v>
      </c>
    </row>
    <row r="11272" spans="1:17" x14ac:dyDescent="0.35">
      <c r="A11272" s="1" t="s">
        <v>2584</v>
      </c>
    </row>
    <row r="11273" spans="1:17" x14ac:dyDescent="0.35">
      <c r="A11273" t="s">
        <v>219</v>
      </c>
      <c r="B11273" t="s">
        <v>301</v>
      </c>
      <c r="C11273" t="s">
        <v>540</v>
      </c>
      <c r="D11273" t="s">
        <v>277</v>
      </c>
      <c r="E11273" t="s">
        <v>2566</v>
      </c>
      <c r="F11273" t="s">
        <v>2543</v>
      </c>
      <c r="G11273" t="s">
        <v>2567</v>
      </c>
      <c r="H11273" t="s">
        <v>2181</v>
      </c>
      <c r="I11273" t="s">
        <v>2546</v>
      </c>
      <c r="J11273" t="s">
        <v>2568</v>
      </c>
      <c r="K11273" t="s">
        <v>2569</v>
      </c>
      <c r="L11273" t="s">
        <v>2570</v>
      </c>
      <c r="M11273" t="s">
        <v>2571</v>
      </c>
      <c r="N11273" t="s">
        <v>2549</v>
      </c>
      <c r="O11273" t="s">
        <v>2572</v>
      </c>
      <c r="P11273" t="s">
        <v>282</v>
      </c>
      <c r="Q11273" t="s">
        <v>226</v>
      </c>
    </row>
    <row r="11274" spans="1:17" x14ac:dyDescent="0.35">
      <c r="A11274" t="s">
        <v>227</v>
      </c>
      <c r="B11274" t="s">
        <v>1335</v>
      </c>
      <c r="C11274" s="2">
        <v>0.96020000000000005</v>
      </c>
      <c r="D11274" s="2">
        <v>1.2E-2</v>
      </c>
      <c r="E11274" s="2">
        <v>8.5000000000000006E-3</v>
      </c>
      <c r="F11274" s="2">
        <v>7.3000000000000001E-3</v>
      </c>
      <c r="G11274" s="2">
        <v>6.4000000000000003E-3</v>
      </c>
      <c r="H11274" s="2">
        <v>4.1999999999999997E-3</v>
      </c>
      <c r="I11274" s="2">
        <v>6.4999999999999997E-3</v>
      </c>
      <c r="J11274" s="2">
        <v>8.9999999999999998E-4</v>
      </c>
      <c r="K11274" s="2">
        <v>3.3999999999999998E-3</v>
      </c>
      <c r="L11274" s="2">
        <v>4.5999999999999999E-3</v>
      </c>
      <c r="M11274" s="2">
        <v>2.8999999999999998E-3</v>
      </c>
      <c r="N11274" s="2">
        <v>2.9999999999999997E-4</v>
      </c>
      <c r="P11274" s="2">
        <v>3.0000000000000001E-3</v>
      </c>
      <c r="Q11274">
        <v>842</v>
      </c>
    </row>
    <row r="11275" spans="1:17" x14ac:dyDescent="0.35">
      <c r="A11275" s="3" t="s">
        <v>227</v>
      </c>
      <c r="B11275" s="3" t="s">
        <v>1336</v>
      </c>
      <c r="C11275" s="4">
        <v>1</v>
      </c>
      <c r="D11275" s="5"/>
      <c r="E11275" s="5"/>
      <c r="F11275" s="5"/>
      <c r="G11275" s="5"/>
      <c r="H11275" s="5"/>
      <c r="I11275" s="5"/>
      <c r="J11275" s="5"/>
      <c r="K11275" s="5"/>
      <c r="L11275" s="5"/>
      <c r="M11275" s="5"/>
      <c r="N11275" s="5"/>
      <c r="O11275" s="5"/>
      <c r="P11275" s="5"/>
      <c r="Q11275" s="5" t="s">
        <v>434</v>
      </c>
    </row>
    <row r="11276" spans="1:17" x14ac:dyDescent="0.35">
      <c r="A11276" t="s">
        <v>227</v>
      </c>
      <c r="B11276" t="s">
        <v>1337</v>
      </c>
      <c r="C11276" s="2">
        <v>0.92430000000000001</v>
      </c>
      <c r="D11276" s="2">
        <v>1.4200000000000001E-2</v>
      </c>
      <c r="E11276" s="2">
        <v>1.21E-2</v>
      </c>
      <c r="F11276" s="2">
        <v>1.21E-2</v>
      </c>
      <c r="G11276" s="2">
        <v>7.4999999999999997E-3</v>
      </c>
      <c r="H11276" s="2">
        <v>7.4999999999999997E-3</v>
      </c>
      <c r="I11276" s="2">
        <v>6.3E-3</v>
      </c>
      <c r="J11276" s="2">
        <v>6.6E-3</v>
      </c>
      <c r="K11276" s="2">
        <v>5.4000000000000003E-3</v>
      </c>
      <c r="L11276" s="2">
        <v>3.3E-3</v>
      </c>
      <c r="M11276" s="2">
        <v>3.0999999999999999E-3</v>
      </c>
      <c r="N11276" s="2">
        <v>4.3E-3</v>
      </c>
      <c r="O11276" s="2">
        <v>2.8E-3</v>
      </c>
      <c r="P11276" s="2">
        <v>1.1000000000000001E-3</v>
      </c>
      <c r="Q11276">
        <v>1958</v>
      </c>
    </row>
    <row r="11277" spans="1:17" x14ac:dyDescent="0.35">
      <c r="A11277" t="s">
        <v>228</v>
      </c>
      <c r="B11277" t="s">
        <v>228</v>
      </c>
      <c r="C11277" s="2">
        <v>0.93640000000000001</v>
      </c>
      <c r="D11277" s="2">
        <v>1.35E-2</v>
      </c>
      <c r="E11277" s="2">
        <v>1.09E-2</v>
      </c>
      <c r="F11277" s="2">
        <v>1.0500000000000001E-2</v>
      </c>
      <c r="G11277" s="2">
        <v>7.1000000000000004E-3</v>
      </c>
      <c r="H11277" s="2">
        <v>6.4000000000000003E-3</v>
      </c>
      <c r="I11277" s="2">
        <v>6.4000000000000003E-3</v>
      </c>
      <c r="J11277" s="2">
        <v>4.7000000000000002E-3</v>
      </c>
      <c r="K11277" s="2">
        <v>4.7000000000000002E-3</v>
      </c>
      <c r="L11277" s="2">
        <v>3.7000000000000002E-3</v>
      </c>
      <c r="M11277" s="2">
        <v>3.0999999999999999E-3</v>
      </c>
      <c r="N11277" s="2">
        <v>3.0000000000000001E-3</v>
      </c>
      <c r="O11277" s="2">
        <v>1.9E-3</v>
      </c>
      <c r="P11277" s="2">
        <v>1.6999999999999999E-3</v>
      </c>
      <c r="Q11277">
        <v>2802</v>
      </c>
    </row>
    <row r="11279" spans="1:17" x14ac:dyDescent="0.35">
      <c r="A11279" s="1" t="s">
        <v>2585</v>
      </c>
    </row>
    <row r="11280" spans="1:17" x14ac:dyDescent="0.35">
      <c r="A11280" t="s">
        <v>219</v>
      </c>
      <c r="B11280" t="s">
        <v>301</v>
      </c>
      <c r="C11280" t="s">
        <v>540</v>
      </c>
      <c r="D11280" t="s">
        <v>277</v>
      </c>
      <c r="E11280" t="s">
        <v>2566</v>
      </c>
      <c r="F11280" t="s">
        <v>2543</v>
      </c>
      <c r="G11280" t="s">
        <v>2567</v>
      </c>
      <c r="H11280" t="s">
        <v>2181</v>
      </c>
      <c r="I11280" t="s">
        <v>2546</v>
      </c>
      <c r="J11280" t="s">
        <v>2568</v>
      </c>
      <c r="K11280" t="s">
        <v>2569</v>
      </c>
      <c r="L11280" t="s">
        <v>2570</v>
      </c>
      <c r="M11280" t="s">
        <v>2571</v>
      </c>
      <c r="N11280" t="s">
        <v>2549</v>
      </c>
      <c r="O11280" t="s">
        <v>2572</v>
      </c>
      <c r="P11280" t="s">
        <v>282</v>
      </c>
      <c r="Q11280" t="s">
        <v>226</v>
      </c>
    </row>
    <row r="11281" spans="1:18" x14ac:dyDescent="0.35">
      <c r="A11281" t="s">
        <v>227</v>
      </c>
      <c r="B11281" t="s">
        <v>1339</v>
      </c>
      <c r="C11281" s="2">
        <v>0.88239999999999996</v>
      </c>
      <c r="D11281" s="2">
        <v>1.1999999999999999E-3</v>
      </c>
      <c r="E11281" s="2">
        <v>4.1000000000000003E-3</v>
      </c>
      <c r="H11281" s="2">
        <v>0.01</v>
      </c>
      <c r="I11281" s="2">
        <v>2.8400000000000002E-2</v>
      </c>
      <c r="N11281" s="2">
        <v>7.3800000000000004E-2</v>
      </c>
      <c r="Q11281">
        <v>51</v>
      </c>
    </row>
    <row r="11282" spans="1:18" x14ac:dyDescent="0.35">
      <c r="A11282" t="s">
        <v>227</v>
      </c>
      <c r="B11282" t="s">
        <v>1340</v>
      </c>
      <c r="C11282" s="2">
        <v>0.94359999999999999</v>
      </c>
      <c r="D11282" s="2">
        <v>3.8999999999999998E-3</v>
      </c>
      <c r="E11282" s="2">
        <v>7.7999999999999996E-3</v>
      </c>
      <c r="F11282" s="2">
        <v>8.6E-3</v>
      </c>
      <c r="G11282" s="2">
        <v>1.5100000000000001E-2</v>
      </c>
      <c r="H11282" s="2">
        <v>5.3E-3</v>
      </c>
      <c r="I11282" s="2">
        <v>7.4999999999999997E-3</v>
      </c>
      <c r="J11282" s="2">
        <v>1.5E-3</v>
      </c>
      <c r="K11282" s="2">
        <v>7.9000000000000008E-3</v>
      </c>
      <c r="L11282" s="2">
        <v>5.9999999999999995E-4</v>
      </c>
      <c r="M11282" s="2">
        <v>7.4999999999999997E-3</v>
      </c>
      <c r="N11282" s="2">
        <v>4.0000000000000002E-4</v>
      </c>
      <c r="O11282" s="2">
        <v>7.0000000000000001E-3</v>
      </c>
      <c r="P11282" s="2">
        <v>8.0000000000000004E-4</v>
      </c>
      <c r="Q11282">
        <v>726</v>
      </c>
    </row>
    <row r="11283" spans="1:18" x14ac:dyDescent="0.35">
      <c r="A11283" t="s">
        <v>227</v>
      </c>
      <c r="B11283" t="s">
        <v>1341</v>
      </c>
      <c r="C11283" s="2">
        <v>0.93640000000000001</v>
      </c>
      <c r="D11283" s="2">
        <v>1.8499999999999999E-2</v>
      </c>
      <c r="E11283" s="2">
        <v>9.7999999999999997E-3</v>
      </c>
      <c r="F11283" s="2">
        <v>9.9000000000000008E-3</v>
      </c>
      <c r="G11283" s="2">
        <v>3.3E-3</v>
      </c>
      <c r="H11283" s="2">
        <v>9.4999999999999998E-3</v>
      </c>
      <c r="I11283" s="2">
        <v>7.1999999999999998E-3</v>
      </c>
      <c r="J11283" s="2">
        <v>4.1999999999999997E-3</v>
      </c>
      <c r="K11283" s="2">
        <v>2.2000000000000001E-3</v>
      </c>
      <c r="L11283" s="2">
        <v>6.1000000000000004E-3</v>
      </c>
      <c r="M11283" s="2">
        <v>2.2000000000000001E-3</v>
      </c>
      <c r="N11283" s="2">
        <v>2.3999999999999998E-3</v>
      </c>
      <c r="O11283" s="2">
        <v>4.0000000000000002E-4</v>
      </c>
      <c r="P11283" s="2">
        <v>2.2000000000000001E-3</v>
      </c>
      <c r="Q11283">
        <v>1339</v>
      </c>
    </row>
    <row r="11284" spans="1:18" x14ac:dyDescent="0.35">
      <c r="A11284" t="s">
        <v>227</v>
      </c>
      <c r="B11284" t="s">
        <v>1342</v>
      </c>
      <c r="C11284" s="2">
        <v>0.93420000000000003</v>
      </c>
      <c r="D11284" s="2">
        <v>1.35E-2</v>
      </c>
      <c r="E11284" s="2">
        <v>1.7000000000000001E-2</v>
      </c>
      <c r="F11284" s="2">
        <v>1.47E-2</v>
      </c>
      <c r="G11284" s="2">
        <v>7.7999999999999996E-3</v>
      </c>
      <c r="H11284" s="2">
        <v>4.0000000000000002E-4</v>
      </c>
      <c r="I11284" s="2">
        <v>1.4E-3</v>
      </c>
      <c r="J11284" s="2">
        <v>9.4000000000000004E-3</v>
      </c>
      <c r="K11284" s="2">
        <v>7.4999999999999997E-3</v>
      </c>
      <c r="L11284" s="2">
        <v>2.2000000000000001E-3</v>
      </c>
      <c r="M11284" s="2">
        <v>6.9999999999999999E-4</v>
      </c>
      <c r="P11284" s="2">
        <v>2E-3</v>
      </c>
      <c r="Q11284">
        <v>686</v>
      </c>
    </row>
    <row r="11285" spans="1:18" x14ac:dyDescent="0.35">
      <c r="A11285" t="s">
        <v>228</v>
      </c>
      <c r="B11285" t="s">
        <v>228</v>
      </c>
      <c r="C11285" s="2">
        <v>0.93640000000000001</v>
      </c>
      <c r="D11285" s="2">
        <v>1.35E-2</v>
      </c>
      <c r="E11285" s="2">
        <v>1.09E-2</v>
      </c>
      <c r="F11285" s="2">
        <v>1.0500000000000001E-2</v>
      </c>
      <c r="G11285" s="2">
        <v>7.1000000000000004E-3</v>
      </c>
      <c r="H11285" s="2">
        <v>6.4000000000000003E-3</v>
      </c>
      <c r="I11285" s="2">
        <v>6.4000000000000003E-3</v>
      </c>
      <c r="J11285" s="2">
        <v>4.7000000000000002E-3</v>
      </c>
      <c r="K11285" s="2">
        <v>4.7000000000000002E-3</v>
      </c>
      <c r="L11285" s="2">
        <v>3.7000000000000002E-3</v>
      </c>
      <c r="M11285" s="2">
        <v>3.0999999999999999E-3</v>
      </c>
      <c r="N11285" s="2">
        <v>3.0000000000000001E-3</v>
      </c>
      <c r="O11285" s="2">
        <v>1.9E-3</v>
      </c>
      <c r="P11285" s="2">
        <v>1.6999999999999999E-3</v>
      </c>
      <c r="Q11285">
        <v>2802</v>
      </c>
    </row>
    <row r="11287" spans="1:18" x14ac:dyDescent="0.35">
      <c r="A11287" s="1" t="s">
        <v>2586</v>
      </c>
    </row>
    <row r="11288" spans="1:18" x14ac:dyDescent="0.35">
      <c r="A11288" t="s">
        <v>219</v>
      </c>
      <c r="B11288" t="s">
        <v>301</v>
      </c>
      <c r="C11288" t="s">
        <v>325</v>
      </c>
      <c r="D11288" t="s">
        <v>540</v>
      </c>
      <c r="E11288" t="s">
        <v>277</v>
      </c>
      <c r="F11288" t="s">
        <v>2566</v>
      </c>
      <c r="G11288" t="s">
        <v>2543</v>
      </c>
      <c r="H11288" t="s">
        <v>2567</v>
      </c>
      <c r="I11288" t="s">
        <v>2181</v>
      </c>
      <c r="J11288" t="s">
        <v>2546</v>
      </c>
      <c r="K11288" t="s">
        <v>2568</v>
      </c>
      <c r="L11288" t="s">
        <v>2569</v>
      </c>
      <c r="M11288" t="s">
        <v>2570</v>
      </c>
      <c r="N11288" t="s">
        <v>2571</v>
      </c>
      <c r="O11288" t="s">
        <v>2549</v>
      </c>
      <c r="P11288" t="s">
        <v>2572</v>
      </c>
      <c r="Q11288" t="s">
        <v>282</v>
      </c>
      <c r="R11288" t="s">
        <v>226</v>
      </c>
    </row>
    <row r="11289" spans="1:18" x14ac:dyDescent="0.35">
      <c r="A11289" s="3" t="s">
        <v>227</v>
      </c>
      <c r="B11289" s="3" t="s">
        <v>1335</v>
      </c>
      <c r="C11289" s="3" t="s">
        <v>1339</v>
      </c>
      <c r="D11289" s="4">
        <v>0.97270000000000001</v>
      </c>
      <c r="E11289" s="5"/>
      <c r="F11289" s="5"/>
      <c r="G11289" s="5"/>
      <c r="H11289" s="5"/>
      <c r="I11289" s="4">
        <v>2.7300000000000001E-2</v>
      </c>
      <c r="J11289" s="5"/>
      <c r="K11289" s="5"/>
      <c r="L11289" s="5"/>
      <c r="M11289" s="5"/>
      <c r="N11289" s="5"/>
      <c r="O11289" s="5"/>
      <c r="P11289" s="5"/>
      <c r="Q11289" s="5"/>
      <c r="R11289" s="5" t="s">
        <v>427</v>
      </c>
    </row>
    <row r="11290" spans="1:18" x14ac:dyDescent="0.35">
      <c r="A11290" t="s">
        <v>227</v>
      </c>
      <c r="B11290" t="s">
        <v>1335</v>
      </c>
      <c r="C11290" t="s">
        <v>1340</v>
      </c>
      <c r="D11290" s="2">
        <v>0.97540000000000004</v>
      </c>
      <c r="E11290" s="2">
        <v>8.9999999999999998E-4</v>
      </c>
      <c r="F11290" s="2">
        <v>2.2000000000000001E-3</v>
      </c>
      <c r="G11290" s="2">
        <v>1.46E-2</v>
      </c>
      <c r="H11290" s="2">
        <v>1.2200000000000001E-2</v>
      </c>
      <c r="I11290" s="2">
        <v>2.2000000000000001E-3</v>
      </c>
      <c r="J11290" s="2">
        <v>4.1000000000000003E-3</v>
      </c>
      <c r="K11290" s="2">
        <v>3.5000000000000001E-3</v>
      </c>
      <c r="L11290" s="2">
        <v>1.1999999999999999E-3</v>
      </c>
      <c r="M11290" s="2">
        <v>2.9999999999999997E-4</v>
      </c>
      <c r="N11290" s="2">
        <v>2.9999999999999997E-4</v>
      </c>
      <c r="Q11290" s="2">
        <v>1.1999999999999999E-3</v>
      </c>
      <c r="R11290">
        <v>250</v>
      </c>
    </row>
    <row r="11291" spans="1:18" x14ac:dyDescent="0.35">
      <c r="A11291" t="s">
        <v>227</v>
      </c>
      <c r="B11291" t="s">
        <v>1335</v>
      </c>
      <c r="C11291" t="s">
        <v>1341</v>
      </c>
      <c r="D11291" s="2">
        <v>0.9446</v>
      </c>
      <c r="E11291" s="2">
        <v>2.0899999999999998E-2</v>
      </c>
      <c r="F11291" s="2">
        <v>1.18E-2</v>
      </c>
      <c r="G11291" s="2">
        <v>5.4999999999999997E-3</v>
      </c>
      <c r="H11291" s="2">
        <v>5.8999999999999999E-3</v>
      </c>
      <c r="I11291" s="2">
        <v>5.7000000000000002E-3</v>
      </c>
      <c r="J11291" s="2">
        <v>1.0500000000000001E-2</v>
      </c>
      <c r="L11291" s="2">
        <v>5.8999999999999999E-3</v>
      </c>
      <c r="M11291" s="2">
        <v>8.6999999999999994E-3</v>
      </c>
      <c r="N11291" s="2">
        <v>5.0000000000000001E-3</v>
      </c>
      <c r="O11291" s="2">
        <v>5.9999999999999995E-4</v>
      </c>
      <c r="Q11291" s="2">
        <v>4.7000000000000002E-3</v>
      </c>
      <c r="R11291">
        <v>415</v>
      </c>
    </row>
    <row r="11292" spans="1:18" x14ac:dyDescent="0.35">
      <c r="A11292" t="s">
        <v>227</v>
      </c>
      <c r="B11292" t="s">
        <v>1335</v>
      </c>
      <c r="C11292" t="s">
        <v>1342</v>
      </c>
      <c r="D11292" s="2">
        <v>0.98009999999999997</v>
      </c>
      <c r="E11292" s="2">
        <v>4.5999999999999999E-3</v>
      </c>
      <c r="F11292" s="2">
        <v>9.1999999999999998E-3</v>
      </c>
      <c r="G11292" s="2">
        <v>3.3999999999999998E-3</v>
      </c>
      <c r="H11292" s="2">
        <v>1.1000000000000001E-3</v>
      </c>
      <c r="N11292" s="2">
        <v>1.2999999999999999E-3</v>
      </c>
      <c r="Q11292" s="2">
        <v>1.4E-3</v>
      </c>
      <c r="R11292">
        <v>157</v>
      </c>
    </row>
    <row r="11293" spans="1:18" x14ac:dyDescent="0.35">
      <c r="A11293" s="3" t="s">
        <v>227</v>
      </c>
      <c r="B11293" s="3" t="s">
        <v>1336</v>
      </c>
      <c r="C11293" s="3" t="s">
        <v>1341</v>
      </c>
      <c r="D11293" s="4">
        <v>1</v>
      </c>
      <c r="E11293" s="5"/>
      <c r="F11293" s="5"/>
      <c r="G11293" s="5"/>
      <c r="H11293" s="5"/>
      <c r="I11293" s="5"/>
      <c r="J11293" s="5"/>
      <c r="K11293" s="5"/>
      <c r="L11293" s="5"/>
      <c r="M11293" s="5"/>
      <c r="N11293" s="5"/>
      <c r="O11293" s="5"/>
      <c r="P11293" s="5"/>
      <c r="Q11293" s="5"/>
      <c r="R11293" s="5" t="s">
        <v>434</v>
      </c>
    </row>
    <row r="11294" spans="1:18" x14ac:dyDescent="0.35">
      <c r="A11294" t="s">
        <v>227</v>
      </c>
      <c r="B11294" t="s">
        <v>1337</v>
      </c>
      <c r="C11294" t="s">
        <v>1339</v>
      </c>
      <c r="D11294" s="2">
        <v>0.83030000000000004</v>
      </c>
      <c r="E11294" s="2">
        <v>1.9E-3</v>
      </c>
      <c r="F11294" s="2">
        <v>6.4999999999999997E-3</v>
      </c>
      <c r="J11294" s="2">
        <v>4.48E-2</v>
      </c>
      <c r="O11294" s="2">
        <v>0.11650000000000001</v>
      </c>
      <c r="R11294">
        <v>31</v>
      </c>
    </row>
    <row r="11295" spans="1:18" x14ac:dyDescent="0.35">
      <c r="A11295" t="s">
        <v>227</v>
      </c>
      <c r="B11295" t="s">
        <v>1337</v>
      </c>
      <c r="C11295" t="s">
        <v>1340</v>
      </c>
      <c r="D11295" s="2">
        <v>0.92569999999999997</v>
      </c>
      <c r="E11295" s="2">
        <v>5.5999999999999999E-3</v>
      </c>
      <c r="F11295" s="2">
        <v>1.0999999999999999E-2</v>
      </c>
      <c r="G11295" s="2">
        <v>5.1999999999999998E-3</v>
      </c>
      <c r="H11295" s="2">
        <v>1.67E-2</v>
      </c>
      <c r="I11295" s="2">
        <v>7.0000000000000001E-3</v>
      </c>
      <c r="J11295" s="2">
        <v>9.4000000000000004E-3</v>
      </c>
      <c r="K11295" s="2">
        <v>5.0000000000000001E-4</v>
      </c>
      <c r="L11295" s="2">
        <v>1.1599999999999999E-2</v>
      </c>
      <c r="M11295" s="2">
        <v>6.9999999999999999E-4</v>
      </c>
      <c r="N11295" s="2">
        <v>1.1599999999999999E-2</v>
      </c>
      <c r="O11295" s="2">
        <v>5.9999999999999995E-4</v>
      </c>
      <c r="P11295" s="2">
        <v>1.0999999999999999E-2</v>
      </c>
      <c r="Q11295" s="2">
        <v>5.9999999999999995E-4</v>
      </c>
      <c r="R11295">
        <v>476</v>
      </c>
    </row>
    <row r="11296" spans="1:18" x14ac:dyDescent="0.35">
      <c r="A11296" t="s">
        <v>227</v>
      </c>
      <c r="B11296" t="s">
        <v>1337</v>
      </c>
      <c r="C11296" t="s">
        <v>1341</v>
      </c>
      <c r="D11296" s="2">
        <v>0.93179999999999996</v>
      </c>
      <c r="E11296" s="2">
        <v>1.7399999999999999E-2</v>
      </c>
      <c r="F11296" s="2">
        <v>8.8000000000000005E-3</v>
      </c>
      <c r="G11296" s="2">
        <v>1.23E-2</v>
      </c>
      <c r="H11296" s="2">
        <v>2E-3</v>
      </c>
      <c r="I11296" s="2">
        <v>1.1599999999999999E-2</v>
      </c>
      <c r="J11296" s="2">
        <v>5.4999999999999997E-3</v>
      </c>
      <c r="K11296" s="2">
        <v>6.4999999999999997E-3</v>
      </c>
      <c r="L11296" s="2">
        <v>2.9999999999999997E-4</v>
      </c>
      <c r="M11296" s="2">
        <v>4.7000000000000002E-3</v>
      </c>
      <c r="N11296" s="2">
        <v>6.9999999999999999E-4</v>
      </c>
      <c r="O11296" s="2">
        <v>3.3999999999999998E-3</v>
      </c>
      <c r="P11296" s="2">
        <v>5.9999999999999995E-4</v>
      </c>
      <c r="Q11296" s="2">
        <v>8.9999999999999998E-4</v>
      </c>
      <c r="R11296">
        <v>922</v>
      </c>
    </row>
    <row r="11297" spans="1:19" x14ac:dyDescent="0.35">
      <c r="A11297" t="s">
        <v>227</v>
      </c>
      <c r="B11297" t="s">
        <v>1337</v>
      </c>
      <c r="C11297" t="s">
        <v>1342</v>
      </c>
      <c r="D11297" s="2">
        <v>0.91649999999999998</v>
      </c>
      <c r="E11297" s="2">
        <v>1.7000000000000001E-2</v>
      </c>
      <c r="F11297" s="2">
        <v>0.02</v>
      </c>
      <c r="G11297" s="2">
        <v>1.9E-2</v>
      </c>
      <c r="H11297" s="2">
        <v>1.04E-2</v>
      </c>
      <c r="I11297" s="2">
        <v>5.9999999999999995E-4</v>
      </c>
      <c r="J11297" s="2">
        <v>1.9E-3</v>
      </c>
      <c r="K11297" s="2">
        <v>1.2999999999999999E-2</v>
      </c>
      <c r="L11297" s="2">
        <v>1.04E-2</v>
      </c>
      <c r="M11297" s="2">
        <v>3.0999999999999999E-3</v>
      </c>
      <c r="N11297" s="2">
        <v>5.0000000000000001E-4</v>
      </c>
      <c r="Q11297" s="2">
        <v>2.2000000000000001E-3</v>
      </c>
      <c r="R11297">
        <v>529</v>
      </c>
    </row>
    <row r="11298" spans="1:19" x14ac:dyDescent="0.35">
      <c r="A11298" t="s">
        <v>228</v>
      </c>
      <c r="B11298" t="s">
        <v>228</v>
      </c>
      <c r="C11298" t="s">
        <v>228</v>
      </c>
      <c r="D11298" s="2">
        <v>0.93640000000000001</v>
      </c>
      <c r="E11298" s="2">
        <v>1.35E-2</v>
      </c>
      <c r="F11298" s="2">
        <v>1.09E-2</v>
      </c>
      <c r="G11298" s="2">
        <v>1.0500000000000001E-2</v>
      </c>
      <c r="H11298" s="2">
        <v>7.1000000000000004E-3</v>
      </c>
      <c r="I11298" s="2">
        <v>6.4000000000000003E-3</v>
      </c>
      <c r="J11298" s="2">
        <v>6.4000000000000003E-3</v>
      </c>
      <c r="K11298" s="2">
        <v>4.7000000000000002E-3</v>
      </c>
      <c r="L11298" s="2">
        <v>4.7000000000000002E-3</v>
      </c>
      <c r="M11298" s="2">
        <v>3.7000000000000002E-3</v>
      </c>
      <c r="N11298" s="2">
        <v>3.0999999999999999E-3</v>
      </c>
      <c r="O11298" s="2">
        <v>3.0000000000000001E-3</v>
      </c>
      <c r="P11298" s="2">
        <v>1.9E-3</v>
      </c>
      <c r="Q11298" s="2">
        <v>1.6999999999999999E-3</v>
      </c>
      <c r="R11298">
        <v>2802</v>
      </c>
    </row>
    <row r="11300" spans="1:19" x14ac:dyDescent="0.35">
      <c r="A11300" s="1" t="s">
        <v>2587</v>
      </c>
    </row>
    <row r="11301" spans="1:19" x14ac:dyDescent="0.35">
      <c r="A11301" t="s">
        <v>219</v>
      </c>
      <c r="B11301" t="s">
        <v>540</v>
      </c>
      <c r="C11301" t="s">
        <v>277</v>
      </c>
      <c r="D11301" t="s">
        <v>2588</v>
      </c>
      <c r="E11301" t="s">
        <v>2589</v>
      </c>
      <c r="F11301" t="s">
        <v>2590</v>
      </c>
      <c r="G11301" t="s">
        <v>2591</v>
      </c>
      <c r="H11301" t="s">
        <v>2592</v>
      </c>
      <c r="I11301" t="s">
        <v>2593</v>
      </c>
      <c r="J11301" t="s">
        <v>2594</v>
      </c>
      <c r="K11301" t="s">
        <v>2595</v>
      </c>
      <c r="L11301" t="s">
        <v>2596</v>
      </c>
      <c r="M11301" t="s">
        <v>2597</v>
      </c>
      <c r="N11301" t="s">
        <v>2598</v>
      </c>
      <c r="O11301" t="s">
        <v>2599</v>
      </c>
      <c r="P11301" t="s">
        <v>2021</v>
      </c>
      <c r="Q11301" t="s">
        <v>318</v>
      </c>
      <c r="R11301" t="s">
        <v>226</v>
      </c>
    </row>
    <row r="11302" spans="1:19" x14ac:dyDescent="0.35">
      <c r="A11302" t="s">
        <v>227</v>
      </c>
      <c r="B11302" s="2">
        <v>0.45500000000000002</v>
      </c>
      <c r="C11302" s="2">
        <v>0.31719999999999998</v>
      </c>
      <c r="D11302" s="2">
        <v>8.2000000000000003E-2</v>
      </c>
      <c r="E11302" s="2">
        <v>6.3500000000000001E-2</v>
      </c>
      <c r="F11302" s="2">
        <v>6.3E-2</v>
      </c>
      <c r="G11302" s="2">
        <v>4.1399999999999999E-2</v>
      </c>
      <c r="H11302" s="2">
        <v>4.0399999999999998E-2</v>
      </c>
      <c r="I11302" s="2">
        <v>3.9E-2</v>
      </c>
      <c r="J11302" s="2">
        <v>2.87E-2</v>
      </c>
      <c r="K11302" s="2">
        <v>2.8500000000000001E-2</v>
      </c>
      <c r="L11302" s="2">
        <v>2.8000000000000001E-2</v>
      </c>
      <c r="M11302" s="2">
        <v>2.6599999999999999E-2</v>
      </c>
      <c r="N11302" s="2">
        <v>2.5499999999999998E-2</v>
      </c>
      <c r="O11302" s="2">
        <v>2.0199999999999999E-2</v>
      </c>
      <c r="P11302" s="2">
        <v>3.8999999999999998E-3</v>
      </c>
      <c r="Q11302" s="2">
        <v>8.9999999999999998E-4</v>
      </c>
      <c r="R11302">
        <v>2810</v>
      </c>
    </row>
    <row r="11303" spans="1:19" x14ac:dyDescent="0.35">
      <c r="A11303" t="s">
        <v>228</v>
      </c>
      <c r="B11303" s="2">
        <v>0.45500000000000002</v>
      </c>
      <c r="C11303" s="2">
        <v>0.31719999999999998</v>
      </c>
      <c r="D11303" s="2">
        <v>8.2000000000000003E-2</v>
      </c>
      <c r="E11303" s="2">
        <v>6.3500000000000001E-2</v>
      </c>
      <c r="F11303" s="2">
        <v>6.3E-2</v>
      </c>
      <c r="G11303" s="2">
        <v>4.1399999999999999E-2</v>
      </c>
      <c r="H11303" s="2">
        <v>4.0399999999999998E-2</v>
      </c>
      <c r="I11303" s="2">
        <v>3.9E-2</v>
      </c>
      <c r="J11303" s="2">
        <v>2.87E-2</v>
      </c>
      <c r="K11303" s="2">
        <v>2.8500000000000001E-2</v>
      </c>
      <c r="L11303" s="2">
        <v>2.8000000000000001E-2</v>
      </c>
      <c r="M11303" s="2">
        <v>2.6599999999999999E-2</v>
      </c>
      <c r="N11303" s="2">
        <v>2.5499999999999998E-2</v>
      </c>
      <c r="O11303" s="2">
        <v>2.0199999999999999E-2</v>
      </c>
      <c r="P11303" s="2">
        <v>3.8999999999999998E-3</v>
      </c>
      <c r="Q11303" s="2">
        <v>8.9999999999999998E-4</v>
      </c>
      <c r="R11303">
        <v>2810</v>
      </c>
    </row>
    <row r="11305" spans="1:19" x14ac:dyDescent="0.35">
      <c r="A11305" s="1" t="s">
        <v>2600</v>
      </c>
    </row>
    <row r="11306" spans="1:19" x14ac:dyDescent="0.35">
      <c r="A11306" t="s">
        <v>219</v>
      </c>
      <c r="B11306" t="s">
        <v>301</v>
      </c>
      <c r="C11306" t="s">
        <v>540</v>
      </c>
      <c r="D11306" t="s">
        <v>277</v>
      </c>
      <c r="E11306" t="s">
        <v>2588</v>
      </c>
      <c r="F11306" t="s">
        <v>2589</v>
      </c>
      <c r="G11306" t="s">
        <v>2590</v>
      </c>
      <c r="H11306" t="s">
        <v>2591</v>
      </c>
      <c r="I11306" t="s">
        <v>2592</v>
      </c>
      <c r="J11306" t="s">
        <v>2593</v>
      </c>
      <c r="K11306" t="s">
        <v>2594</v>
      </c>
      <c r="L11306" t="s">
        <v>2595</v>
      </c>
      <c r="M11306" t="s">
        <v>2596</v>
      </c>
      <c r="N11306" t="s">
        <v>2597</v>
      </c>
      <c r="O11306" t="s">
        <v>2598</v>
      </c>
      <c r="P11306" t="s">
        <v>2599</v>
      </c>
      <c r="Q11306" t="s">
        <v>2021</v>
      </c>
      <c r="R11306" t="s">
        <v>318</v>
      </c>
      <c r="S11306" t="s">
        <v>226</v>
      </c>
    </row>
    <row r="11307" spans="1:19" x14ac:dyDescent="0.35">
      <c r="A11307" t="s">
        <v>227</v>
      </c>
      <c r="B11307" t="s">
        <v>238</v>
      </c>
      <c r="C11307" s="2">
        <v>0.43159999999999998</v>
      </c>
      <c r="D11307" s="2">
        <v>0.33019999999999999</v>
      </c>
      <c r="E11307" s="2">
        <v>7.3899999999999993E-2</v>
      </c>
      <c r="F11307" s="2">
        <v>7.1300000000000002E-2</v>
      </c>
      <c r="G11307" s="2">
        <v>6.1699999999999998E-2</v>
      </c>
      <c r="H11307" s="2">
        <v>5.0999999999999997E-2</v>
      </c>
      <c r="I11307" s="2">
        <v>4.9399999999999999E-2</v>
      </c>
      <c r="J11307" s="2">
        <v>4.2700000000000002E-2</v>
      </c>
      <c r="K11307" s="2">
        <v>3.61E-2</v>
      </c>
      <c r="L11307" s="2">
        <v>3.1800000000000002E-2</v>
      </c>
      <c r="M11307" s="2">
        <v>3.3700000000000001E-2</v>
      </c>
      <c r="N11307" s="2">
        <v>1.54E-2</v>
      </c>
      <c r="O11307" s="2">
        <v>2.2800000000000001E-2</v>
      </c>
      <c r="P11307" s="2">
        <v>1.9900000000000001E-2</v>
      </c>
      <c r="Q11307" s="2">
        <v>3.5000000000000001E-3</v>
      </c>
      <c r="R11307" s="2">
        <v>1.9E-3</v>
      </c>
      <c r="S11307">
        <v>1004</v>
      </c>
    </row>
    <row r="11308" spans="1:19" x14ac:dyDescent="0.35">
      <c r="A11308" t="s">
        <v>227</v>
      </c>
      <c r="B11308" t="s">
        <v>237</v>
      </c>
      <c r="C11308" s="2">
        <v>0.46860000000000002</v>
      </c>
      <c r="D11308" s="2">
        <v>0.30959999999999999</v>
      </c>
      <c r="E11308" s="2">
        <v>8.6699999999999999E-2</v>
      </c>
      <c r="F11308" s="2">
        <v>5.8999999999999997E-2</v>
      </c>
      <c r="G11308" s="2">
        <v>6.3700000000000007E-2</v>
      </c>
      <c r="H11308" s="2">
        <v>3.5799999999999998E-2</v>
      </c>
      <c r="I11308" s="2">
        <v>3.5200000000000002E-2</v>
      </c>
      <c r="J11308" s="2">
        <v>3.6900000000000002E-2</v>
      </c>
      <c r="K11308" s="2">
        <v>2.4400000000000002E-2</v>
      </c>
      <c r="L11308" s="2">
        <v>2.6599999999999999E-2</v>
      </c>
      <c r="M11308" s="2">
        <v>2.47E-2</v>
      </c>
      <c r="N11308" s="2">
        <v>3.3099999999999997E-2</v>
      </c>
      <c r="O11308" s="2">
        <v>2.7099999999999999E-2</v>
      </c>
      <c r="P11308" s="2">
        <v>2.0400000000000001E-2</v>
      </c>
      <c r="Q11308" s="2">
        <v>4.1999999999999997E-3</v>
      </c>
      <c r="R11308" s="2">
        <v>2.9999999999999997E-4</v>
      </c>
      <c r="S11308">
        <v>1806</v>
      </c>
    </row>
    <row r="11309" spans="1:19" x14ac:dyDescent="0.35">
      <c r="A11309" t="s">
        <v>228</v>
      </c>
      <c r="B11309" t="s">
        <v>228</v>
      </c>
      <c r="C11309" s="2">
        <v>0.45500000000000002</v>
      </c>
      <c r="D11309" s="2">
        <v>0.31719999999999998</v>
      </c>
      <c r="E11309" s="2">
        <v>8.2000000000000003E-2</v>
      </c>
      <c r="F11309" s="2">
        <v>6.3500000000000001E-2</v>
      </c>
      <c r="G11309" s="2">
        <v>6.3E-2</v>
      </c>
      <c r="H11309" s="2">
        <v>4.1399999999999999E-2</v>
      </c>
      <c r="I11309" s="2">
        <v>4.0399999999999998E-2</v>
      </c>
      <c r="J11309" s="2">
        <v>3.9E-2</v>
      </c>
      <c r="K11309" s="2">
        <v>2.87E-2</v>
      </c>
      <c r="L11309" s="2">
        <v>2.8500000000000001E-2</v>
      </c>
      <c r="M11309" s="2">
        <v>2.8000000000000001E-2</v>
      </c>
      <c r="N11309" s="2">
        <v>2.6599999999999999E-2</v>
      </c>
      <c r="O11309" s="2">
        <v>2.5499999999999998E-2</v>
      </c>
      <c r="P11309" s="2">
        <v>2.0199999999999999E-2</v>
      </c>
      <c r="Q11309" s="2">
        <v>3.8999999999999998E-3</v>
      </c>
      <c r="R11309" s="2">
        <v>8.9999999999999998E-4</v>
      </c>
      <c r="S11309">
        <v>2810</v>
      </c>
    </row>
    <row r="11311" spans="1:19" x14ac:dyDescent="0.35">
      <c r="A11311" s="1" t="s">
        <v>2601</v>
      </c>
    </row>
    <row r="11312" spans="1:19" x14ac:dyDescent="0.35">
      <c r="A11312" t="s">
        <v>219</v>
      </c>
      <c r="B11312" t="s">
        <v>301</v>
      </c>
      <c r="C11312" t="s">
        <v>540</v>
      </c>
      <c r="D11312" t="s">
        <v>277</v>
      </c>
      <c r="E11312" t="s">
        <v>2588</v>
      </c>
      <c r="F11312" t="s">
        <v>2589</v>
      </c>
      <c r="G11312" t="s">
        <v>2590</v>
      </c>
      <c r="H11312" t="s">
        <v>2591</v>
      </c>
      <c r="I11312" t="s">
        <v>2592</v>
      </c>
      <c r="J11312" t="s">
        <v>2593</v>
      </c>
      <c r="K11312" t="s">
        <v>2594</v>
      </c>
      <c r="L11312" t="s">
        <v>2595</v>
      </c>
      <c r="M11312" t="s">
        <v>2596</v>
      </c>
      <c r="N11312" t="s">
        <v>2597</v>
      </c>
      <c r="O11312" t="s">
        <v>2598</v>
      </c>
      <c r="P11312" t="s">
        <v>2599</v>
      </c>
      <c r="Q11312" t="s">
        <v>2021</v>
      </c>
      <c r="R11312" t="s">
        <v>318</v>
      </c>
      <c r="S11312" t="s">
        <v>226</v>
      </c>
    </row>
    <row r="11313" spans="1:19" x14ac:dyDescent="0.35">
      <c r="A11313" t="s">
        <v>227</v>
      </c>
      <c r="B11313" t="s">
        <v>235</v>
      </c>
      <c r="C11313" s="2">
        <v>0.39739999999999998</v>
      </c>
      <c r="D11313" s="2">
        <v>0.3196</v>
      </c>
      <c r="E11313" s="2">
        <v>6.6699999999999995E-2</v>
      </c>
      <c r="F11313" s="2">
        <v>7.0999999999999994E-2</v>
      </c>
      <c r="G11313" s="2">
        <v>7.9200000000000007E-2</v>
      </c>
      <c r="H11313" s="2">
        <v>3.4500000000000003E-2</v>
      </c>
      <c r="I11313" s="2">
        <v>4.9399999999999999E-2</v>
      </c>
      <c r="J11313" s="2">
        <v>4.8899999999999999E-2</v>
      </c>
      <c r="K11313" s="2">
        <v>3.7999999999999999E-2</v>
      </c>
      <c r="L11313" s="2">
        <v>3.8199999999999998E-2</v>
      </c>
      <c r="M11313" s="2">
        <v>4.7800000000000002E-2</v>
      </c>
      <c r="N11313" s="2">
        <v>2.0299999999999999E-2</v>
      </c>
      <c r="O11313" s="2">
        <v>3.1399999999999997E-2</v>
      </c>
      <c r="P11313" s="2">
        <v>3.6499999999999998E-2</v>
      </c>
      <c r="Q11313" s="2">
        <v>7.7999999999999996E-3</v>
      </c>
      <c r="R11313" s="2">
        <v>3.0000000000000001E-3</v>
      </c>
      <c r="S11313">
        <v>992</v>
      </c>
    </row>
    <row r="11314" spans="1:19" x14ac:dyDescent="0.35">
      <c r="A11314" t="s">
        <v>227</v>
      </c>
      <c r="B11314" t="s">
        <v>234</v>
      </c>
      <c r="C11314" s="2">
        <v>0.47910000000000003</v>
      </c>
      <c r="D11314" s="2">
        <v>0.31619999999999998</v>
      </c>
      <c r="E11314" s="2">
        <v>8.8400000000000006E-2</v>
      </c>
      <c r="F11314" s="2">
        <v>6.0400000000000002E-2</v>
      </c>
      <c r="G11314" s="2">
        <v>5.62E-2</v>
      </c>
      <c r="H11314" s="2">
        <v>4.4299999999999999E-2</v>
      </c>
      <c r="I11314" s="2">
        <v>3.6700000000000003E-2</v>
      </c>
      <c r="J11314" s="2">
        <v>3.49E-2</v>
      </c>
      <c r="K11314" s="2">
        <v>2.4799999999999999E-2</v>
      </c>
      <c r="L11314" s="2">
        <v>2.4500000000000001E-2</v>
      </c>
      <c r="M11314" s="2">
        <v>1.9699999999999999E-2</v>
      </c>
      <c r="N11314" s="2">
        <v>2.92E-2</v>
      </c>
      <c r="O11314" s="2">
        <v>2.3E-2</v>
      </c>
      <c r="P11314" s="2">
        <v>1.34E-2</v>
      </c>
      <c r="Q11314" s="2">
        <v>2.3E-3</v>
      </c>
      <c r="S11314">
        <v>1818</v>
      </c>
    </row>
    <row r="11315" spans="1:19" x14ac:dyDescent="0.35">
      <c r="A11315" t="s">
        <v>228</v>
      </c>
      <c r="B11315" t="s">
        <v>228</v>
      </c>
      <c r="C11315" s="2">
        <v>0.45500000000000002</v>
      </c>
      <c r="D11315" s="2">
        <v>0.31719999999999998</v>
      </c>
      <c r="E11315" s="2">
        <v>8.2000000000000003E-2</v>
      </c>
      <c r="F11315" s="2">
        <v>6.3500000000000001E-2</v>
      </c>
      <c r="G11315" s="2">
        <v>6.3E-2</v>
      </c>
      <c r="H11315" s="2">
        <v>4.1399999999999999E-2</v>
      </c>
      <c r="I11315" s="2">
        <v>4.0399999999999998E-2</v>
      </c>
      <c r="J11315" s="2">
        <v>3.9E-2</v>
      </c>
      <c r="K11315" s="2">
        <v>2.87E-2</v>
      </c>
      <c r="L11315" s="2">
        <v>2.8500000000000001E-2</v>
      </c>
      <c r="M11315" s="2">
        <v>2.8000000000000001E-2</v>
      </c>
      <c r="N11315" s="2">
        <v>2.6599999999999999E-2</v>
      </c>
      <c r="O11315" s="2">
        <v>2.5499999999999998E-2</v>
      </c>
      <c r="P11315" s="2">
        <v>2.0199999999999999E-2</v>
      </c>
      <c r="Q11315" s="2">
        <v>3.8999999999999998E-3</v>
      </c>
      <c r="R11315" s="2">
        <v>8.9999999999999998E-4</v>
      </c>
      <c r="S11315">
        <v>2810</v>
      </c>
    </row>
    <row r="11317" spans="1:19" x14ac:dyDescent="0.35">
      <c r="A11317" s="1" t="s">
        <v>2602</v>
      </c>
    </row>
    <row r="11318" spans="1:19" x14ac:dyDescent="0.35">
      <c r="A11318" t="s">
        <v>219</v>
      </c>
      <c r="B11318" t="s">
        <v>301</v>
      </c>
      <c r="C11318" t="s">
        <v>540</v>
      </c>
      <c r="D11318" t="s">
        <v>277</v>
      </c>
      <c r="E11318" t="s">
        <v>2588</v>
      </c>
      <c r="F11318" t="s">
        <v>2589</v>
      </c>
      <c r="G11318" t="s">
        <v>2590</v>
      </c>
      <c r="H11318" t="s">
        <v>2591</v>
      </c>
      <c r="I11318" t="s">
        <v>2592</v>
      </c>
      <c r="J11318" t="s">
        <v>2593</v>
      </c>
      <c r="K11318" t="s">
        <v>2594</v>
      </c>
      <c r="L11318" t="s">
        <v>2595</v>
      </c>
      <c r="M11318" t="s">
        <v>2596</v>
      </c>
      <c r="N11318" t="s">
        <v>2597</v>
      </c>
      <c r="O11318" t="s">
        <v>2598</v>
      </c>
      <c r="P11318" t="s">
        <v>2599</v>
      </c>
      <c r="Q11318" t="s">
        <v>2021</v>
      </c>
      <c r="R11318" t="s">
        <v>318</v>
      </c>
      <c r="S11318" t="s">
        <v>226</v>
      </c>
    </row>
    <row r="11319" spans="1:19" x14ac:dyDescent="0.35">
      <c r="A11319" t="s">
        <v>227</v>
      </c>
      <c r="B11319" t="s">
        <v>240</v>
      </c>
      <c r="C11319" s="2">
        <v>0.47260000000000002</v>
      </c>
      <c r="D11319" s="2">
        <v>0.2833</v>
      </c>
      <c r="E11319" s="2">
        <v>9.3299999999999994E-2</v>
      </c>
      <c r="F11319" s="2">
        <v>5.9400000000000001E-2</v>
      </c>
      <c r="G11319" s="2">
        <v>7.7299999999999994E-2</v>
      </c>
      <c r="H11319" s="2">
        <v>4.5100000000000001E-2</v>
      </c>
      <c r="I11319" s="2">
        <v>0.04</v>
      </c>
      <c r="J11319" s="2">
        <v>3.8800000000000001E-2</v>
      </c>
      <c r="K11319" s="2">
        <v>3.39E-2</v>
      </c>
      <c r="L11319" s="2">
        <v>3.0599999999999999E-2</v>
      </c>
      <c r="M11319" s="2">
        <v>3.49E-2</v>
      </c>
      <c r="N11319" s="2">
        <v>2.8799999999999999E-2</v>
      </c>
      <c r="O11319" s="2">
        <v>3.0499999999999999E-2</v>
      </c>
      <c r="P11319" s="2">
        <v>2.1600000000000001E-2</v>
      </c>
      <c r="Q11319" s="2">
        <v>6.0000000000000001E-3</v>
      </c>
      <c r="R11319" s="2">
        <v>1.4E-3</v>
      </c>
      <c r="S11319">
        <v>1755</v>
      </c>
    </row>
    <row r="11320" spans="1:19" x14ac:dyDescent="0.35">
      <c r="A11320" t="s">
        <v>227</v>
      </c>
      <c r="B11320" t="s">
        <v>241</v>
      </c>
      <c r="C11320" s="2">
        <v>0.37419999999999998</v>
      </c>
      <c r="D11320" s="2">
        <v>0.42749999999999999</v>
      </c>
      <c r="E11320" s="2">
        <v>6.4100000000000004E-2</v>
      </c>
      <c r="F11320" s="2">
        <v>7.6399999999999996E-2</v>
      </c>
      <c r="G11320" s="2">
        <v>2.07E-2</v>
      </c>
      <c r="H11320" s="2">
        <v>3.9300000000000002E-2</v>
      </c>
      <c r="I11320" s="2">
        <v>4.2099999999999999E-2</v>
      </c>
      <c r="J11320" s="2">
        <v>4.3200000000000002E-2</v>
      </c>
      <c r="K11320" s="2">
        <v>8.3000000000000001E-3</v>
      </c>
      <c r="L11320" s="2">
        <v>2.1999999999999999E-2</v>
      </c>
      <c r="M11320" s="2">
        <v>0.01</v>
      </c>
      <c r="N11320" s="2">
        <v>1.6899999999999998E-2</v>
      </c>
      <c r="O11320" s="2">
        <v>1.6500000000000001E-2</v>
      </c>
      <c r="P11320" s="2">
        <v>1.47E-2</v>
      </c>
      <c r="Q11320" s="2">
        <v>2.9999999999999997E-4</v>
      </c>
      <c r="S11320">
        <v>889</v>
      </c>
    </row>
    <row r="11321" spans="1:19" x14ac:dyDescent="0.35">
      <c r="A11321" t="s">
        <v>227</v>
      </c>
      <c r="B11321" t="s">
        <v>242</v>
      </c>
      <c r="C11321" s="2">
        <v>0.64419999999999999</v>
      </c>
      <c r="D11321" s="2">
        <v>0.15440000000000001</v>
      </c>
      <c r="E11321" s="2">
        <v>5.1900000000000002E-2</v>
      </c>
      <c r="F11321" s="2">
        <v>4.58E-2</v>
      </c>
      <c r="G11321" s="2">
        <v>0.1129</v>
      </c>
      <c r="H11321" s="2">
        <v>1.47E-2</v>
      </c>
      <c r="I11321" s="2">
        <v>3.73E-2</v>
      </c>
      <c r="J11321" s="2">
        <v>2.3E-2</v>
      </c>
      <c r="K11321" s="2">
        <v>6.8699999999999997E-2</v>
      </c>
      <c r="L11321" s="2">
        <v>3.7600000000000001E-2</v>
      </c>
      <c r="M11321" s="2">
        <v>4.1500000000000002E-2</v>
      </c>
      <c r="N11321" s="2">
        <v>4.8399999999999999E-2</v>
      </c>
      <c r="O11321" s="2">
        <v>1.7399999999999999E-2</v>
      </c>
      <c r="P11321" s="2">
        <v>3.09E-2</v>
      </c>
      <c r="S11321">
        <v>166</v>
      </c>
    </row>
    <row r="11322" spans="1:19" x14ac:dyDescent="0.35">
      <c r="A11322" t="s">
        <v>228</v>
      </c>
      <c r="B11322" t="s">
        <v>228</v>
      </c>
      <c r="C11322" s="2">
        <v>0.45500000000000002</v>
      </c>
      <c r="D11322" s="2">
        <v>0.31719999999999998</v>
      </c>
      <c r="E11322" s="2">
        <v>8.2000000000000003E-2</v>
      </c>
      <c r="F11322" s="2">
        <v>6.3500000000000001E-2</v>
      </c>
      <c r="G11322" s="2">
        <v>6.3E-2</v>
      </c>
      <c r="H11322" s="2">
        <v>4.1399999999999999E-2</v>
      </c>
      <c r="I11322" s="2">
        <v>4.0399999999999998E-2</v>
      </c>
      <c r="J11322" s="2">
        <v>3.9E-2</v>
      </c>
      <c r="K11322" s="2">
        <v>2.87E-2</v>
      </c>
      <c r="L11322" s="2">
        <v>2.8500000000000001E-2</v>
      </c>
      <c r="M11322" s="2">
        <v>2.8000000000000001E-2</v>
      </c>
      <c r="N11322" s="2">
        <v>2.6599999999999999E-2</v>
      </c>
      <c r="O11322" s="2">
        <v>2.5499999999999998E-2</v>
      </c>
      <c r="P11322" s="2">
        <v>2.0199999999999999E-2</v>
      </c>
      <c r="Q11322" s="2">
        <v>3.8999999999999998E-3</v>
      </c>
      <c r="R11322" s="2">
        <v>8.9999999999999998E-4</v>
      </c>
      <c r="S11322">
        <v>2810</v>
      </c>
    </row>
    <row r="11324" spans="1:19" x14ac:dyDescent="0.35">
      <c r="A11324" s="1" t="s">
        <v>2603</v>
      </c>
    </row>
    <row r="11325" spans="1:19" x14ac:dyDescent="0.35">
      <c r="A11325" t="s">
        <v>219</v>
      </c>
      <c r="B11325" t="s">
        <v>301</v>
      </c>
      <c r="C11325" t="s">
        <v>540</v>
      </c>
      <c r="D11325" t="s">
        <v>277</v>
      </c>
      <c r="E11325" t="s">
        <v>2588</v>
      </c>
      <c r="F11325" t="s">
        <v>2589</v>
      </c>
      <c r="G11325" t="s">
        <v>2590</v>
      </c>
      <c r="H11325" t="s">
        <v>2591</v>
      </c>
      <c r="I11325" t="s">
        <v>2592</v>
      </c>
      <c r="J11325" t="s">
        <v>2593</v>
      </c>
      <c r="K11325" t="s">
        <v>2594</v>
      </c>
      <c r="L11325" t="s">
        <v>2595</v>
      </c>
      <c r="M11325" t="s">
        <v>2596</v>
      </c>
      <c r="N11325" t="s">
        <v>2597</v>
      </c>
      <c r="O11325" t="s">
        <v>2598</v>
      </c>
      <c r="P11325" t="s">
        <v>2599</v>
      </c>
      <c r="Q11325" t="s">
        <v>2021</v>
      </c>
      <c r="R11325" t="s">
        <v>318</v>
      </c>
      <c r="S11325" t="s">
        <v>226</v>
      </c>
    </row>
    <row r="11326" spans="1:19" x14ac:dyDescent="0.35">
      <c r="A11326" t="s">
        <v>227</v>
      </c>
      <c r="B11326" t="s">
        <v>334</v>
      </c>
      <c r="C11326" s="2">
        <v>0.4259</v>
      </c>
      <c r="D11326" s="2">
        <v>0.3357</v>
      </c>
      <c r="E11326" s="2">
        <v>5.3499999999999999E-2</v>
      </c>
      <c r="F11326" s="2">
        <v>8.8300000000000003E-2</v>
      </c>
      <c r="G11326" s="2">
        <v>7.6799999999999993E-2</v>
      </c>
      <c r="H11326" s="2">
        <v>2.6700000000000002E-2</v>
      </c>
      <c r="I11326" s="2">
        <v>2.9700000000000001E-2</v>
      </c>
      <c r="J11326" s="2">
        <v>2.6800000000000001E-2</v>
      </c>
      <c r="K11326" s="2">
        <v>3.6700000000000003E-2</v>
      </c>
      <c r="L11326" s="2">
        <v>2.8299999999999999E-2</v>
      </c>
      <c r="M11326" s="2">
        <v>3.2300000000000002E-2</v>
      </c>
      <c r="N11326" s="2">
        <v>1.55E-2</v>
      </c>
      <c r="O11326" s="2">
        <v>2.01E-2</v>
      </c>
      <c r="P11326" s="2">
        <v>3.44E-2</v>
      </c>
      <c r="Q11326" s="2">
        <v>1.01E-2</v>
      </c>
      <c r="R11326" s="2">
        <v>8.0000000000000004E-4</v>
      </c>
      <c r="S11326">
        <v>625</v>
      </c>
    </row>
    <row r="11327" spans="1:19" x14ac:dyDescent="0.35">
      <c r="A11327" t="s">
        <v>227</v>
      </c>
      <c r="B11327" t="s">
        <v>335</v>
      </c>
      <c r="C11327" s="2">
        <v>0.44890000000000002</v>
      </c>
      <c r="D11327" s="2">
        <v>0.32469999999999999</v>
      </c>
      <c r="E11327" s="2">
        <v>0.1075</v>
      </c>
      <c r="F11327" s="2">
        <v>6.59E-2</v>
      </c>
      <c r="G11327" s="2">
        <v>6.4000000000000001E-2</v>
      </c>
      <c r="H11327" s="2">
        <v>4.4699999999999997E-2</v>
      </c>
      <c r="I11327" s="2">
        <v>5.5599999999999997E-2</v>
      </c>
      <c r="J11327" s="2">
        <v>4.0099999999999997E-2</v>
      </c>
      <c r="K11327" s="2">
        <v>0.03</v>
      </c>
      <c r="L11327" s="2">
        <v>3.3300000000000003E-2</v>
      </c>
      <c r="M11327" s="2">
        <v>2.6100000000000002E-2</v>
      </c>
      <c r="N11327" s="2">
        <v>4.4699999999999997E-2</v>
      </c>
      <c r="O11327" s="2">
        <v>3.73E-2</v>
      </c>
      <c r="P11327" s="2">
        <v>1.8100000000000002E-2</v>
      </c>
      <c r="Q11327" s="2">
        <v>1.4E-3</v>
      </c>
      <c r="S11327">
        <v>627</v>
      </c>
    </row>
    <row r="11328" spans="1:19" x14ac:dyDescent="0.35">
      <c r="A11328" t="s">
        <v>227</v>
      </c>
      <c r="B11328" t="s">
        <v>336</v>
      </c>
      <c r="C11328" s="2">
        <v>0.41</v>
      </c>
      <c r="D11328" s="2">
        <v>0.35899999999999999</v>
      </c>
      <c r="E11328" s="2">
        <v>6.4799999999999996E-2</v>
      </c>
      <c r="F11328" s="2">
        <v>5.3699999999999998E-2</v>
      </c>
      <c r="G11328" s="2">
        <v>5.2299999999999999E-2</v>
      </c>
      <c r="H11328" s="2">
        <v>3.9600000000000003E-2</v>
      </c>
      <c r="I11328" s="2">
        <v>3.2500000000000001E-2</v>
      </c>
      <c r="J11328" s="2">
        <v>5.11E-2</v>
      </c>
      <c r="K11328" s="2">
        <v>1.7399999999999999E-2</v>
      </c>
      <c r="L11328" s="2">
        <v>2.4799999999999999E-2</v>
      </c>
      <c r="M11328" s="2">
        <v>3.2899999999999999E-2</v>
      </c>
      <c r="N11328" s="2">
        <v>1.35E-2</v>
      </c>
      <c r="O11328" s="2">
        <v>1.04E-2</v>
      </c>
      <c r="P11328" s="2">
        <v>1.4999999999999999E-2</v>
      </c>
      <c r="Q11328" s="2">
        <v>8.0000000000000004E-4</v>
      </c>
      <c r="S11328">
        <v>620</v>
      </c>
    </row>
    <row r="11329" spans="1:19" x14ac:dyDescent="0.35">
      <c r="A11329" t="s">
        <v>227</v>
      </c>
      <c r="B11329" t="s">
        <v>337</v>
      </c>
      <c r="C11329" s="2">
        <v>0.48149999999999998</v>
      </c>
      <c r="D11329" s="2">
        <v>0.28239999999999998</v>
      </c>
      <c r="E11329" s="2">
        <v>8.7800000000000003E-2</v>
      </c>
      <c r="F11329" s="2">
        <v>5.3600000000000002E-2</v>
      </c>
      <c r="G11329" s="2">
        <v>7.1499999999999994E-2</v>
      </c>
      <c r="H11329" s="2">
        <v>5.4600000000000003E-2</v>
      </c>
      <c r="I11329" s="2">
        <v>4.3499999999999997E-2</v>
      </c>
      <c r="J11329" s="2">
        <v>4.7500000000000001E-2</v>
      </c>
      <c r="K11329" s="2">
        <v>3.9699999999999999E-2</v>
      </c>
      <c r="L11329" s="2">
        <v>1.9E-2</v>
      </c>
      <c r="M11329" s="2">
        <v>3.0499999999999999E-2</v>
      </c>
      <c r="N11329" s="2">
        <v>2.1100000000000001E-2</v>
      </c>
      <c r="O11329" s="2">
        <v>3.1099999999999999E-2</v>
      </c>
      <c r="P11329" s="2">
        <v>0.02</v>
      </c>
      <c r="Q11329" s="2">
        <v>3.8E-3</v>
      </c>
      <c r="R11329" s="2">
        <v>3.3999999999999998E-3</v>
      </c>
      <c r="S11329">
        <v>601</v>
      </c>
    </row>
    <row r="11330" spans="1:19" x14ac:dyDescent="0.35">
      <c r="A11330" t="s">
        <v>228</v>
      </c>
      <c r="B11330" t="s">
        <v>228</v>
      </c>
      <c r="C11330" s="2">
        <v>0.45500000000000002</v>
      </c>
      <c r="D11330" s="2">
        <v>0.31719999999999998</v>
      </c>
      <c r="E11330" s="2">
        <v>8.2000000000000003E-2</v>
      </c>
      <c r="F11330" s="2">
        <v>6.3500000000000001E-2</v>
      </c>
      <c r="G11330" s="2">
        <v>6.3E-2</v>
      </c>
      <c r="H11330" s="2">
        <v>4.1399999999999999E-2</v>
      </c>
      <c r="I11330" s="2">
        <v>4.0399999999999998E-2</v>
      </c>
      <c r="J11330" s="2">
        <v>3.9E-2</v>
      </c>
      <c r="K11330" s="2">
        <v>2.87E-2</v>
      </c>
      <c r="L11330" s="2">
        <v>2.8500000000000001E-2</v>
      </c>
      <c r="M11330" s="2">
        <v>2.8000000000000001E-2</v>
      </c>
      <c r="N11330" s="2">
        <v>2.6599999999999999E-2</v>
      </c>
      <c r="O11330" s="2">
        <v>2.5499999999999998E-2</v>
      </c>
      <c r="P11330" s="2">
        <v>2.0199999999999999E-2</v>
      </c>
      <c r="Q11330" s="2">
        <v>3.8999999999999998E-3</v>
      </c>
      <c r="R11330" s="2">
        <v>8.9999999999999998E-4</v>
      </c>
      <c r="S11330">
        <v>2473</v>
      </c>
    </row>
    <row r="11332" spans="1:19" x14ac:dyDescent="0.35">
      <c r="A11332" s="1" t="s">
        <v>2604</v>
      </c>
    </row>
    <row r="11333" spans="1:19" x14ac:dyDescent="0.35">
      <c r="A11333" t="s">
        <v>219</v>
      </c>
      <c r="B11333" t="s">
        <v>301</v>
      </c>
      <c r="C11333" t="s">
        <v>540</v>
      </c>
      <c r="D11333" t="s">
        <v>277</v>
      </c>
      <c r="E11333" t="s">
        <v>2588</v>
      </c>
      <c r="F11333" t="s">
        <v>2589</v>
      </c>
      <c r="G11333" t="s">
        <v>2590</v>
      </c>
      <c r="H11333" t="s">
        <v>2591</v>
      </c>
      <c r="I11333" t="s">
        <v>2592</v>
      </c>
      <c r="J11333" t="s">
        <v>2593</v>
      </c>
      <c r="K11333" t="s">
        <v>2594</v>
      </c>
      <c r="L11333" t="s">
        <v>2595</v>
      </c>
      <c r="M11333" t="s">
        <v>2596</v>
      </c>
      <c r="N11333" t="s">
        <v>2597</v>
      </c>
      <c r="O11333" t="s">
        <v>2598</v>
      </c>
      <c r="P11333" t="s">
        <v>2599</v>
      </c>
      <c r="Q11333" t="s">
        <v>2021</v>
      </c>
      <c r="R11333" t="s">
        <v>318</v>
      </c>
      <c r="S11333" t="s">
        <v>226</v>
      </c>
    </row>
    <row r="11334" spans="1:19" x14ac:dyDescent="0.35">
      <c r="A11334" t="s">
        <v>227</v>
      </c>
      <c r="B11334" t="s">
        <v>263</v>
      </c>
      <c r="C11334" s="2">
        <v>0.38569999999999999</v>
      </c>
      <c r="D11334" s="2">
        <v>0.4269</v>
      </c>
      <c r="E11334" s="2">
        <v>6.9000000000000006E-2</v>
      </c>
      <c r="F11334" s="2">
        <v>4.5699999999999998E-2</v>
      </c>
      <c r="G11334" s="2">
        <v>5.1499999999999997E-2</v>
      </c>
      <c r="H11334" s="2">
        <v>4.0599999999999997E-2</v>
      </c>
      <c r="I11334" s="2">
        <v>3.9699999999999999E-2</v>
      </c>
      <c r="J11334" s="2">
        <v>3.7699999999999997E-2</v>
      </c>
      <c r="K11334" s="2">
        <v>1.7100000000000001E-2</v>
      </c>
      <c r="L11334" s="2">
        <v>2.63E-2</v>
      </c>
      <c r="M11334" s="2">
        <v>3.2899999999999999E-2</v>
      </c>
      <c r="N11334" s="2">
        <v>1.47E-2</v>
      </c>
      <c r="O11334" s="2">
        <v>1.3299999999999999E-2</v>
      </c>
      <c r="P11334" s="2">
        <v>2.2100000000000002E-2</v>
      </c>
      <c r="Q11334" s="2">
        <v>3.7000000000000002E-3</v>
      </c>
      <c r="S11334">
        <v>588</v>
      </c>
    </row>
    <row r="11335" spans="1:19" x14ac:dyDescent="0.35">
      <c r="A11335" t="s">
        <v>227</v>
      </c>
      <c r="B11335" t="s">
        <v>262</v>
      </c>
      <c r="C11335" s="2">
        <v>0.4128</v>
      </c>
      <c r="D11335" s="2">
        <v>0.33250000000000002</v>
      </c>
      <c r="E11335" s="2">
        <v>0.1002</v>
      </c>
      <c r="F11335" s="2">
        <v>8.7400000000000005E-2</v>
      </c>
      <c r="G11335" s="2">
        <v>4.02E-2</v>
      </c>
      <c r="H11335" s="2">
        <v>4.6199999999999998E-2</v>
      </c>
      <c r="I11335" s="2">
        <v>4.2900000000000001E-2</v>
      </c>
      <c r="J11335" s="2">
        <v>3.7199999999999997E-2</v>
      </c>
      <c r="K11335" s="2">
        <v>1.8499999999999999E-2</v>
      </c>
      <c r="L11335" s="2">
        <v>2.5499999999999998E-2</v>
      </c>
      <c r="M11335" s="2">
        <v>2.4400000000000002E-2</v>
      </c>
      <c r="N11335" s="2">
        <v>3.4500000000000003E-2</v>
      </c>
      <c r="O11335" s="2">
        <v>3.1300000000000001E-2</v>
      </c>
      <c r="P11335" s="2">
        <v>1.89E-2</v>
      </c>
      <c r="Q11335" s="2">
        <v>5.1999999999999998E-3</v>
      </c>
      <c r="R11335" s="2">
        <v>4.0000000000000002E-4</v>
      </c>
      <c r="S11335">
        <v>1158</v>
      </c>
    </row>
    <row r="11336" spans="1:19" x14ac:dyDescent="0.35">
      <c r="A11336" t="s">
        <v>227</v>
      </c>
      <c r="B11336" t="s">
        <v>261</v>
      </c>
      <c r="C11336" s="2">
        <v>0.52370000000000005</v>
      </c>
      <c r="D11336" s="2">
        <v>0.25119999999999998</v>
      </c>
      <c r="E11336" s="2">
        <v>7.2800000000000004E-2</v>
      </c>
      <c r="F11336" s="2">
        <v>5.1799999999999999E-2</v>
      </c>
      <c r="G11336" s="2">
        <v>8.8499999999999995E-2</v>
      </c>
      <c r="H11336" s="2">
        <v>3.7699999999999997E-2</v>
      </c>
      <c r="I11336" s="2">
        <v>3.8699999999999998E-2</v>
      </c>
      <c r="J11336" s="2">
        <v>4.1399999999999999E-2</v>
      </c>
      <c r="K11336" s="2">
        <v>4.3200000000000002E-2</v>
      </c>
      <c r="L11336" s="2">
        <v>3.2300000000000002E-2</v>
      </c>
      <c r="M11336" s="2">
        <v>2.8799999999999999E-2</v>
      </c>
      <c r="N11336" s="2">
        <v>2.5600000000000001E-2</v>
      </c>
      <c r="O11336" s="2">
        <v>2.6499999999999999E-2</v>
      </c>
      <c r="P11336" s="2">
        <v>2.0500000000000001E-2</v>
      </c>
      <c r="Q11336" s="2">
        <v>3.0000000000000001E-3</v>
      </c>
      <c r="R11336" s="2">
        <v>1.6999999999999999E-3</v>
      </c>
      <c r="S11336">
        <v>1062</v>
      </c>
    </row>
    <row r="11337" spans="1:19" x14ac:dyDescent="0.35">
      <c r="A11337" s="3" t="s">
        <v>227</v>
      </c>
      <c r="B11337" s="3" t="s">
        <v>232</v>
      </c>
      <c r="C11337" s="4">
        <v>1</v>
      </c>
      <c r="D11337" s="5"/>
      <c r="E11337" s="5"/>
      <c r="F11337" s="5"/>
      <c r="G11337" s="5"/>
      <c r="H11337" s="5"/>
      <c r="I11337" s="5"/>
      <c r="J11337" s="5"/>
      <c r="K11337" s="5"/>
      <c r="L11337" s="5"/>
      <c r="M11337" s="5"/>
      <c r="N11337" s="5"/>
      <c r="O11337" s="5"/>
      <c r="P11337" s="5"/>
      <c r="Q11337" s="5"/>
      <c r="R11337" s="5"/>
      <c r="S11337" s="5" t="s">
        <v>434</v>
      </c>
    </row>
    <row r="11338" spans="1:19" x14ac:dyDescent="0.35">
      <c r="A11338" t="s">
        <v>228</v>
      </c>
      <c r="B11338" t="s">
        <v>228</v>
      </c>
      <c r="C11338" s="2">
        <v>0.45500000000000002</v>
      </c>
      <c r="D11338" s="2">
        <v>0.31719999999999998</v>
      </c>
      <c r="E11338" s="2">
        <v>8.2000000000000003E-2</v>
      </c>
      <c r="F11338" s="2">
        <v>6.3500000000000001E-2</v>
      </c>
      <c r="G11338" s="2">
        <v>6.3E-2</v>
      </c>
      <c r="H11338" s="2">
        <v>4.1399999999999999E-2</v>
      </c>
      <c r="I11338" s="2">
        <v>4.0399999999999998E-2</v>
      </c>
      <c r="J11338" s="2">
        <v>3.9E-2</v>
      </c>
      <c r="K11338" s="2">
        <v>2.87E-2</v>
      </c>
      <c r="L11338" s="2">
        <v>2.8500000000000001E-2</v>
      </c>
      <c r="M11338" s="2">
        <v>2.8000000000000001E-2</v>
      </c>
      <c r="N11338" s="2">
        <v>2.6599999999999999E-2</v>
      </c>
      <c r="O11338" s="2">
        <v>2.5499999999999998E-2</v>
      </c>
      <c r="P11338" s="2">
        <v>2.0199999999999999E-2</v>
      </c>
      <c r="Q11338" s="2">
        <v>3.8999999999999998E-3</v>
      </c>
      <c r="R11338" s="2">
        <v>8.9999999999999998E-4</v>
      </c>
      <c r="S11338">
        <v>2810</v>
      </c>
    </row>
    <row r="11340" spans="1:19" x14ac:dyDescent="0.35">
      <c r="A11340" s="1" t="s">
        <v>2605</v>
      </c>
    </row>
    <row r="11341" spans="1:19" x14ac:dyDescent="0.35">
      <c r="A11341" t="s">
        <v>219</v>
      </c>
      <c r="B11341" t="s">
        <v>301</v>
      </c>
      <c r="C11341" t="s">
        <v>540</v>
      </c>
      <c r="D11341" t="s">
        <v>277</v>
      </c>
      <c r="E11341" t="s">
        <v>2588</v>
      </c>
      <c r="F11341" t="s">
        <v>2589</v>
      </c>
      <c r="G11341" t="s">
        <v>2590</v>
      </c>
      <c r="H11341" t="s">
        <v>2591</v>
      </c>
      <c r="I11341" t="s">
        <v>2592</v>
      </c>
      <c r="J11341" t="s">
        <v>2593</v>
      </c>
      <c r="K11341" t="s">
        <v>2594</v>
      </c>
      <c r="L11341" t="s">
        <v>2595</v>
      </c>
      <c r="M11341" t="s">
        <v>2596</v>
      </c>
      <c r="N11341" t="s">
        <v>2597</v>
      </c>
      <c r="O11341" t="s">
        <v>2598</v>
      </c>
      <c r="P11341" t="s">
        <v>2599</v>
      </c>
      <c r="Q11341" t="s">
        <v>2021</v>
      </c>
      <c r="R11341" t="s">
        <v>318</v>
      </c>
      <c r="S11341" t="s">
        <v>226</v>
      </c>
    </row>
    <row r="11342" spans="1:19" x14ac:dyDescent="0.35">
      <c r="A11342" t="s">
        <v>227</v>
      </c>
      <c r="B11342" t="s">
        <v>248</v>
      </c>
      <c r="C11342" s="2">
        <v>0.39979999999999999</v>
      </c>
      <c r="D11342" s="2">
        <v>0.44819999999999999</v>
      </c>
      <c r="E11342" s="2">
        <v>1.7100000000000001E-2</v>
      </c>
      <c r="F11342" s="2">
        <v>6.2700000000000006E-2</v>
      </c>
      <c r="G11342" s="2">
        <v>1.8100000000000002E-2</v>
      </c>
      <c r="H11342" s="2">
        <v>2.3599999999999999E-2</v>
      </c>
      <c r="I11342" s="2">
        <v>1.7100000000000001E-2</v>
      </c>
      <c r="J11342" s="2">
        <v>2.8000000000000001E-2</v>
      </c>
      <c r="K11342" s="2">
        <v>5.7000000000000002E-3</v>
      </c>
      <c r="L11342" s="2">
        <v>1.3299999999999999E-2</v>
      </c>
      <c r="M11342" s="2">
        <v>5.1999999999999998E-3</v>
      </c>
      <c r="N11342" s="2">
        <v>6.9999999999999999E-4</v>
      </c>
      <c r="O11342" s="2">
        <v>3.3999999999999998E-3</v>
      </c>
      <c r="P11342" s="2">
        <v>1.84E-2</v>
      </c>
      <c r="Q11342" s="2">
        <v>3.3999999999999998E-3</v>
      </c>
      <c r="S11342">
        <v>795</v>
      </c>
    </row>
    <row r="11343" spans="1:19" x14ac:dyDescent="0.35">
      <c r="A11343" t="s">
        <v>227</v>
      </c>
      <c r="B11343" t="s">
        <v>249</v>
      </c>
      <c r="C11343" s="2">
        <v>0.50009999999999999</v>
      </c>
      <c r="D11343" s="2">
        <v>0.26700000000000002</v>
      </c>
      <c r="E11343" s="2">
        <v>8.3799999999999999E-2</v>
      </c>
      <c r="F11343" s="2">
        <v>5.9200000000000003E-2</v>
      </c>
      <c r="G11343" s="2">
        <v>5.9700000000000003E-2</v>
      </c>
      <c r="H11343" s="2">
        <v>3.7699999999999997E-2</v>
      </c>
      <c r="I11343" s="2">
        <v>6.0600000000000001E-2</v>
      </c>
      <c r="J11343" s="2">
        <v>4.6300000000000001E-2</v>
      </c>
      <c r="K11343" s="2">
        <v>3.7199999999999997E-2</v>
      </c>
      <c r="L11343" s="2">
        <v>2.7400000000000001E-2</v>
      </c>
      <c r="M11343" s="2">
        <v>3.8199999999999998E-2</v>
      </c>
      <c r="N11343" s="2">
        <v>3.2300000000000002E-2</v>
      </c>
      <c r="O11343" s="2">
        <v>3.4599999999999999E-2</v>
      </c>
      <c r="P11343" s="2">
        <v>3.4799999999999998E-2</v>
      </c>
      <c r="Q11343" s="2">
        <v>1.6000000000000001E-3</v>
      </c>
      <c r="S11343">
        <v>541</v>
      </c>
    </row>
    <row r="11344" spans="1:19" x14ac:dyDescent="0.35">
      <c r="A11344" t="s">
        <v>227</v>
      </c>
      <c r="B11344" t="s">
        <v>247</v>
      </c>
      <c r="C11344" s="2">
        <v>0.46710000000000002</v>
      </c>
      <c r="D11344" s="2">
        <v>0.26779999999999998</v>
      </c>
      <c r="E11344" s="2">
        <v>0.1148</v>
      </c>
      <c r="F11344" s="2">
        <v>6.5500000000000003E-2</v>
      </c>
      <c r="G11344" s="2">
        <v>8.7400000000000005E-2</v>
      </c>
      <c r="H11344" s="2">
        <v>5.1900000000000002E-2</v>
      </c>
      <c r="I11344" s="2">
        <v>4.5100000000000001E-2</v>
      </c>
      <c r="J11344" s="2">
        <v>4.2099999999999999E-2</v>
      </c>
      <c r="K11344" s="2">
        <v>3.7400000000000003E-2</v>
      </c>
      <c r="L11344" s="2">
        <v>3.6799999999999999E-2</v>
      </c>
      <c r="M11344" s="2">
        <v>3.61E-2</v>
      </c>
      <c r="N11344" s="2">
        <v>3.7900000000000003E-2</v>
      </c>
      <c r="O11344" s="2">
        <v>3.3599999999999998E-2</v>
      </c>
      <c r="P11344" s="2">
        <v>1.5800000000000002E-2</v>
      </c>
      <c r="Q11344" s="2">
        <v>5.0000000000000001E-3</v>
      </c>
      <c r="R11344" s="2">
        <v>1.6000000000000001E-3</v>
      </c>
      <c r="S11344">
        <v>1474</v>
      </c>
    </row>
    <row r="11345" spans="1:19" x14ac:dyDescent="0.35">
      <c r="A11345" t="s">
        <v>228</v>
      </c>
      <c r="B11345" t="s">
        <v>228</v>
      </c>
      <c r="C11345" s="2">
        <v>0.45500000000000002</v>
      </c>
      <c r="D11345" s="2">
        <v>0.31719999999999998</v>
      </c>
      <c r="E11345" s="2">
        <v>8.2000000000000003E-2</v>
      </c>
      <c r="F11345" s="2">
        <v>6.3500000000000001E-2</v>
      </c>
      <c r="G11345" s="2">
        <v>6.3E-2</v>
      </c>
      <c r="H11345" s="2">
        <v>4.1399999999999999E-2</v>
      </c>
      <c r="I11345" s="2">
        <v>4.0399999999999998E-2</v>
      </c>
      <c r="J11345" s="2">
        <v>3.9E-2</v>
      </c>
      <c r="K11345" s="2">
        <v>2.87E-2</v>
      </c>
      <c r="L11345" s="2">
        <v>2.8500000000000001E-2</v>
      </c>
      <c r="M11345" s="2">
        <v>2.8000000000000001E-2</v>
      </c>
      <c r="N11345" s="2">
        <v>2.6599999999999999E-2</v>
      </c>
      <c r="O11345" s="2">
        <v>2.5499999999999998E-2</v>
      </c>
      <c r="P11345" s="2">
        <v>2.0199999999999999E-2</v>
      </c>
      <c r="Q11345" s="2">
        <v>3.8999999999999998E-3</v>
      </c>
      <c r="R11345" s="2">
        <v>8.9999999999999998E-4</v>
      </c>
      <c r="S11345">
        <v>2810</v>
      </c>
    </row>
    <row r="11347" spans="1:19" x14ac:dyDescent="0.35">
      <c r="A11347" s="1" t="s">
        <v>2606</v>
      </c>
    </row>
    <row r="11348" spans="1:19" x14ac:dyDescent="0.35">
      <c r="A11348" t="s">
        <v>219</v>
      </c>
      <c r="B11348" t="s">
        <v>301</v>
      </c>
      <c r="C11348" t="s">
        <v>540</v>
      </c>
      <c r="D11348" t="s">
        <v>277</v>
      </c>
      <c r="E11348" t="s">
        <v>2588</v>
      </c>
      <c r="F11348" t="s">
        <v>2589</v>
      </c>
      <c r="G11348" t="s">
        <v>2590</v>
      </c>
      <c r="H11348" t="s">
        <v>2591</v>
      </c>
      <c r="I11348" t="s">
        <v>2592</v>
      </c>
      <c r="J11348" t="s">
        <v>2593</v>
      </c>
      <c r="K11348" t="s">
        <v>2594</v>
      </c>
      <c r="L11348" t="s">
        <v>2595</v>
      </c>
      <c r="M11348" t="s">
        <v>2596</v>
      </c>
      <c r="N11348" t="s">
        <v>2597</v>
      </c>
      <c r="O11348" t="s">
        <v>2598</v>
      </c>
      <c r="P11348" t="s">
        <v>2599</v>
      </c>
      <c r="Q11348" t="s">
        <v>2021</v>
      </c>
      <c r="R11348" t="s">
        <v>318</v>
      </c>
      <c r="S11348" t="s">
        <v>226</v>
      </c>
    </row>
    <row r="11349" spans="1:19" x14ac:dyDescent="0.35">
      <c r="A11349" t="s">
        <v>227</v>
      </c>
      <c r="B11349" t="s">
        <v>245</v>
      </c>
      <c r="C11349" s="2">
        <v>0.50360000000000005</v>
      </c>
      <c r="D11349" s="2">
        <v>0.20949999999999999</v>
      </c>
      <c r="E11349" s="2">
        <v>0.13350000000000001</v>
      </c>
      <c r="F11349" s="2">
        <v>7.6100000000000001E-2</v>
      </c>
      <c r="G11349" s="2">
        <v>0.1195</v>
      </c>
      <c r="H11349" s="2">
        <v>4.7600000000000003E-2</v>
      </c>
      <c r="I11349" s="2">
        <v>4.2900000000000001E-2</v>
      </c>
      <c r="J11349" s="2">
        <v>4.0500000000000001E-2</v>
      </c>
      <c r="K11349" s="2">
        <v>5.6500000000000002E-2</v>
      </c>
      <c r="L11349" s="2">
        <v>4.36E-2</v>
      </c>
      <c r="M11349" s="2">
        <v>4.6600000000000003E-2</v>
      </c>
      <c r="N11349" s="2">
        <v>4.58E-2</v>
      </c>
      <c r="O11349" s="2">
        <v>3.1699999999999999E-2</v>
      </c>
      <c r="P11349" s="2">
        <v>2.3699999999999999E-2</v>
      </c>
      <c r="Q11349" s="2">
        <v>6.7000000000000002E-3</v>
      </c>
      <c r="R11349" s="2">
        <v>5.9999999999999995E-4</v>
      </c>
      <c r="S11349">
        <v>782</v>
      </c>
    </row>
    <row r="11350" spans="1:19" x14ac:dyDescent="0.35">
      <c r="A11350" t="s">
        <v>227</v>
      </c>
      <c r="B11350" t="s">
        <v>244</v>
      </c>
      <c r="C11350" s="2">
        <v>0.43569999999999998</v>
      </c>
      <c r="D11350" s="2">
        <v>0.35980000000000001</v>
      </c>
      <c r="E11350" s="2">
        <v>6.1600000000000002E-2</v>
      </c>
      <c r="F11350" s="2">
        <v>5.8500000000000003E-2</v>
      </c>
      <c r="G11350" s="2">
        <v>4.0599999999999997E-2</v>
      </c>
      <c r="H11350" s="2">
        <v>3.8899999999999997E-2</v>
      </c>
      <c r="I11350" s="2">
        <v>3.95E-2</v>
      </c>
      <c r="J11350" s="2">
        <v>3.85E-2</v>
      </c>
      <c r="K11350" s="2">
        <v>1.7600000000000001E-2</v>
      </c>
      <c r="L11350" s="2">
        <v>2.2599999999999999E-2</v>
      </c>
      <c r="M11350" s="2">
        <v>2.07E-2</v>
      </c>
      <c r="N11350" s="2">
        <v>1.9E-2</v>
      </c>
      <c r="O11350" s="2">
        <v>2.3E-2</v>
      </c>
      <c r="P11350" s="2">
        <v>1.8800000000000001E-2</v>
      </c>
      <c r="Q11350" s="2">
        <v>2.8E-3</v>
      </c>
      <c r="R11350" s="2">
        <v>1E-3</v>
      </c>
      <c r="S11350">
        <v>2028</v>
      </c>
    </row>
    <row r="11351" spans="1:19" x14ac:dyDescent="0.35">
      <c r="A11351" t="s">
        <v>228</v>
      </c>
      <c r="B11351" t="s">
        <v>228</v>
      </c>
      <c r="C11351" s="2">
        <v>0.45500000000000002</v>
      </c>
      <c r="D11351" s="2">
        <v>0.31719999999999998</v>
      </c>
      <c r="E11351" s="2">
        <v>8.2000000000000003E-2</v>
      </c>
      <c r="F11351" s="2">
        <v>6.3500000000000001E-2</v>
      </c>
      <c r="G11351" s="2">
        <v>6.3E-2</v>
      </c>
      <c r="H11351" s="2">
        <v>4.1399999999999999E-2</v>
      </c>
      <c r="I11351" s="2">
        <v>4.0399999999999998E-2</v>
      </c>
      <c r="J11351" s="2">
        <v>3.9E-2</v>
      </c>
      <c r="K11351" s="2">
        <v>2.87E-2</v>
      </c>
      <c r="L11351" s="2">
        <v>2.8500000000000001E-2</v>
      </c>
      <c r="M11351" s="2">
        <v>2.8000000000000001E-2</v>
      </c>
      <c r="N11351" s="2">
        <v>2.6599999999999999E-2</v>
      </c>
      <c r="O11351" s="2">
        <v>2.5499999999999998E-2</v>
      </c>
      <c r="P11351" s="2">
        <v>2.0199999999999999E-2</v>
      </c>
      <c r="Q11351" s="2">
        <v>3.8999999999999998E-3</v>
      </c>
      <c r="R11351" s="2">
        <v>8.9999999999999998E-4</v>
      </c>
      <c r="S11351">
        <v>2810</v>
      </c>
    </row>
    <row r="11353" spans="1:19" x14ac:dyDescent="0.35">
      <c r="A11353" s="1" t="s">
        <v>2607</v>
      </c>
    </row>
    <row r="11354" spans="1:19" x14ac:dyDescent="0.35">
      <c r="A11354" t="s">
        <v>219</v>
      </c>
      <c r="B11354" t="s">
        <v>301</v>
      </c>
      <c r="C11354" t="s">
        <v>540</v>
      </c>
      <c r="D11354" t="s">
        <v>277</v>
      </c>
      <c r="E11354" t="s">
        <v>2588</v>
      </c>
      <c r="F11354" t="s">
        <v>2589</v>
      </c>
      <c r="G11354" t="s">
        <v>2590</v>
      </c>
      <c r="H11354" t="s">
        <v>2591</v>
      </c>
      <c r="I11354" t="s">
        <v>2592</v>
      </c>
      <c r="J11354" t="s">
        <v>2593</v>
      </c>
      <c r="K11354" t="s">
        <v>2594</v>
      </c>
      <c r="L11354" t="s">
        <v>2595</v>
      </c>
      <c r="M11354" t="s">
        <v>2596</v>
      </c>
      <c r="N11354" t="s">
        <v>2597</v>
      </c>
      <c r="O11354" t="s">
        <v>2598</v>
      </c>
      <c r="P11354" t="s">
        <v>2599</v>
      </c>
      <c r="Q11354" t="s">
        <v>2021</v>
      </c>
      <c r="R11354" t="s">
        <v>318</v>
      </c>
      <c r="S11354" t="s">
        <v>226</v>
      </c>
    </row>
    <row r="11355" spans="1:19" x14ac:dyDescent="0.35">
      <c r="A11355" t="s">
        <v>227</v>
      </c>
      <c r="B11355" t="s">
        <v>259</v>
      </c>
      <c r="C11355" s="2">
        <v>0.23319999999999999</v>
      </c>
      <c r="D11355" s="2">
        <v>0.37480000000000002</v>
      </c>
      <c r="E11355" s="2">
        <v>0.2346</v>
      </c>
      <c r="F11355" s="2">
        <v>6.8500000000000005E-2</v>
      </c>
      <c r="G11355" s="2">
        <v>0.2112</v>
      </c>
      <c r="H11355" s="2">
        <v>0.1144</v>
      </c>
      <c r="I11355" s="2">
        <v>0.1303</v>
      </c>
      <c r="J11355" s="2">
        <v>0.124</v>
      </c>
      <c r="K11355" s="2">
        <v>6.7100000000000007E-2</v>
      </c>
      <c r="L11355" s="2">
        <v>7.8399999999999997E-2</v>
      </c>
      <c r="M11355" s="2">
        <v>0.10290000000000001</v>
      </c>
      <c r="N11355" s="2">
        <v>0.12570000000000001</v>
      </c>
      <c r="O11355" s="2">
        <v>6.9900000000000004E-2</v>
      </c>
      <c r="P11355" s="2">
        <v>5.74E-2</v>
      </c>
      <c r="S11355">
        <v>69</v>
      </c>
    </row>
    <row r="11356" spans="1:19" x14ac:dyDescent="0.35">
      <c r="A11356" t="s">
        <v>227</v>
      </c>
      <c r="B11356" t="s">
        <v>257</v>
      </c>
      <c r="C11356" s="2">
        <v>0.51519999999999999</v>
      </c>
      <c r="D11356" s="2">
        <v>0.34749999999999998</v>
      </c>
      <c r="E11356" s="2">
        <v>4.4200000000000003E-2</v>
      </c>
      <c r="F11356" s="2">
        <v>4.0399999999999998E-2</v>
      </c>
      <c r="G11356" s="2">
        <v>3.9300000000000002E-2</v>
      </c>
      <c r="H11356" s="2">
        <v>5.4999999999999997E-3</v>
      </c>
      <c r="I11356" s="2">
        <v>2.2499999999999999E-2</v>
      </c>
      <c r="J11356" s="2">
        <v>9.5999999999999992E-3</v>
      </c>
      <c r="K11356" s="2">
        <v>1.7899999999999999E-2</v>
      </c>
      <c r="L11356" s="2">
        <v>1.2200000000000001E-2</v>
      </c>
      <c r="M11356" s="2">
        <v>1.3599999999999999E-2</v>
      </c>
      <c r="N11356" s="2">
        <v>6.8999999999999999E-3</v>
      </c>
      <c r="O11356" s="2">
        <v>5.4000000000000003E-3</v>
      </c>
      <c r="P11356" s="2">
        <v>2.5999999999999999E-3</v>
      </c>
      <c r="Q11356" s="2">
        <v>4.1000000000000003E-3</v>
      </c>
      <c r="S11356">
        <v>405</v>
      </c>
    </row>
    <row r="11357" spans="1:19" x14ac:dyDescent="0.35">
      <c r="A11357" t="s">
        <v>227</v>
      </c>
      <c r="B11357" t="s">
        <v>256</v>
      </c>
      <c r="C11357" s="2">
        <v>0.43880000000000002</v>
      </c>
      <c r="D11357" s="2">
        <v>0.32119999999999999</v>
      </c>
      <c r="E11357" s="2">
        <v>8.5599999999999996E-2</v>
      </c>
      <c r="F11357" s="2">
        <v>6.3899999999999998E-2</v>
      </c>
      <c r="G11357" s="2">
        <v>6.0400000000000002E-2</v>
      </c>
      <c r="H11357" s="2">
        <v>4.53E-2</v>
      </c>
      <c r="I11357" s="2">
        <v>3.6600000000000001E-2</v>
      </c>
      <c r="J11357" s="2">
        <v>3.7400000000000003E-2</v>
      </c>
      <c r="K11357" s="2">
        <v>2.5899999999999999E-2</v>
      </c>
      <c r="L11357" s="2">
        <v>2.9700000000000001E-2</v>
      </c>
      <c r="M11357" s="2">
        <v>2.6800000000000001E-2</v>
      </c>
      <c r="N11357" s="2">
        <v>2.7400000000000001E-2</v>
      </c>
      <c r="O11357" s="2">
        <v>2.6100000000000002E-2</v>
      </c>
      <c r="P11357" s="2">
        <v>2.4299999999999999E-2</v>
      </c>
      <c r="Q11357" s="2">
        <v>3.7000000000000002E-3</v>
      </c>
      <c r="R11357" s="2">
        <v>1.2999999999999999E-3</v>
      </c>
      <c r="S11357">
        <v>1802</v>
      </c>
    </row>
    <row r="11358" spans="1:19" x14ac:dyDescent="0.35">
      <c r="A11358" s="3" t="s">
        <v>227</v>
      </c>
      <c r="B11358" s="3" t="s">
        <v>232</v>
      </c>
      <c r="C11358" s="4">
        <v>0.50990000000000002</v>
      </c>
      <c r="D11358" s="4">
        <v>0.40820000000000001</v>
      </c>
      <c r="E11358" s="5"/>
      <c r="F11358" s="5"/>
      <c r="G11358" s="5"/>
      <c r="H11358" s="4">
        <v>8.1900000000000001E-2</v>
      </c>
      <c r="I11358" s="5"/>
      <c r="J11358" s="5"/>
      <c r="K11358" s="5"/>
      <c r="L11358" s="5"/>
      <c r="M11358" s="5"/>
      <c r="N11358" s="5"/>
      <c r="O11358" s="5"/>
      <c r="P11358" s="5"/>
      <c r="Q11358" s="5"/>
      <c r="R11358" s="5"/>
      <c r="S11358" s="5" t="s">
        <v>307</v>
      </c>
    </row>
    <row r="11359" spans="1:19" x14ac:dyDescent="0.35">
      <c r="A11359" t="s">
        <v>227</v>
      </c>
      <c r="B11359" t="s">
        <v>258</v>
      </c>
      <c r="C11359" s="2">
        <v>0.48349999999999999</v>
      </c>
      <c r="D11359" s="2">
        <v>0.25669999999999998</v>
      </c>
      <c r="E11359" s="2">
        <v>9.2399999999999996E-2</v>
      </c>
      <c r="F11359" s="2">
        <v>8.8599999999999998E-2</v>
      </c>
      <c r="G11359" s="2">
        <v>8.5999999999999993E-2</v>
      </c>
      <c r="H11359" s="2">
        <v>5.57E-2</v>
      </c>
      <c r="I11359" s="2">
        <v>6.8599999999999994E-2</v>
      </c>
      <c r="J11359" s="2">
        <v>7.0900000000000005E-2</v>
      </c>
      <c r="K11359" s="2">
        <v>4.9599999999999998E-2</v>
      </c>
      <c r="L11359" s="2">
        <v>3.6600000000000001E-2</v>
      </c>
      <c r="M11359" s="2">
        <v>4.19E-2</v>
      </c>
      <c r="N11359" s="2">
        <v>3.4500000000000003E-2</v>
      </c>
      <c r="O11359" s="2">
        <v>4.1000000000000002E-2</v>
      </c>
      <c r="P11359" s="2">
        <v>1.7899999999999999E-2</v>
      </c>
      <c r="Q11359" s="2">
        <v>5.0000000000000001E-3</v>
      </c>
      <c r="S11359">
        <v>523</v>
      </c>
    </row>
    <row r="11360" spans="1:19" x14ac:dyDescent="0.35">
      <c r="A11360" t="s">
        <v>228</v>
      </c>
      <c r="B11360" t="s">
        <v>228</v>
      </c>
      <c r="C11360" s="2">
        <v>0.45500000000000002</v>
      </c>
      <c r="D11360" s="2">
        <v>0.31719999999999998</v>
      </c>
      <c r="E11360" s="2">
        <v>8.2000000000000003E-2</v>
      </c>
      <c r="F11360" s="2">
        <v>6.3500000000000001E-2</v>
      </c>
      <c r="G11360" s="2">
        <v>6.3E-2</v>
      </c>
      <c r="H11360" s="2">
        <v>4.1399999999999999E-2</v>
      </c>
      <c r="I11360" s="2">
        <v>4.0399999999999998E-2</v>
      </c>
      <c r="J11360" s="2">
        <v>3.9E-2</v>
      </c>
      <c r="K11360" s="2">
        <v>2.87E-2</v>
      </c>
      <c r="L11360" s="2">
        <v>2.8500000000000001E-2</v>
      </c>
      <c r="M11360" s="2">
        <v>2.8000000000000001E-2</v>
      </c>
      <c r="N11360" s="2">
        <v>2.6599999999999999E-2</v>
      </c>
      <c r="O11360" s="2">
        <v>2.5499999999999998E-2</v>
      </c>
      <c r="P11360" s="2">
        <v>2.0199999999999999E-2</v>
      </c>
      <c r="Q11360" s="2">
        <v>3.8999999999999998E-3</v>
      </c>
      <c r="R11360" s="2">
        <v>8.9999999999999998E-4</v>
      </c>
      <c r="S11360">
        <v>2810</v>
      </c>
    </row>
    <row r="11362" spans="1:19" x14ac:dyDescent="0.35">
      <c r="A11362" s="1" t="s">
        <v>2608</v>
      </c>
    </row>
    <row r="11363" spans="1:19" x14ac:dyDescent="0.35">
      <c r="A11363" t="s">
        <v>219</v>
      </c>
      <c r="B11363" t="s">
        <v>301</v>
      </c>
      <c r="C11363" t="s">
        <v>540</v>
      </c>
      <c r="D11363" t="s">
        <v>277</v>
      </c>
      <c r="E11363" t="s">
        <v>2588</v>
      </c>
      <c r="F11363" t="s">
        <v>2589</v>
      </c>
      <c r="G11363" t="s">
        <v>2590</v>
      </c>
      <c r="H11363" t="s">
        <v>2591</v>
      </c>
      <c r="I11363" t="s">
        <v>2592</v>
      </c>
      <c r="J11363" t="s">
        <v>2593</v>
      </c>
      <c r="K11363" t="s">
        <v>2594</v>
      </c>
      <c r="L11363" t="s">
        <v>2595</v>
      </c>
      <c r="M11363" t="s">
        <v>2596</v>
      </c>
      <c r="N11363" t="s">
        <v>2597</v>
      </c>
      <c r="O11363" t="s">
        <v>2598</v>
      </c>
      <c r="P11363" t="s">
        <v>2599</v>
      </c>
      <c r="Q11363" t="s">
        <v>2021</v>
      </c>
      <c r="R11363" t="s">
        <v>318</v>
      </c>
      <c r="S11363" t="s">
        <v>226</v>
      </c>
    </row>
    <row r="11364" spans="1:19" x14ac:dyDescent="0.35">
      <c r="A11364" t="s">
        <v>227</v>
      </c>
      <c r="B11364" t="s">
        <v>343</v>
      </c>
      <c r="C11364" s="2">
        <v>0.51519999999999999</v>
      </c>
      <c r="D11364" s="2">
        <v>0.34749999999999998</v>
      </c>
      <c r="E11364" s="2">
        <v>4.4200000000000003E-2</v>
      </c>
      <c r="F11364" s="2">
        <v>4.0399999999999998E-2</v>
      </c>
      <c r="G11364" s="2">
        <v>3.9300000000000002E-2</v>
      </c>
      <c r="H11364" s="2">
        <v>5.4999999999999997E-3</v>
      </c>
      <c r="I11364" s="2">
        <v>2.2499999999999999E-2</v>
      </c>
      <c r="J11364" s="2">
        <v>9.5999999999999992E-3</v>
      </c>
      <c r="K11364" s="2">
        <v>1.7899999999999999E-2</v>
      </c>
      <c r="L11364" s="2">
        <v>1.2200000000000001E-2</v>
      </c>
      <c r="M11364" s="2">
        <v>1.3599999999999999E-2</v>
      </c>
      <c r="N11364" s="2">
        <v>6.8999999999999999E-3</v>
      </c>
      <c r="O11364" s="2">
        <v>5.4000000000000003E-3</v>
      </c>
      <c r="P11364" s="2">
        <v>2.5999999999999999E-3</v>
      </c>
      <c r="Q11364" s="2">
        <v>4.1000000000000003E-3</v>
      </c>
      <c r="S11364">
        <v>405</v>
      </c>
    </row>
    <row r="11365" spans="1:19" x14ac:dyDescent="0.35">
      <c r="A11365" t="s">
        <v>227</v>
      </c>
      <c r="B11365" t="s">
        <v>344</v>
      </c>
      <c r="C11365" s="2">
        <v>0.44269999999999998</v>
      </c>
      <c r="D11365" s="2">
        <v>0.311</v>
      </c>
      <c r="E11365" s="2">
        <v>8.9700000000000002E-2</v>
      </c>
      <c r="F11365" s="2">
        <v>6.8199999999999997E-2</v>
      </c>
      <c r="G11365" s="2">
        <v>6.7799999999999999E-2</v>
      </c>
      <c r="H11365" s="2">
        <v>4.87E-2</v>
      </c>
      <c r="I11365" s="2">
        <v>4.41E-2</v>
      </c>
      <c r="J11365" s="2">
        <v>4.4999999999999998E-2</v>
      </c>
      <c r="K11365" s="2">
        <v>3.09E-2</v>
      </c>
      <c r="L11365" s="2">
        <v>3.1899999999999998E-2</v>
      </c>
      <c r="M11365" s="2">
        <v>3.09E-2</v>
      </c>
      <c r="N11365" s="2">
        <v>3.0599999999999999E-2</v>
      </c>
      <c r="O11365" s="2">
        <v>2.9600000000000001E-2</v>
      </c>
      <c r="P11365" s="2">
        <v>2.3800000000000002E-2</v>
      </c>
      <c r="Q11365" s="2">
        <v>3.8999999999999998E-3</v>
      </c>
      <c r="R11365" s="2">
        <v>1.1000000000000001E-3</v>
      </c>
      <c r="S11365">
        <v>2405</v>
      </c>
    </row>
    <row r="11366" spans="1:19" x14ac:dyDescent="0.35">
      <c r="A11366" t="s">
        <v>228</v>
      </c>
      <c r="B11366" t="s">
        <v>228</v>
      </c>
      <c r="C11366" s="2">
        <v>0.45500000000000002</v>
      </c>
      <c r="D11366" s="2">
        <v>0.31719999999999998</v>
      </c>
      <c r="E11366" s="2">
        <v>8.2000000000000003E-2</v>
      </c>
      <c r="F11366" s="2">
        <v>6.3500000000000001E-2</v>
      </c>
      <c r="G11366" s="2">
        <v>6.3E-2</v>
      </c>
      <c r="H11366" s="2">
        <v>4.1399999999999999E-2</v>
      </c>
      <c r="I11366" s="2">
        <v>4.0399999999999998E-2</v>
      </c>
      <c r="J11366" s="2">
        <v>3.9E-2</v>
      </c>
      <c r="K11366" s="2">
        <v>2.87E-2</v>
      </c>
      <c r="L11366" s="2">
        <v>2.8500000000000001E-2</v>
      </c>
      <c r="M11366" s="2">
        <v>2.8000000000000001E-2</v>
      </c>
      <c r="N11366" s="2">
        <v>2.6599999999999999E-2</v>
      </c>
      <c r="O11366" s="2">
        <v>2.5499999999999998E-2</v>
      </c>
      <c r="P11366" s="2">
        <v>2.0199999999999999E-2</v>
      </c>
      <c r="Q11366" s="2">
        <v>3.8999999999999998E-3</v>
      </c>
      <c r="R11366" s="2">
        <v>8.9999999999999998E-4</v>
      </c>
      <c r="S11366">
        <v>2810</v>
      </c>
    </row>
    <row r="11368" spans="1:19" x14ac:dyDescent="0.35">
      <c r="A11368" s="1" t="s">
        <v>2609</v>
      </c>
    </row>
    <row r="11369" spans="1:19" x14ac:dyDescent="0.35">
      <c r="A11369" t="s">
        <v>219</v>
      </c>
      <c r="B11369" t="s">
        <v>301</v>
      </c>
      <c r="C11369" t="s">
        <v>540</v>
      </c>
      <c r="D11369" t="s">
        <v>277</v>
      </c>
      <c r="E11369" t="s">
        <v>2588</v>
      </c>
      <c r="F11369" t="s">
        <v>2589</v>
      </c>
      <c r="G11369" t="s">
        <v>2590</v>
      </c>
      <c r="H11369" t="s">
        <v>2591</v>
      </c>
      <c r="I11369" t="s">
        <v>2592</v>
      </c>
      <c r="J11369" t="s">
        <v>2593</v>
      </c>
      <c r="K11369" t="s">
        <v>2594</v>
      </c>
      <c r="L11369" t="s">
        <v>2595</v>
      </c>
      <c r="M11369" t="s">
        <v>2596</v>
      </c>
      <c r="N11369" t="s">
        <v>2597</v>
      </c>
      <c r="O11369" t="s">
        <v>2598</v>
      </c>
      <c r="P11369" t="s">
        <v>2599</v>
      </c>
      <c r="Q11369" t="s">
        <v>2021</v>
      </c>
      <c r="R11369" t="s">
        <v>318</v>
      </c>
      <c r="S11369" t="s">
        <v>226</v>
      </c>
    </row>
    <row r="11370" spans="1:19" x14ac:dyDescent="0.35">
      <c r="A11370" t="s">
        <v>227</v>
      </c>
      <c r="B11370" t="s">
        <v>346</v>
      </c>
      <c r="C11370" s="2">
        <v>0.46010000000000001</v>
      </c>
      <c r="D11370" s="2">
        <v>0.31719999999999998</v>
      </c>
      <c r="E11370" s="2">
        <v>7.8899999999999998E-2</v>
      </c>
      <c r="F11370" s="2">
        <v>6.4600000000000005E-2</v>
      </c>
      <c r="G11370" s="2">
        <v>6.2199999999999998E-2</v>
      </c>
      <c r="H11370" s="2">
        <v>4.1799999999999997E-2</v>
      </c>
      <c r="I11370" s="2">
        <v>3.9E-2</v>
      </c>
      <c r="J11370" s="2">
        <v>3.8300000000000001E-2</v>
      </c>
      <c r="K11370" s="2">
        <v>2.7900000000000001E-2</v>
      </c>
      <c r="L11370" s="2">
        <v>3.0300000000000001E-2</v>
      </c>
      <c r="M11370" s="2">
        <v>2.63E-2</v>
      </c>
      <c r="N11370" s="2">
        <v>2.7199999999999998E-2</v>
      </c>
      <c r="O11370" s="2">
        <v>2.63E-2</v>
      </c>
      <c r="P11370" s="2">
        <v>1.84E-2</v>
      </c>
      <c r="Q11370" s="2">
        <v>3.2000000000000002E-3</v>
      </c>
      <c r="R11370" s="2">
        <v>8.0000000000000004E-4</v>
      </c>
      <c r="S11370">
        <v>1463</v>
      </c>
    </row>
    <row r="11371" spans="1:19" x14ac:dyDescent="0.35">
      <c r="A11371" t="s">
        <v>227</v>
      </c>
      <c r="B11371" t="s">
        <v>347</v>
      </c>
      <c r="C11371" s="2">
        <v>0.39900000000000002</v>
      </c>
      <c r="D11371" s="2">
        <v>0.32819999999999999</v>
      </c>
      <c r="E11371" s="2">
        <v>0.1108</v>
      </c>
      <c r="F11371" s="2">
        <v>8.7800000000000003E-2</v>
      </c>
      <c r="G11371" s="2">
        <v>6.7100000000000007E-2</v>
      </c>
      <c r="H11371" s="2">
        <v>4.6600000000000003E-2</v>
      </c>
      <c r="I11371" s="2">
        <v>3.5400000000000001E-2</v>
      </c>
      <c r="J11371" s="2">
        <v>3.9800000000000002E-2</v>
      </c>
      <c r="K11371" s="2">
        <v>3.5200000000000002E-2</v>
      </c>
      <c r="L11371" s="2">
        <v>2.75E-2</v>
      </c>
      <c r="M11371" s="2">
        <v>5.0200000000000002E-2</v>
      </c>
      <c r="N11371" s="2">
        <v>2.1299999999999999E-2</v>
      </c>
      <c r="O11371" s="2">
        <v>2.7199999999999998E-2</v>
      </c>
      <c r="P11371" s="2">
        <v>3.6799999999999999E-2</v>
      </c>
      <c r="Q11371" s="2">
        <v>1.4E-2</v>
      </c>
      <c r="S11371">
        <v>583</v>
      </c>
    </row>
    <row r="11372" spans="1:19" x14ac:dyDescent="0.35">
      <c r="A11372" t="s">
        <v>227</v>
      </c>
      <c r="B11372" t="s">
        <v>348</v>
      </c>
      <c r="C11372" s="2">
        <v>0.42970000000000003</v>
      </c>
      <c r="D11372" s="2">
        <v>0.31280000000000002</v>
      </c>
      <c r="E11372" s="2">
        <v>9.9500000000000005E-2</v>
      </c>
      <c r="F11372" s="2">
        <v>4.4200000000000003E-2</v>
      </c>
      <c r="G11372" s="2">
        <v>6.8699999999999997E-2</v>
      </c>
      <c r="H11372" s="2">
        <v>3.5299999999999998E-2</v>
      </c>
      <c r="I11372" s="2">
        <v>5.4800000000000001E-2</v>
      </c>
      <c r="J11372" s="2">
        <v>4.58E-2</v>
      </c>
      <c r="K11372" s="2">
        <v>3.3399999999999999E-2</v>
      </c>
      <c r="L11372" s="2">
        <v>1.26E-2</v>
      </c>
      <c r="M11372" s="2">
        <v>3.4700000000000002E-2</v>
      </c>
      <c r="N11372" s="2">
        <v>2.2800000000000001E-2</v>
      </c>
      <c r="O11372" s="2">
        <v>1.7299999999999999E-2</v>
      </c>
      <c r="P11372" s="2">
        <v>0.03</v>
      </c>
      <c r="Q11372" s="2">
        <v>6.6E-3</v>
      </c>
      <c r="R11372" s="2">
        <v>1.6999999999999999E-3</v>
      </c>
      <c r="S11372">
        <v>764</v>
      </c>
    </row>
    <row r="11373" spans="1:19" x14ac:dyDescent="0.35">
      <c r="A11373" t="s">
        <v>228</v>
      </c>
      <c r="B11373" t="s">
        <v>228</v>
      </c>
      <c r="C11373" s="2">
        <v>0.45500000000000002</v>
      </c>
      <c r="D11373" s="2">
        <v>0.31719999999999998</v>
      </c>
      <c r="E11373" s="2">
        <v>8.2000000000000003E-2</v>
      </c>
      <c r="F11373" s="2">
        <v>6.3500000000000001E-2</v>
      </c>
      <c r="G11373" s="2">
        <v>6.3E-2</v>
      </c>
      <c r="H11373" s="2">
        <v>4.1399999999999999E-2</v>
      </c>
      <c r="I11373" s="2">
        <v>4.0399999999999998E-2</v>
      </c>
      <c r="J11373" s="2">
        <v>3.9E-2</v>
      </c>
      <c r="K11373" s="2">
        <v>2.87E-2</v>
      </c>
      <c r="L11373" s="2">
        <v>2.8500000000000001E-2</v>
      </c>
      <c r="M11373" s="2">
        <v>2.8000000000000001E-2</v>
      </c>
      <c r="N11373" s="2">
        <v>2.6599999999999999E-2</v>
      </c>
      <c r="O11373" s="2">
        <v>2.5499999999999998E-2</v>
      </c>
      <c r="P11373" s="2">
        <v>2.0199999999999999E-2</v>
      </c>
      <c r="Q11373" s="2">
        <v>3.8999999999999998E-3</v>
      </c>
      <c r="R11373" s="2">
        <v>8.9999999999999998E-4</v>
      </c>
      <c r="S11373">
        <v>2810</v>
      </c>
    </row>
    <row r="11375" spans="1:19" x14ac:dyDescent="0.35">
      <c r="A11375" s="1" t="s">
        <v>2610</v>
      </c>
    </row>
    <row r="11376" spans="1:19" x14ac:dyDescent="0.35">
      <c r="A11376" t="s">
        <v>219</v>
      </c>
      <c r="B11376" t="s">
        <v>301</v>
      </c>
      <c r="C11376" t="s">
        <v>540</v>
      </c>
      <c r="D11376" t="s">
        <v>277</v>
      </c>
      <c r="E11376" t="s">
        <v>2588</v>
      </c>
      <c r="F11376" t="s">
        <v>2589</v>
      </c>
      <c r="G11376" t="s">
        <v>2590</v>
      </c>
      <c r="H11376" t="s">
        <v>2591</v>
      </c>
      <c r="I11376" t="s">
        <v>2592</v>
      </c>
      <c r="J11376" t="s">
        <v>2593</v>
      </c>
      <c r="K11376" t="s">
        <v>2594</v>
      </c>
      <c r="L11376" t="s">
        <v>2595</v>
      </c>
      <c r="M11376" t="s">
        <v>2596</v>
      </c>
      <c r="N11376" t="s">
        <v>2597</v>
      </c>
      <c r="O11376" t="s">
        <v>2598</v>
      </c>
      <c r="P11376" t="s">
        <v>2599</v>
      </c>
      <c r="Q11376" t="s">
        <v>2021</v>
      </c>
      <c r="R11376" t="s">
        <v>318</v>
      </c>
      <c r="S11376" t="s">
        <v>226</v>
      </c>
    </row>
    <row r="11377" spans="1:19" x14ac:dyDescent="0.35">
      <c r="A11377" t="s">
        <v>227</v>
      </c>
      <c r="B11377" t="s">
        <v>251</v>
      </c>
      <c r="C11377" s="2">
        <v>0.43569999999999998</v>
      </c>
      <c r="D11377" s="2">
        <v>0.35980000000000001</v>
      </c>
      <c r="E11377" s="2">
        <v>6.1600000000000002E-2</v>
      </c>
      <c r="F11377" s="2">
        <v>5.8500000000000003E-2</v>
      </c>
      <c r="G11377" s="2">
        <v>4.0599999999999997E-2</v>
      </c>
      <c r="H11377" s="2">
        <v>3.8899999999999997E-2</v>
      </c>
      <c r="I11377" s="2">
        <v>3.95E-2</v>
      </c>
      <c r="J11377" s="2">
        <v>3.85E-2</v>
      </c>
      <c r="K11377" s="2">
        <v>1.7600000000000001E-2</v>
      </c>
      <c r="L11377" s="2">
        <v>2.2599999999999999E-2</v>
      </c>
      <c r="M11377" s="2">
        <v>2.07E-2</v>
      </c>
      <c r="N11377" s="2">
        <v>1.9E-2</v>
      </c>
      <c r="O11377" s="2">
        <v>2.3E-2</v>
      </c>
      <c r="P11377" s="2">
        <v>1.8800000000000001E-2</v>
      </c>
      <c r="Q11377" s="2">
        <v>2.8E-3</v>
      </c>
      <c r="R11377" s="2">
        <v>1E-3</v>
      </c>
      <c r="S11377">
        <v>2028</v>
      </c>
    </row>
    <row r="11378" spans="1:19" x14ac:dyDescent="0.35">
      <c r="A11378" t="s">
        <v>227</v>
      </c>
      <c r="B11378" t="s">
        <v>252</v>
      </c>
      <c r="C11378" s="2">
        <v>0.53100000000000003</v>
      </c>
      <c r="D11378" s="2">
        <v>0.20050000000000001</v>
      </c>
      <c r="E11378" s="2">
        <v>0.13489999999999999</v>
      </c>
      <c r="F11378" s="2">
        <v>8.1600000000000006E-2</v>
      </c>
      <c r="G11378" s="2">
        <v>0.1249</v>
      </c>
      <c r="H11378" s="2">
        <v>3.8399999999999997E-2</v>
      </c>
      <c r="I11378" s="2">
        <v>4.5600000000000002E-2</v>
      </c>
      <c r="J11378" s="2">
        <v>4.0500000000000001E-2</v>
      </c>
      <c r="K11378" s="2">
        <v>5.8500000000000003E-2</v>
      </c>
      <c r="L11378" s="2">
        <v>4.36E-2</v>
      </c>
      <c r="M11378" s="2">
        <v>3.7600000000000001E-2</v>
      </c>
      <c r="N11378" s="2">
        <v>4.4900000000000002E-2</v>
      </c>
      <c r="O11378" s="2">
        <v>2.6800000000000001E-2</v>
      </c>
      <c r="P11378" s="2">
        <v>2.4799999999999999E-2</v>
      </c>
      <c r="Q11378" s="2">
        <v>1E-4</v>
      </c>
      <c r="S11378">
        <v>620</v>
      </c>
    </row>
    <row r="11379" spans="1:19" x14ac:dyDescent="0.35">
      <c r="A11379" t="s">
        <v>227</v>
      </c>
      <c r="B11379" t="s">
        <v>253</v>
      </c>
      <c r="C11379" s="2">
        <v>0.38750000000000001</v>
      </c>
      <c r="D11379" s="2">
        <v>0.25380000000000003</v>
      </c>
      <c r="E11379" s="2">
        <v>0.12740000000000001</v>
      </c>
      <c r="F11379" s="2">
        <v>5.4600000000000003E-2</v>
      </c>
      <c r="G11379" s="2">
        <v>8.8099999999999998E-2</v>
      </c>
      <c r="H11379" s="2">
        <v>8.9300000000000004E-2</v>
      </c>
      <c r="I11379" s="2">
        <v>2.7900000000000001E-2</v>
      </c>
      <c r="J11379" s="2">
        <v>4.19E-2</v>
      </c>
      <c r="K11379" s="2">
        <v>4.9599999999999998E-2</v>
      </c>
      <c r="L11379" s="2">
        <v>4.53E-2</v>
      </c>
      <c r="M11379" s="2">
        <v>8.3099999999999993E-2</v>
      </c>
      <c r="N11379" s="2">
        <v>5.1299999999999998E-2</v>
      </c>
      <c r="O11379" s="2">
        <v>5.4399999999999997E-2</v>
      </c>
      <c r="P11379" s="2">
        <v>1.9800000000000002E-2</v>
      </c>
      <c r="Q11379" s="2">
        <v>3.3500000000000002E-2</v>
      </c>
      <c r="R11379" s="2">
        <v>3.0999999999999999E-3</v>
      </c>
      <c r="S11379">
        <v>153</v>
      </c>
    </row>
    <row r="11380" spans="1:19" x14ac:dyDescent="0.35">
      <c r="A11380" s="3" t="s">
        <v>227</v>
      </c>
      <c r="B11380" s="3" t="s">
        <v>254</v>
      </c>
      <c r="C11380" s="4">
        <v>0.40110000000000001</v>
      </c>
      <c r="D11380" s="4">
        <v>6.5500000000000003E-2</v>
      </c>
      <c r="E11380" s="4">
        <v>0.1237</v>
      </c>
      <c r="F11380" s="5"/>
      <c r="G11380" s="4">
        <v>0.35170000000000001</v>
      </c>
      <c r="H11380" s="5"/>
      <c r="I11380" s="4">
        <v>0.1237</v>
      </c>
      <c r="J11380" s="5"/>
      <c r="K11380" s="5"/>
      <c r="L11380" s="5"/>
      <c r="M11380" s="4">
        <v>0.1237</v>
      </c>
      <c r="N11380" s="5"/>
      <c r="O11380" s="5"/>
      <c r="P11380" s="5"/>
      <c r="Q11380" s="4">
        <v>5.8000000000000003E-2</v>
      </c>
      <c r="R11380" s="5"/>
      <c r="S11380" s="5" t="s">
        <v>515</v>
      </c>
    </row>
    <row r="11381" spans="1:19" x14ac:dyDescent="0.35">
      <c r="A11381" t="s">
        <v>228</v>
      </c>
      <c r="B11381" t="s">
        <v>228</v>
      </c>
      <c r="C11381" s="2">
        <v>0.45500000000000002</v>
      </c>
      <c r="D11381" s="2">
        <v>0.31719999999999998</v>
      </c>
      <c r="E11381" s="2">
        <v>8.2000000000000003E-2</v>
      </c>
      <c r="F11381" s="2">
        <v>6.3500000000000001E-2</v>
      </c>
      <c r="G11381" s="2">
        <v>6.3E-2</v>
      </c>
      <c r="H11381" s="2">
        <v>4.1399999999999999E-2</v>
      </c>
      <c r="I11381" s="2">
        <v>4.0399999999999998E-2</v>
      </c>
      <c r="J11381" s="2">
        <v>3.9E-2</v>
      </c>
      <c r="K11381" s="2">
        <v>2.87E-2</v>
      </c>
      <c r="L11381" s="2">
        <v>2.8500000000000001E-2</v>
      </c>
      <c r="M11381" s="2">
        <v>2.8000000000000001E-2</v>
      </c>
      <c r="N11381" s="2">
        <v>2.6599999999999999E-2</v>
      </c>
      <c r="O11381" s="2">
        <v>2.5499999999999998E-2</v>
      </c>
      <c r="P11381" s="2">
        <v>2.0199999999999999E-2</v>
      </c>
      <c r="Q11381" s="2">
        <v>3.8999999999999998E-3</v>
      </c>
      <c r="R11381" s="2">
        <v>8.9999999999999998E-4</v>
      </c>
      <c r="S11381">
        <v>2810</v>
      </c>
    </row>
    <row r="11383" spans="1:19" x14ac:dyDescent="0.35">
      <c r="A11383" s="1" t="s">
        <v>2611</v>
      </c>
    </row>
    <row r="11384" spans="1:19" x14ac:dyDescent="0.35">
      <c r="A11384" t="s">
        <v>219</v>
      </c>
      <c r="B11384" t="s">
        <v>301</v>
      </c>
      <c r="C11384" t="s">
        <v>540</v>
      </c>
      <c r="D11384" t="s">
        <v>277</v>
      </c>
      <c r="E11384" t="s">
        <v>2588</v>
      </c>
      <c r="F11384" t="s">
        <v>2589</v>
      </c>
      <c r="G11384" t="s">
        <v>2590</v>
      </c>
      <c r="H11384" t="s">
        <v>2591</v>
      </c>
      <c r="I11384" t="s">
        <v>2592</v>
      </c>
      <c r="J11384" t="s">
        <v>2593</v>
      </c>
      <c r="K11384" t="s">
        <v>2594</v>
      </c>
      <c r="L11384" t="s">
        <v>2595</v>
      </c>
      <c r="M11384" t="s">
        <v>2596</v>
      </c>
      <c r="N11384" t="s">
        <v>2597</v>
      </c>
      <c r="O11384" t="s">
        <v>2598</v>
      </c>
      <c r="P11384" t="s">
        <v>2599</v>
      </c>
      <c r="Q11384" t="s">
        <v>2021</v>
      </c>
      <c r="R11384" t="s">
        <v>318</v>
      </c>
      <c r="S11384" t="s">
        <v>226</v>
      </c>
    </row>
    <row r="11385" spans="1:19" x14ac:dyDescent="0.35">
      <c r="A11385" t="s">
        <v>227</v>
      </c>
      <c r="B11385" t="s">
        <v>1335</v>
      </c>
      <c r="C11385" s="2">
        <v>0.42359999999999998</v>
      </c>
      <c r="D11385" s="2">
        <v>0.3911</v>
      </c>
      <c r="E11385" s="2">
        <v>5.4199999999999998E-2</v>
      </c>
      <c r="F11385" s="2">
        <v>3.6799999999999999E-2</v>
      </c>
      <c r="G11385" s="2">
        <v>6.1699999999999998E-2</v>
      </c>
      <c r="H11385" s="2">
        <v>3.3799999999999997E-2</v>
      </c>
      <c r="I11385" s="2">
        <v>3.0200000000000001E-2</v>
      </c>
      <c r="J11385" s="2">
        <v>3.1899999999999998E-2</v>
      </c>
      <c r="K11385" s="2">
        <v>2.7099999999999999E-2</v>
      </c>
      <c r="L11385" s="2">
        <v>2.3300000000000001E-2</v>
      </c>
      <c r="M11385" s="2">
        <v>2.4400000000000002E-2</v>
      </c>
      <c r="N11385" s="2">
        <v>1.61E-2</v>
      </c>
      <c r="O11385" s="2">
        <v>2.1000000000000001E-2</v>
      </c>
      <c r="P11385" s="2">
        <v>2.5499999999999998E-2</v>
      </c>
      <c r="Q11385" s="2">
        <v>3.8999999999999998E-3</v>
      </c>
      <c r="R11385" s="2">
        <v>2.0999999999999999E-3</v>
      </c>
      <c r="S11385">
        <v>846</v>
      </c>
    </row>
    <row r="11386" spans="1:19" x14ac:dyDescent="0.35">
      <c r="A11386" s="3" t="s">
        <v>227</v>
      </c>
      <c r="B11386" s="3" t="s">
        <v>1336</v>
      </c>
      <c r="C11386" s="4">
        <v>0.40660000000000002</v>
      </c>
      <c r="D11386" s="5"/>
      <c r="E11386" s="5"/>
      <c r="F11386" s="5"/>
      <c r="G11386" s="4">
        <v>0.59340000000000004</v>
      </c>
      <c r="H11386" s="5"/>
      <c r="I11386" s="5"/>
      <c r="J11386" s="5"/>
      <c r="K11386" s="4">
        <v>0.59340000000000004</v>
      </c>
      <c r="L11386" s="5"/>
      <c r="M11386" s="5"/>
      <c r="N11386" s="5"/>
      <c r="O11386" s="5"/>
      <c r="P11386" s="5"/>
      <c r="Q11386" s="5"/>
      <c r="R11386" s="5"/>
      <c r="S11386" s="5" t="s">
        <v>434</v>
      </c>
    </row>
    <row r="11387" spans="1:19" x14ac:dyDescent="0.35">
      <c r="A11387" t="s">
        <v>227</v>
      </c>
      <c r="B11387" t="s">
        <v>1337</v>
      </c>
      <c r="C11387" s="2">
        <v>0.47089999999999999</v>
      </c>
      <c r="D11387" s="2">
        <v>0.28079999999999999</v>
      </c>
      <c r="E11387" s="2">
        <v>9.6199999999999994E-2</v>
      </c>
      <c r="F11387" s="2">
        <v>7.7100000000000002E-2</v>
      </c>
      <c r="G11387" s="2">
        <v>6.2399999999999997E-2</v>
      </c>
      <c r="H11387" s="2">
        <v>4.53E-2</v>
      </c>
      <c r="I11387" s="2">
        <v>4.5699999999999998E-2</v>
      </c>
      <c r="J11387" s="2">
        <v>4.2700000000000002E-2</v>
      </c>
      <c r="K11387" s="2">
        <v>2.81E-2</v>
      </c>
      <c r="L11387" s="2">
        <v>3.1199999999999999E-2</v>
      </c>
      <c r="M11387" s="2">
        <v>2.9899999999999999E-2</v>
      </c>
      <c r="N11387" s="2">
        <v>3.1899999999999998E-2</v>
      </c>
      <c r="O11387" s="2">
        <v>2.7799999999999998E-2</v>
      </c>
      <c r="P11387" s="2">
        <v>1.7600000000000001E-2</v>
      </c>
      <c r="Q11387" s="2">
        <v>3.8999999999999998E-3</v>
      </c>
      <c r="R11387" s="2">
        <v>2.0000000000000001E-4</v>
      </c>
      <c r="S11387">
        <v>1962</v>
      </c>
    </row>
    <row r="11388" spans="1:19" x14ac:dyDescent="0.35">
      <c r="A11388" t="s">
        <v>228</v>
      </c>
      <c r="B11388" t="s">
        <v>228</v>
      </c>
      <c r="C11388" s="2">
        <v>0.45500000000000002</v>
      </c>
      <c r="D11388" s="2">
        <v>0.31719999999999998</v>
      </c>
      <c r="E11388" s="2">
        <v>8.2000000000000003E-2</v>
      </c>
      <c r="F11388" s="2">
        <v>6.3500000000000001E-2</v>
      </c>
      <c r="G11388" s="2">
        <v>6.3E-2</v>
      </c>
      <c r="H11388" s="2">
        <v>4.1399999999999999E-2</v>
      </c>
      <c r="I11388" s="2">
        <v>4.0399999999999998E-2</v>
      </c>
      <c r="J11388" s="2">
        <v>3.9E-2</v>
      </c>
      <c r="K11388" s="2">
        <v>2.87E-2</v>
      </c>
      <c r="L11388" s="2">
        <v>2.8500000000000001E-2</v>
      </c>
      <c r="M11388" s="2">
        <v>2.8000000000000001E-2</v>
      </c>
      <c r="N11388" s="2">
        <v>2.6599999999999999E-2</v>
      </c>
      <c r="O11388" s="2">
        <v>2.5499999999999998E-2</v>
      </c>
      <c r="P11388" s="2">
        <v>2.0199999999999999E-2</v>
      </c>
      <c r="Q11388" s="2">
        <v>3.8999999999999998E-3</v>
      </c>
      <c r="R11388" s="2">
        <v>8.9999999999999998E-4</v>
      </c>
      <c r="S11388">
        <v>2810</v>
      </c>
    </row>
    <row r="11390" spans="1:19" x14ac:dyDescent="0.35">
      <c r="A11390" s="1" t="s">
        <v>2612</v>
      </c>
    </row>
    <row r="11391" spans="1:19" x14ac:dyDescent="0.35">
      <c r="A11391" t="s">
        <v>219</v>
      </c>
      <c r="B11391" t="s">
        <v>301</v>
      </c>
      <c r="C11391" t="s">
        <v>540</v>
      </c>
      <c r="D11391" t="s">
        <v>277</v>
      </c>
      <c r="E11391" t="s">
        <v>2588</v>
      </c>
      <c r="F11391" t="s">
        <v>2589</v>
      </c>
      <c r="G11391" t="s">
        <v>2590</v>
      </c>
      <c r="H11391" t="s">
        <v>2591</v>
      </c>
      <c r="I11391" t="s">
        <v>2592</v>
      </c>
      <c r="J11391" t="s">
        <v>2593</v>
      </c>
      <c r="K11391" t="s">
        <v>2594</v>
      </c>
      <c r="L11391" t="s">
        <v>2595</v>
      </c>
      <c r="M11391" t="s">
        <v>2596</v>
      </c>
      <c r="N11391" t="s">
        <v>2597</v>
      </c>
      <c r="O11391" t="s">
        <v>2598</v>
      </c>
      <c r="P11391" t="s">
        <v>2599</v>
      </c>
      <c r="Q11391" t="s">
        <v>2021</v>
      </c>
      <c r="R11391" t="s">
        <v>318</v>
      </c>
      <c r="S11391" t="s">
        <v>226</v>
      </c>
    </row>
    <row r="11392" spans="1:19" x14ac:dyDescent="0.35">
      <c r="A11392" t="s">
        <v>227</v>
      </c>
      <c r="B11392" t="s">
        <v>1339</v>
      </c>
      <c r="C11392" s="2">
        <v>0.72350000000000003</v>
      </c>
      <c r="D11392" s="2">
        <v>3.6900000000000002E-2</v>
      </c>
      <c r="E11392" s="2">
        <v>2.1600000000000001E-2</v>
      </c>
      <c r="F11392" s="2">
        <v>0.1038</v>
      </c>
      <c r="G11392" s="2">
        <v>3.56E-2</v>
      </c>
      <c r="H11392" s="2">
        <v>3.4799999999999998E-2</v>
      </c>
      <c r="I11392" s="2">
        <v>3.39E-2</v>
      </c>
      <c r="J11392" s="2">
        <v>3.4799999999999998E-2</v>
      </c>
      <c r="K11392" s="2">
        <v>3.9800000000000002E-2</v>
      </c>
      <c r="L11392" s="2">
        <v>2.0999999999999999E-3</v>
      </c>
      <c r="N11392" s="2">
        <v>6.1699999999999998E-2</v>
      </c>
      <c r="O11392" s="2">
        <v>1.1999999999999999E-3</v>
      </c>
      <c r="S11392">
        <v>51</v>
      </c>
    </row>
    <row r="11393" spans="1:20" x14ac:dyDescent="0.35">
      <c r="A11393" t="s">
        <v>227</v>
      </c>
      <c r="B11393" t="s">
        <v>1340</v>
      </c>
      <c r="C11393" s="2">
        <v>0.46929999999999999</v>
      </c>
      <c r="D11393" s="2">
        <v>0.2298</v>
      </c>
      <c r="E11393" s="2">
        <v>0.13750000000000001</v>
      </c>
      <c r="F11393" s="2">
        <v>5.96E-2</v>
      </c>
      <c r="G11393" s="2">
        <v>0.108</v>
      </c>
      <c r="H11393" s="2">
        <v>5.4899999999999997E-2</v>
      </c>
      <c r="I11393" s="2">
        <v>5.7099999999999998E-2</v>
      </c>
      <c r="J11393" s="2">
        <v>4.3400000000000001E-2</v>
      </c>
      <c r="K11393" s="2">
        <v>5.0299999999999997E-2</v>
      </c>
      <c r="L11393" s="2">
        <v>4.53E-2</v>
      </c>
      <c r="M11393" s="2">
        <v>5.8799999999999998E-2</v>
      </c>
      <c r="N11393" s="2">
        <v>5.9400000000000001E-2</v>
      </c>
      <c r="O11393" s="2">
        <v>4.0399999999999998E-2</v>
      </c>
      <c r="P11393" s="2">
        <v>2.6800000000000001E-2</v>
      </c>
      <c r="Q11393" s="2">
        <v>2.5000000000000001E-3</v>
      </c>
      <c r="S11393">
        <v>727</v>
      </c>
    </row>
    <row r="11394" spans="1:20" x14ac:dyDescent="0.35">
      <c r="A11394" t="s">
        <v>227</v>
      </c>
      <c r="B11394" t="s">
        <v>1341</v>
      </c>
      <c r="C11394" s="2">
        <v>0.4526</v>
      </c>
      <c r="D11394" s="2">
        <v>0.31059999999999999</v>
      </c>
      <c r="E11394" s="2">
        <v>8.7499999999999994E-2</v>
      </c>
      <c r="F11394" s="2">
        <v>6.8099999999999994E-2</v>
      </c>
      <c r="G11394" s="2">
        <v>6.5699999999999995E-2</v>
      </c>
      <c r="H11394" s="2">
        <v>4.6399999999999997E-2</v>
      </c>
      <c r="I11394" s="2">
        <v>4.3400000000000001E-2</v>
      </c>
      <c r="J11394" s="2">
        <v>4.2900000000000001E-2</v>
      </c>
      <c r="K11394" s="2">
        <v>0.03</v>
      </c>
      <c r="L11394" s="2">
        <v>3.3099999999999997E-2</v>
      </c>
      <c r="M11394" s="2">
        <v>2.46E-2</v>
      </c>
      <c r="N11394" s="2">
        <v>2.1299999999999999E-2</v>
      </c>
      <c r="O11394" s="2">
        <v>2.9499999999999998E-2</v>
      </c>
      <c r="P11394" s="2">
        <v>2.29E-2</v>
      </c>
      <c r="Q11394" s="2">
        <v>5.7999999999999996E-3</v>
      </c>
      <c r="R11394" s="2">
        <v>1.6999999999999999E-3</v>
      </c>
      <c r="S11394">
        <v>1344</v>
      </c>
    </row>
    <row r="11395" spans="1:20" x14ac:dyDescent="0.35">
      <c r="A11395" t="s">
        <v>227</v>
      </c>
      <c r="B11395" t="s">
        <v>1342</v>
      </c>
      <c r="C11395" s="2">
        <v>0.4194</v>
      </c>
      <c r="D11395" s="2">
        <v>0.44769999999999999</v>
      </c>
      <c r="E11395" s="2">
        <v>1.9400000000000001E-2</v>
      </c>
      <c r="F11395" s="2">
        <v>5.3699999999999998E-2</v>
      </c>
      <c r="G11395" s="2">
        <v>1.4E-2</v>
      </c>
      <c r="H11395" s="2">
        <v>1.7500000000000002E-2</v>
      </c>
      <c r="I11395" s="2">
        <v>1.7600000000000001E-2</v>
      </c>
      <c r="J11395" s="2">
        <v>2.6599999999999999E-2</v>
      </c>
      <c r="K11395" s="2">
        <v>2.7000000000000001E-3</v>
      </c>
      <c r="L11395" s="2">
        <v>4.1999999999999997E-3</v>
      </c>
      <c r="M11395" s="2">
        <v>6.7000000000000002E-3</v>
      </c>
      <c r="N11395" s="2">
        <v>1.1999999999999999E-3</v>
      </c>
      <c r="O11395" s="2">
        <v>4.0000000000000001E-3</v>
      </c>
      <c r="P11395" s="2">
        <v>9.7999999999999997E-3</v>
      </c>
      <c r="Q11395" s="2">
        <v>1.6999999999999999E-3</v>
      </c>
      <c r="S11395">
        <v>688</v>
      </c>
    </row>
    <row r="11396" spans="1:20" x14ac:dyDescent="0.35">
      <c r="A11396" t="s">
        <v>228</v>
      </c>
      <c r="B11396" t="s">
        <v>228</v>
      </c>
      <c r="C11396" s="2">
        <v>0.45500000000000002</v>
      </c>
      <c r="D11396" s="2">
        <v>0.31719999999999998</v>
      </c>
      <c r="E11396" s="2">
        <v>8.2000000000000003E-2</v>
      </c>
      <c r="F11396" s="2">
        <v>6.3500000000000001E-2</v>
      </c>
      <c r="G11396" s="2">
        <v>6.3E-2</v>
      </c>
      <c r="H11396" s="2">
        <v>4.1399999999999999E-2</v>
      </c>
      <c r="I11396" s="2">
        <v>4.0399999999999998E-2</v>
      </c>
      <c r="J11396" s="2">
        <v>3.9E-2</v>
      </c>
      <c r="K11396" s="2">
        <v>2.87E-2</v>
      </c>
      <c r="L11396" s="2">
        <v>2.8500000000000001E-2</v>
      </c>
      <c r="M11396" s="2">
        <v>2.8000000000000001E-2</v>
      </c>
      <c r="N11396" s="2">
        <v>2.6599999999999999E-2</v>
      </c>
      <c r="O11396" s="2">
        <v>2.5499999999999998E-2</v>
      </c>
      <c r="P11396" s="2">
        <v>2.0199999999999999E-2</v>
      </c>
      <c r="Q11396" s="2">
        <v>3.8999999999999998E-3</v>
      </c>
      <c r="R11396" s="2">
        <v>8.9999999999999998E-4</v>
      </c>
      <c r="S11396">
        <v>2810</v>
      </c>
    </row>
    <row r="11398" spans="1:20" x14ac:dyDescent="0.35">
      <c r="A11398" s="1" t="s">
        <v>2613</v>
      </c>
    </row>
    <row r="11399" spans="1:20" x14ac:dyDescent="0.35">
      <c r="A11399" t="s">
        <v>219</v>
      </c>
      <c r="B11399" t="s">
        <v>301</v>
      </c>
      <c r="C11399" t="s">
        <v>325</v>
      </c>
      <c r="D11399" t="s">
        <v>540</v>
      </c>
      <c r="E11399" t="s">
        <v>277</v>
      </c>
      <c r="F11399" t="s">
        <v>2588</v>
      </c>
      <c r="G11399" t="s">
        <v>2589</v>
      </c>
      <c r="H11399" t="s">
        <v>2590</v>
      </c>
      <c r="I11399" t="s">
        <v>2591</v>
      </c>
      <c r="J11399" t="s">
        <v>2592</v>
      </c>
      <c r="K11399" t="s">
        <v>2593</v>
      </c>
      <c r="L11399" t="s">
        <v>2594</v>
      </c>
      <c r="M11399" t="s">
        <v>2595</v>
      </c>
      <c r="N11399" t="s">
        <v>2596</v>
      </c>
      <c r="O11399" t="s">
        <v>2597</v>
      </c>
      <c r="P11399" t="s">
        <v>2598</v>
      </c>
      <c r="Q11399" t="s">
        <v>2599</v>
      </c>
      <c r="R11399" t="s">
        <v>2021</v>
      </c>
      <c r="S11399" t="s">
        <v>318</v>
      </c>
      <c r="T11399" t="s">
        <v>226</v>
      </c>
    </row>
    <row r="11400" spans="1:20" x14ac:dyDescent="0.35">
      <c r="A11400" s="3" t="s">
        <v>227</v>
      </c>
      <c r="B11400" s="3" t="s">
        <v>1335</v>
      </c>
      <c r="C11400" s="3" t="s">
        <v>1339</v>
      </c>
      <c r="D11400" s="4">
        <v>0.7661</v>
      </c>
      <c r="E11400" s="4">
        <v>5.1299999999999998E-2</v>
      </c>
      <c r="F11400" s="4">
        <v>2.7300000000000001E-2</v>
      </c>
      <c r="G11400" s="4">
        <v>9.7000000000000003E-3</v>
      </c>
      <c r="H11400" s="5"/>
      <c r="I11400" s="5"/>
      <c r="J11400" s="4">
        <v>8.3400000000000002E-2</v>
      </c>
      <c r="K11400" s="5"/>
      <c r="L11400" s="5"/>
      <c r="M11400" s="5"/>
      <c r="N11400" s="5"/>
      <c r="O11400" s="4">
        <v>6.2199999999999998E-2</v>
      </c>
      <c r="P11400" s="5"/>
      <c r="Q11400" s="5"/>
      <c r="R11400" s="5"/>
      <c r="S11400" s="5"/>
      <c r="T11400" s="5" t="s">
        <v>427</v>
      </c>
    </row>
    <row r="11401" spans="1:20" x14ac:dyDescent="0.35">
      <c r="A11401" t="s">
        <v>227</v>
      </c>
      <c r="B11401" t="s">
        <v>1335</v>
      </c>
      <c r="C11401" t="s">
        <v>1340</v>
      </c>
      <c r="D11401" s="2">
        <v>0.4471</v>
      </c>
      <c r="E11401" s="2">
        <v>0.36799999999999999</v>
      </c>
      <c r="F11401" s="2">
        <v>5.2999999999999999E-2</v>
      </c>
      <c r="G11401" s="2">
        <v>2.9100000000000001E-2</v>
      </c>
      <c r="H11401" s="2">
        <v>6.4500000000000002E-2</v>
      </c>
      <c r="I11401" s="2">
        <v>2.4E-2</v>
      </c>
      <c r="J11401" s="2">
        <v>2.1899999999999999E-2</v>
      </c>
      <c r="K11401" s="2">
        <v>1.7299999999999999E-2</v>
      </c>
      <c r="L11401" s="2">
        <v>4.1099999999999998E-2</v>
      </c>
      <c r="M11401" s="2">
        <v>2.52E-2</v>
      </c>
      <c r="N11401" s="2">
        <v>3.6700000000000003E-2</v>
      </c>
      <c r="O11401" s="2">
        <v>3.4500000000000003E-2</v>
      </c>
      <c r="P11401" s="2">
        <v>1.06E-2</v>
      </c>
      <c r="Q11401" s="2">
        <v>8.2000000000000007E-3</v>
      </c>
      <c r="R11401" s="2">
        <v>4.8999999999999998E-3</v>
      </c>
      <c r="T11401">
        <v>250</v>
      </c>
    </row>
    <row r="11402" spans="1:20" x14ac:dyDescent="0.35">
      <c r="A11402" t="s">
        <v>227</v>
      </c>
      <c r="B11402" t="s">
        <v>1335</v>
      </c>
      <c r="C11402" t="s">
        <v>1341</v>
      </c>
      <c r="D11402" s="2">
        <v>0.38629999999999998</v>
      </c>
      <c r="E11402" s="2">
        <v>0.37459999999999999</v>
      </c>
      <c r="F11402" s="2">
        <v>7.5800000000000006E-2</v>
      </c>
      <c r="G11402" s="2">
        <v>4.36E-2</v>
      </c>
      <c r="H11402" s="2">
        <v>8.4900000000000003E-2</v>
      </c>
      <c r="I11402" s="2">
        <v>5.1999999999999998E-2</v>
      </c>
      <c r="J11402" s="2">
        <v>4.1799999999999997E-2</v>
      </c>
      <c r="K11402" s="2">
        <v>5.16E-2</v>
      </c>
      <c r="L11402" s="2">
        <v>3.1E-2</v>
      </c>
      <c r="M11402" s="2">
        <v>3.2199999999999999E-2</v>
      </c>
      <c r="N11402" s="2">
        <v>2.7900000000000001E-2</v>
      </c>
      <c r="O11402" s="2">
        <v>1.0800000000000001E-2</v>
      </c>
      <c r="P11402" s="2">
        <v>3.4799999999999998E-2</v>
      </c>
      <c r="Q11402" s="2">
        <v>4.4200000000000003E-2</v>
      </c>
      <c r="R11402" s="2">
        <v>4.7999999999999996E-3</v>
      </c>
      <c r="S11402" s="2">
        <v>4.1000000000000003E-3</v>
      </c>
      <c r="T11402">
        <v>419</v>
      </c>
    </row>
    <row r="11403" spans="1:20" x14ac:dyDescent="0.35">
      <c r="A11403" t="s">
        <v>227</v>
      </c>
      <c r="B11403" t="s">
        <v>1335</v>
      </c>
      <c r="C11403" t="s">
        <v>1342</v>
      </c>
      <c r="D11403" s="2">
        <v>0.44879999999999998</v>
      </c>
      <c r="E11403" s="2">
        <v>0.50939999999999996</v>
      </c>
      <c r="F11403" s="2">
        <v>1.1000000000000001E-3</v>
      </c>
      <c r="G11403" s="2">
        <v>3.2300000000000002E-2</v>
      </c>
      <c r="H11403" s="2">
        <v>3.2000000000000002E-3</v>
      </c>
      <c r="I11403" s="2">
        <v>2.2000000000000001E-3</v>
      </c>
      <c r="J11403" s="2">
        <v>2.8999999999999998E-3</v>
      </c>
      <c r="K11403" s="2">
        <v>2.2000000000000001E-3</v>
      </c>
      <c r="L11403" s="2">
        <v>1.6000000000000001E-3</v>
      </c>
      <c r="N11403" s="2">
        <v>1.8E-3</v>
      </c>
      <c r="Q11403" s="2">
        <v>1.2999999999999999E-3</v>
      </c>
      <c r="R11403" s="2">
        <v>6.9999999999999999E-4</v>
      </c>
      <c r="T11403">
        <v>157</v>
      </c>
    </row>
    <row r="11404" spans="1:20" x14ac:dyDescent="0.35">
      <c r="A11404" s="3" t="s">
        <v>227</v>
      </c>
      <c r="B11404" s="3" t="s">
        <v>1336</v>
      </c>
      <c r="C11404" s="3" t="s">
        <v>1341</v>
      </c>
      <c r="D11404" s="4">
        <v>0.40660000000000002</v>
      </c>
      <c r="E11404" s="5"/>
      <c r="F11404" s="5"/>
      <c r="G11404" s="5"/>
      <c r="H11404" s="4">
        <v>0.59340000000000004</v>
      </c>
      <c r="I11404" s="5"/>
      <c r="J11404" s="5"/>
      <c r="K11404" s="5"/>
      <c r="L11404" s="4">
        <v>0.59340000000000004</v>
      </c>
      <c r="M11404" s="5"/>
      <c r="N11404" s="5"/>
      <c r="O11404" s="5"/>
      <c r="P11404" s="5"/>
      <c r="Q11404" s="5"/>
      <c r="R11404" s="5"/>
      <c r="S11404" s="5"/>
      <c r="T11404" s="5" t="s">
        <v>434</v>
      </c>
    </row>
    <row r="11405" spans="1:20" x14ac:dyDescent="0.35">
      <c r="A11405" t="s">
        <v>227</v>
      </c>
      <c r="B11405" t="s">
        <v>1337</v>
      </c>
      <c r="C11405" t="s">
        <v>1339</v>
      </c>
      <c r="D11405" s="2">
        <v>0.69889999999999997</v>
      </c>
      <c r="E11405" s="2">
        <v>2.86E-2</v>
      </c>
      <c r="F11405" s="2">
        <v>1.83E-2</v>
      </c>
      <c r="G11405" s="2">
        <v>0.15820000000000001</v>
      </c>
      <c r="H11405" s="2">
        <v>5.62E-2</v>
      </c>
      <c r="I11405" s="2">
        <v>5.4899999999999997E-2</v>
      </c>
      <c r="J11405" s="2">
        <v>5.1999999999999998E-3</v>
      </c>
      <c r="K11405" s="2">
        <v>5.4899999999999997E-2</v>
      </c>
      <c r="L11405" s="2">
        <v>6.2799999999999995E-2</v>
      </c>
      <c r="M11405" s="2">
        <v>3.3E-3</v>
      </c>
      <c r="O11405" s="2">
        <v>6.1400000000000003E-2</v>
      </c>
      <c r="P11405" s="2">
        <v>1.9E-3</v>
      </c>
      <c r="T11405">
        <v>31</v>
      </c>
    </row>
    <row r="11406" spans="1:20" x14ac:dyDescent="0.35">
      <c r="A11406" t="s">
        <v>227</v>
      </c>
      <c r="B11406" t="s">
        <v>1337</v>
      </c>
      <c r="C11406" t="s">
        <v>1340</v>
      </c>
      <c r="D11406" s="2">
        <v>0.4819</v>
      </c>
      <c r="E11406" s="2">
        <v>0.15140000000000001</v>
      </c>
      <c r="F11406" s="2">
        <v>0.1855</v>
      </c>
      <c r="G11406" s="2">
        <v>7.6799999999999993E-2</v>
      </c>
      <c r="H11406" s="2">
        <v>0.13270000000000001</v>
      </c>
      <c r="I11406" s="2">
        <v>7.2400000000000006E-2</v>
      </c>
      <c r="J11406" s="2">
        <v>7.7100000000000002E-2</v>
      </c>
      <c r="K11406" s="2">
        <v>5.8200000000000002E-2</v>
      </c>
      <c r="L11406" s="2">
        <v>5.5500000000000001E-2</v>
      </c>
      <c r="M11406" s="2">
        <v>5.6599999999999998E-2</v>
      </c>
      <c r="N11406" s="2">
        <v>7.1300000000000002E-2</v>
      </c>
      <c r="O11406" s="2">
        <v>7.3499999999999996E-2</v>
      </c>
      <c r="P11406" s="2">
        <v>5.7299999999999997E-2</v>
      </c>
      <c r="Q11406" s="2">
        <v>3.73E-2</v>
      </c>
      <c r="R11406" s="2">
        <v>1.1000000000000001E-3</v>
      </c>
      <c r="T11406">
        <v>477</v>
      </c>
    </row>
    <row r="11407" spans="1:20" x14ac:dyDescent="0.35">
      <c r="A11407" t="s">
        <v>227</v>
      </c>
      <c r="B11407" t="s">
        <v>1337</v>
      </c>
      <c r="C11407" t="s">
        <v>1341</v>
      </c>
      <c r="D11407" s="2">
        <v>0.48809999999999998</v>
      </c>
      <c r="E11407" s="2">
        <v>0.27800000000000002</v>
      </c>
      <c r="F11407" s="2">
        <v>9.4100000000000003E-2</v>
      </c>
      <c r="G11407" s="2">
        <v>8.14E-2</v>
      </c>
      <c r="H11407" s="2">
        <v>5.2900000000000003E-2</v>
      </c>
      <c r="I11407" s="2">
        <v>4.36E-2</v>
      </c>
      <c r="J11407" s="2">
        <v>4.4400000000000002E-2</v>
      </c>
      <c r="K11407" s="2">
        <v>3.8600000000000002E-2</v>
      </c>
      <c r="L11407" s="2">
        <v>2.6800000000000001E-2</v>
      </c>
      <c r="M11407" s="2">
        <v>3.3700000000000001E-2</v>
      </c>
      <c r="N11407" s="2">
        <v>2.3E-2</v>
      </c>
      <c r="O11407" s="2">
        <v>2.69E-2</v>
      </c>
      <c r="P11407" s="2">
        <v>2.6800000000000001E-2</v>
      </c>
      <c r="Q11407" s="2">
        <v>1.1599999999999999E-2</v>
      </c>
      <c r="R11407" s="2">
        <v>6.3E-3</v>
      </c>
      <c r="S11407" s="2">
        <v>5.0000000000000001E-4</v>
      </c>
      <c r="T11407">
        <v>923</v>
      </c>
    </row>
    <row r="11408" spans="1:20" x14ac:dyDescent="0.35">
      <c r="A11408" t="s">
        <v>227</v>
      </c>
      <c r="B11408" t="s">
        <v>1337</v>
      </c>
      <c r="C11408" t="s">
        <v>1342</v>
      </c>
      <c r="D11408" s="2">
        <v>0.40820000000000001</v>
      </c>
      <c r="E11408" s="2">
        <v>0.42399999999999999</v>
      </c>
      <c r="F11408" s="2">
        <v>2.64E-2</v>
      </c>
      <c r="G11408" s="2">
        <v>6.2E-2</v>
      </c>
      <c r="H11408" s="2">
        <v>1.8100000000000002E-2</v>
      </c>
      <c r="I11408" s="2">
        <v>2.3300000000000001E-2</v>
      </c>
      <c r="J11408" s="2">
        <v>2.3300000000000001E-2</v>
      </c>
      <c r="K11408" s="2">
        <v>3.5900000000000001E-2</v>
      </c>
      <c r="L11408" s="2">
        <v>3.0999999999999999E-3</v>
      </c>
      <c r="M11408" s="2">
        <v>5.7999999999999996E-3</v>
      </c>
      <c r="N11408" s="2">
        <v>8.6E-3</v>
      </c>
      <c r="O11408" s="2">
        <v>1.6999999999999999E-3</v>
      </c>
      <c r="P11408" s="2">
        <v>5.4999999999999997E-3</v>
      </c>
      <c r="Q11408" s="2">
        <v>1.2999999999999999E-2</v>
      </c>
      <c r="R11408" s="2">
        <v>2.0999999999999999E-3</v>
      </c>
      <c r="T11408">
        <v>531</v>
      </c>
    </row>
    <row r="11409" spans="1:20" x14ac:dyDescent="0.35">
      <c r="A11409" t="s">
        <v>228</v>
      </c>
      <c r="B11409" t="s">
        <v>228</v>
      </c>
      <c r="C11409" t="s">
        <v>228</v>
      </c>
      <c r="D11409" s="2">
        <v>0.45500000000000002</v>
      </c>
      <c r="E11409" s="2">
        <v>0.31719999999999998</v>
      </c>
      <c r="F11409" s="2">
        <v>8.2000000000000003E-2</v>
      </c>
      <c r="G11409" s="2">
        <v>6.3500000000000001E-2</v>
      </c>
      <c r="H11409" s="2">
        <v>6.3E-2</v>
      </c>
      <c r="I11409" s="2">
        <v>4.1399999999999999E-2</v>
      </c>
      <c r="J11409" s="2">
        <v>4.0399999999999998E-2</v>
      </c>
      <c r="K11409" s="2">
        <v>3.9E-2</v>
      </c>
      <c r="L11409" s="2">
        <v>2.87E-2</v>
      </c>
      <c r="M11409" s="2">
        <v>2.8500000000000001E-2</v>
      </c>
      <c r="N11409" s="2">
        <v>2.8000000000000001E-2</v>
      </c>
      <c r="O11409" s="2">
        <v>2.6599999999999999E-2</v>
      </c>
      <c r="P11409" s="2">
        <v>2.5499999999999998E-2</v>
      </c>
      <c r="Q11409" s="2">
        <v>2.0199999999999999E-2</v>
      </c>
      <c r="R11409" s="2">
        <v>3.8999999999999998E-3</v>
      </c>
      <c r="S11409" s="2">
        <v>8.9999999999999998E-4</v>
      </c>
      <c r="T11409">
        <v>2810</v>
      </c>
    </row>
    <row r="11411" spans="1:20" x14ac:dyDescent="0.35">
      <c r="A11411" s="1" t="s">
        <v>2614</v>
      </c>
    </row>
    <row r="11412" spans="1:20" x14ac:dyDescent="0.35">
      <c r="A11412" t="s">
        <v>219</v>
      </c>
      <c r="B11412" t="s">
        <v>540</v>
      </c>
      <c r="C11412" t="s">
        <v>277</v>
      </c>
      <c r="D11412" t="s">
        <v>2615</v>
      </c>
      <c r="E11412" t="s">
        <v>2616</v>
      </c>
      <c r="F11412" t="s">
        <v>2617</v>
      </c>
      <c r="G11412" t="s">
        <v>2594</v>
      </c>
      <c r="H11412" t="s">
        <v>2618</v>
      </c>
      <c r="I11412" t="s">
        <v>2619</v>
      </c>
      <c r="J11412" t="s">
        <v>2620</v>
      </c>
      <c r="K11412" t="s">
        <v>2621</v>
      </c>
      <c r="L11412" t="s">
        <v>282</v>
      </c>
      <c r="M11412" t="s">
        <v>318</v>
      </c>
      <c r="N11412" t="s">
        <v>226</v>
      </c>
    </row>
    <row r="11413" spans="1:20" x14ac:dyDescent="0.35">
      <c r="A11413" t="s">
        <v>227</v>
      </c>
      <c r="B11413" s="2">
        <v>0.42920000000000003</v>
      </c>
      <c r="C11413" s="2">
        <v>0.31090000000000001</v>
      </c>
      <c r="D11413" s="2">
        <v>0.154</v>
      </c>
      <c r="E11413" s="2">
        <v>6.3E-2</v>
      </c>
      <c r="F11413" s="2">
        <v>5.0700000000000002E-2</v>
      </c>
      <c r="G11413" s="2">
        <v>4.9099999999999998E-2</v>
      </c>
      <c r="H11413" s="2">
        <v>4.7E-2</v>
      </c>
      <c r="I11413" s="2">
        <v>3.61E-2</v>
      </c>
      <c r="J11413" s="2">
        <v>2.9100000000000001E-2</v>
      </c>
      <c r="K11413" s="2">
        <v>1.34E-2</v>
      </c>
      <c r="L11413" s="2">
        <v>2.2000000000000001E-3</v>
      </c>
      <c r="M11413" s="2">
        <v>0</v>
      </c>
      <c r="N11413">
        <v>2807</v>
      </c>
    </row>
    <row r="11414" spans="1:20" x14ac:dyDescent="0.35">
      <c r="A11414" t="s">
        <v>228</v>
      </c>
      <c r="B11414" s="2">
        <v>0.42920000000000003</v>
      </c>
      <c r="C11414" s="2">
        <v>0.31090000000000001</v>
      </c>
      <c r="D11414" s="2">
        <v>0.154</v>
      </c>
      <c r="E11414" s="2">
        <v>6.3E-2</v>
      </c>
      <c r="F11414" s="2">
        <v>5.0700000000000002E-2</v>
      </c>
      <c r="G11414" s="2">
        <v>4.9099999999999998E-2</v>
      </c>
      <c r="H11414" s="2">
        <v>4.7E-2</v>
      </c>
      <c r="I11414" s="2">
        <v>3.61E-2</v>
      </c>
      <c r="J11414" s="2">
        <v>2.9100000000000001E-2</v>
      </c>
      <c r="K11414" s="2">
        <v>1.34E-2</v>
      </c>
      <c r="L11414" s="2">
        <v>2.2000000000000001E-3</v>
      </c>
      <c r="M11414" s="2">
        <v>0</v>
      </c>
      <c r="N11414">
        <v>2807</v>
      </c>
    </row>
    <row r="11416" spans="1:20" x14ac:dyDescent="0.35">
      <c r="A11416" s="1" t="s">
        <v>2622</v>
      </c>
    </row>
    <row r="11417" spans="1:20" x14ac:dyDescent="0.35">
      <c r="A11417" t="s">
        <v>219</v>
      </c>
      <c r="B11417" t="s">
        <v>301</v>
      </c>
      <c r="C11417" t="s">
        <v>540</v>
      </c>
      <c r="D11417" t="s">
        <v>277</v>
      </c>
      <c r="E11417" t="s">
        <v>2615</v>
      </c>
      <c r="F11417" t="s">
        <v>2616</v>
      </c>
      <c r="G11417" t="s">
        <v>2617</v>
      </c>
      <c r="H11417" t="s">
        <v>2594</v>
      </c>
      <c r="I11417" t="s">
        <v>2618</v>
      </c>
      <c r="J11417" t="s">
        <v>2619</v>
      </c>
      <c r="K11417" t="s">
        <v>2620</v>
      </c>
      <c r="L11417" t="s">
        <v>2621</v>
      </c>
      <c r="M11417" t="s">
        <v>282</v>
      </c>
      <c r="N11417" t="s">
        <v>318</v>
      </c>
      <c r="O11417" t="s">
        <v>226</v>
      </c>
    </row>
    <row r="11418" spans="1:20" x14ac:dyDescent="0.35">
      <c r="A11418" t="s">
        <v>227</v>
      </c>
      <c r="B11418" t="s">
        <v>238</v>
      </c>
      <c r="C11418" s="2">
        <v>0.40389999999999998</v>
      </c>
      <c r="D11418" s="2">
        <v>0.34339999999999998</v>
      </c>
      <c r="E11418" s="2">
        <v>0.1507</v>
      </c>
      <c r="F11418" s="2">
        <v>4.7199999999999999E-2</v>
      </c>
      <c r="G11418" s="2">
        <v>3.9399999999999998E-2</v>
      </c>
      <c r="H11418" s="2">
        <v>4.6600000000000003E-2</v>
      </c>
      <c r="I11418" s="2">
        <v>5.28E-2</v>
      </c>
      <c r="J11418" s="2">
        <v>4.3700000000000003E-2</v>
      </c>
      <c r="K11418" s="2">
        <v>3.3599999999999998E-2</v>
      </c>
      <c r="L11418" s="2">
        <v>1.26E-2</v>
      </c>
      <c r="M11418" s="2">
        <v>3.0000000000000001E-3</v>
      </c>
      <c r="N11418" s="2">
        <v>1E-4</v>
      </c>
      <c r="O11418">
        <v>1004</v>
      </c>
    </row>
    <row r="11419" spans="1:20" x14ac:dyDescent="0.35">
      <c r="A11419" t="s">
        <v>227</v>
      </c>
      <c r="B11419" t="s">
        <v>237</v>
      </c>
      <c r="C11419" s="2">
        <v>0.44400000000000001</v>
      </c>
      <c r="D11419" s="2">
        <v>0.29189999999999999</v>
      </c>
      <c r="E11419" s="2">
        <v>0.15590000000000001</v>
      </c>
      <c r="F11419" s="2">
        <v>7.2099999999999997E-2</v>
      </c>
      <c r="G11419" s="2">
        <v>5.7299999999999997E-2</v>
      </c>
      <c r="H11419" s="2">
        <v>5.0500000000000003E-2</v>
      </c>
      <c r="I11419" s="2">
        <v>4.36E-2</v>
      </c>
      <c r="J11419" s="2">
        <v>3.1600000000000003E-2</v>
      </c>
      <c r="K11419" s="2">
        <v>2.6499999999999999E-2</v>
      </c>
      <c r="L11419" s="2">
        <v>1.38E-2</v>
      </c>
      <c r="M11419" s="2">
        <v>1.8E-3</v>
      </c>
      <c r="O11419">
        <v>1803</v>
      </c>
    </row>
    <row r="11420" spans="1:20" x14ac:dyDescent="0.35">
      <c r="A11420" t="s">
        <v>228</v>
      </c>
      <c r="B11420" t="s">
        <v>228</v>
      </c>
      <c r="C11420" s="2">
        <v>0.42920000000000003</v>
      </c>
      <c r="D11420" s="2">
        <v>0.31090000000000001</v>
      </c>
      <c r="E11420" s="2">
        <v>0.154</v>
      </c>
      <c r="F11420" s="2">
        <v>6.3E-2</v>
      </c>
      <c r="G11420" s="2">
        <v>5.0700000000000002E-2</v>
      </c>
      <c r="H11420" s="2">
        <v>4.9099999999999998E-2</v>
      </c>
      <c r="I11420" s="2">
        <v>4.7E-2</v>
      </c>
      <c r="J11420" s="2">
        <v>3.61E-2</v>
      </c>
      <c r="K11420" s="2">
        <v>2.9100000000000001E-2</v>
      </c>
      <c r="L11420" s="2">
        <v>1.34E-2</v>
      </c>
      <c r="M11420" s="2">
        <v>2.2000000000000001E-3</v>
      </c>
      <c r="N11420" s="2">
        <v>0</v>
      </c>
      <c r="O11420">
        <v>2807</v>
      </c>
    </row>
    <row r="11422" spans="1:20" x14ac:dyDescent="0.35">
      <c r="A11422" s="1" t="s">
        <v>2623</v>
      </c>
    </row>
    <row r="11423" spans="1:20" x14ac:dyDescent="0.35">
      <c r="A11423" t="s">
        <v>219</v>
      </c>
      <c r="B11423" t="s">
        <v>301</v>
      </c>
      <c r="C11423" t="s">
        <v>540</v>
      </c>
      <c r="D11423" t="s">
        <v>277</v>
      </c>
      <c r="E11423" t="s">
        <v>2615</v>
      </c>
      <c r="F11423" t="s">
        <v>2616</v>
      </c>
      <c r="G11423" t="s">
        <v>2617</v>
      </c>
      <c r="H11423" t="s">
        <v>2594</v>
      </c>
      <c r="I11423" t="s">
        <v>2618</v>
      </c>
      <c r="J11423" t="s">
        <v>2619</v>
      </c>
      <c r="K11423" t="s">
        <v>2620</v>
      </c>
      <c r="L11423" t="s">
        <v>2621</v>
      </c>
      <c r="M11423" t="s">
        <v>282</v>
      </c>
      <c r="N11423" t="s">
        <v>318</v>
      </c>
      <c r="O11423" t="s">
        <v>226</v>
      </c>
    </row>
    <row r="11424" spans="1:20" x14ac:dyDescent="0.35">
      <c r="A11424" t="s">
        <v>227</v>
      </c>
      <c r="B11424" t="s">
        <v>235</v>
      </c>
      <c r="C11424" s="2">
        <v>0.43259999999999998</v>
      </c>
      <c r="D11424" s="2">
        <v>0.27250000000000002</v>
      </c>
      <c r="E11424" s="2">
        <v>0.17899999999999999</v>
      </c>
      <c r="F11424" s="2">
        <v>7.7799999999999994E-2</v>
      </c>
      <c r="G11424" s="2">
        <v>3.56E-2</v>
      </c>
      <c r="H11424" s="2">
        <v>6.1600000000000002E-2</v>
      </c>
      <c r="I11424" s="2">
        <v>4.8899999999999999E-2</v>
      </c>
      <c r="J11424" s="2">
        <v>3.3099999999999997E-2</v>
      </c>
      <c r="K11424" s="2">
        <v>4.41E-2</v>
      </c>
      <c r="L11424" s="2">
        <v>1.47E-2</v>
      </c>
      <c r="M11424" s="2">
        <v>1.4E-3</v>
      </c>
      <c r="O11424">
        <v>990</v>
      </c>
    </row>
    <row r="11425" spans="1:15" x14ac:dyDescent="0.35">
      <c r="A11425" t="s">
        <v>227</v>
      </c>
      <c r="B11425" t="s">
        <v>234</v>
      </c>
      <c r="C11425" s="2">
        <v>0.42780000000000001</v>
      </c>
      <c r="D11425" s="2">
        <v>0.32700000000000001</v>
      </c>
      <c r="E11425" s="2">
        <v>0.14349999999999999</v>
      </c>
      <c r="F11425" s="2">
        <v>5.67E-2</v>
      </c>
      <c r="G11425" s="2">
        <v>5.7099999999999998E-2</v>
      </c>
      <c r="H11425" s="2">
        <v>4.3799999999999999E-2</v>
      </c>
      <c r="I11425" s="2">
        <v>4.6199999999999998E-2</v>
      </c>
      <c r="J11425" s="2">
        <v>3.73E-2</v>
      </c>
      <c r="K11425" s="2">
        <v>2.29E-2</v>
      </c>
      <c r="L11425" s="2">
        <v>1.2800000000000001E-2</v>
      </c>
      <c r="M11425" s="2">
        <v>2.5999999999999999E-3</v>
      </c>
      <c r="N11425" s="2">
        <v>1E-4</v>
      </c>
      <c r="O11425">
        <v>1817</v>
      </c>
    </row>
    <row r="11426" spans="1:15" x14ac:dyDescent="0.35">
      <c r="A11426" t="s">
        <v>228</v>
      </c>
      <c r="B11426" t="s">
        <v>228</v>
      </c>
      <c r="C11426" s="2">
        <v>0.42920000000000003</v>
      </c>
      <c r="D11426" s="2">
        <v>0.31090000000000001</v>
      </c>
      <c r="E11426" s="2">
        <v>0.154</v>
      </c>
      <c r="F11426" s="2">
        <v>6.3E-2</v>
      </c>
      <c r="G11426" s="2">
        <v>5.0700000000000002E-2</v>
      </c>
      <c r="H11426" s="2">
        <v>4.9099999999999998E-2</v>
      </c>
      <c r="I11426" s="2">
        <v>4.7E-2</v>
      </c>
      <c r="J11426" s="2">
        <v>3.61E-2</v>
      </c>
      <c r="K11426" s="2">
        <v>2.9100000000000001E-2</v>
      </c>
      <c r="L11426" s="2">
        <v>1.34E-2</v>
      </c>
      <c r="M11426" s="2">
        <v>2.2000000000000001E-3</v>
      </c>
      <c r="N11426" s="2">
        <v>0</v>
      </c>
      <c r="O11426">
        <v>2807</v>
      </c>
    </row>
    <row r="11428" spans="1:15" x14ac:dyDescent="0.35">
      <c r="A11428" s="1" t="s">
        <v>2624</v>
      </c>
    </row>
    <row r="11429" spans="1:15" x14ac:dyDescent="0.35">
      <c r="A11429" t="s">
        <v>219</v>
      </c>
      <c r="B11429" t="s">
        <v>301</v>
      </c>
      <c r="C11429" t="s">
        <v>540</v>
      </c>
      <c r="D11429" t="s">
        <v>277</v>
      </c>
      <c r="E11429" t="s">
        <v>2615</v>
      </c>
      <c r="F11429" t="s">
        <v>2616</v>
      </c>
      <c r="G11429" t="s">
        <v>2617</v>
      </c>
      <c r="H11429" t="s">
        <v>2594</v>
      </c>
      <c r="I11429" t="s">
        <v>2618</v>
      </c>
      <c r="J11429" t="s">
        <v>2619</v>
      </c>
      <c r="K11429" t="s">
        <v>2620</v>
      </c>
      <c r="L11429" t="s">
        <v>2621</v>
      </c>
      <c r="M11429" t="s">
        <v>282</v>
      </c>
      <c r="N11429" t="s">
        <v>318</v>
      </c>
      <c r="O11429" t="s">
        <v>226</v>
      </c>
    </row>
    <row r="11430" spans="1:15" x14ac:dyDescent="0.35">
      <c r="A11430" t="s">
        <v>227</v>
      </c>
      <c r="B11430" t="s">
        <v>240</v>
      </c>
      <c r="C11430" s="2">
        <v>0.45600000000000002</v>
      </c>
      <c r="D11430" s="2">
        <v>0.26669999999999999</v>
      </c>
      <c r="E11430" s="2">
        <v>0.16830000000000001</v>
      </c>
      <c r="F11430" s="2">
        <v>0.06</v>
      </c>
      <c r="G11430" s="2">
        <v>5.3699999999999998E-2</v>
      </c>
      <c r="H11430" s="2">
        <v>5.7599999999999998E-2</v>
      </c>
      <c r="I11430" s="2">
        <v>5.2999999999999999E-2</v>
      </c>
      <c r="J11430" s="2">
        <v>3.73E-2</v>
      </c>
      <c r="K11430" s="2">
        <v>2.8199999999999999E-2</v>
      </c>
      <c r="L11430" s="2">
        <v>1.4500000000000001E-2</v>
      </c>
      <c r="M11430" s="2">
        <v>3.0000000000000001E-3</v>
      </c>
      <c r="O11430">
        <v>1753</v>
      </c>
    </row>
    <row r="11431" spans="1:15" x14ac:dyDescent="0.35">
      <c r="A11431" t="s">
        <v>227</v>
      </c>
      <c r="B11431" t="s">
        <v>241</v>
      </c>
      <c r="C11431" s="2">
        <v>0.34860000000000002</v>
      </c>
      <c r="D11431" s="2">
        <v>0.46250000000000002</v>
      </c>
      <c r="E11431" s="2">
        <v>9.2899999999999996E-2</v>
      </c>
      <c r="F11431" s="2">
        <v>5.74E-2</v>
      </c>
      <c r="G11431" s="2">
        <v>4.6300000000000001E-2</v>
      </c>
      <c r="H11431" s="2">
        <v>3.3300000000000003E-2</v>
      </c>
      <c r="I11431" s="2">
        <v>3.78E-2</v>
      </c>
      <c r="J11431" s="2">
        <v>3.2800000000000003E-2</v>
      </c>
      <c r="K11431" s="2">
        <v>2.5499999999999998E-2</v>
      </c>
      <c r="L11431" s="2">
        <v>1.03E-2</v>
      </c>
      <c r="M11431" s="2">
        <v>1E-3</v>
      </c>
      <c r="N11431" s="2">
        <v>2.0000000000000001E-4</v>
      </c>
      <c r="O11431">
        <v>889</v>
      </c>
    </row>
    <row r="11432" spans="1:15" x14ac:dyDescent="0.35">
      <c r="A11432" t="s">
        <v>227</v>
      </c>
      <c r="B11432" t="s">
        <v>242</v>
      </c>
      <c r="C11432" s="2">
        <v>0.52859999999999996</v>
      </c>
      <c r="D11432" s="2">
        <v>6.5199999999999994E-2</v>
      </c>
      <c r="E11432" s="2">
        <v>0.28689999999999999</v>
      </c>
      <c r="F11432" s="2">
        <v>0.1164</v>
      </c>
      <c r="G11432" s="2">
        <v>4.2000000000000003E-2</v>
      </c>
      <c r="H11432" s="2">
        <v>3.6900000000000002E-2</v>
      </c>
      <c r="I11432" s="2">
        <v>0.03</v>
      </c>
      <c r="J11432" s="2">
        <v>3.85E-2</v>
      </c>
      <c r="K11432" s="2">
        <v>5.4199999999999998E-2</v>
      </c>
      <c r="L11432" s="2">
        <v>1.54E-2</v>
      </c>
      <c r="O11432">
        <v>165</v>
      </c>
    </row>
    <row r="11433" spans="1:15" x14ac:dyDescent="0.35">
      <c r="A11433" t="s">
        <v>228</v>
      </c>
      <c r="B11433" t="s">
        <v>228</v>
      </c>
      <c r="C11433" s="2">
        <v>0.42920000000000003</v>
      </c>
      <c r="D11433" s="2">
        <v>0.31090000000000001</v>
      </c>
      <c r="E11433" s="2">
        <v>0.154</v>
      </c>
      <c r="F11433" s="2">
        <v>6.3E-2</v>
      </c>
      <c r="G11433" s="2">
        <v>5.0700000000000002E-2</v>
      </c>
      <c r="H11433" s="2">
        <v>4.9099999999999998E-2</v>
      </c>
      <c r="I11433" s="2">
        <v>4.7E-2</v>
      </c>
      <c r="J11433" s="2">
        <v>3.61E-2</v>
      </c>
      <c r="K11433" s="2">
        <v>2.9100000000000001E-2</v>
      </c>
      <c r="L11433" s="2">
        <v>1.34E-2</v>
      </c>
      <c r="M11433" s="2">
        <v>2.2000000000000001E-3</v>
      </c>
      <c r="N11433" s="2">
        <v>0</v>
      </c>
      <c r="O11433">
        <v>2807</v>
      </c>
    </row>
    <row r="11435" spans="1:15" x14ac:dyDescent="0.35">
      <c r="A11435" s="1" t="s">
        <v>2625</v>
      </c>
    </row>
    <row r="11436" spans="1:15" x14ac:dyDescent="0.35">
      <c r="A11436" t="s">
        <v>219</v>
      </c>
      <c r="B11436" t="s">
        <v>301</v>
      </c>
      <c r="C11436" t="s">
        <v>540</v>
      </c>
      <c r="D11436" t="s">
        <v>277</v>
      </c>
      <c r="E11436" t="s">
        <v>2615</v>
      </c>
      <c r="F11436" t="s">
        <v>2616</v>
      </c>
      <c r="G11436" t="s">
        <v>2617</v>
      </c>
      <c r="H11436" t="s">
        <v>2594</v>
      </c>
      <c r="I11436" t="s">
        <v>2618</v>
      </c>
      <c r="J11436" t="s">
        <v>2619</v>
      </c>
      <c r="K11436" t="s">
        <v>2620</v>
      </c>
      <c r="L11436" t="s">
        <v>2621</v>
      </c>
      <c r="M11436" t="s">
        <v>282</v>
      </c>
      <c r="N11436" t="s">
        <v>318</v>
      </c>
      <c r="O11436" t="s">
        <v>226</v>
      </c>
    </row>
    <row r="11437" spans="1:15" x14ac:dyDescent="0.35">
      <c r="A11437" t="s">
        <v>227</v>
      </c>
      <c r="B11437" t="s">
        <v>334</v>
      </c>
      <c r="C11437" s="2">
        <v>0.40100000000000002</v>
      </c>
      <c r="D11437" s="2">
        <v>0.31640000000000001</v>
      </c>
      <c r="E11437" s="2">
        <v>0.17780000000000001</v>
      </c>
      <c r="F11437" s="2">
        <v>5.6599999999999998E-2</v>
      </c>
      <c r="G11437" s="2">
        <v>2.9100000000000001E-2</v>
      </c>
      <c r="H11437" s="2">
        <v>4.3999999999999997E-2</v>
      </c>
      <c r="I11437" s="2">
        <v>3.3099999999999997E-2</v>
      </c>
      <c r="J11437" s="2">
        <v>3.8199999999999998E-2</v>
      </c>
      <c r="K11437" s="2">
        <v>3.6299999999999999E-2</v>
      </c>
      <c r="L11437" s="2">
        <v>8.8999999999999999E-3</v>
      </c>
      <c r="M11437" s="2">
        <v>2.5000000000000001E-3</v>
      </c>
      <c r="O11437">
        <v>623</v>
      </c>
    </row>
    <row r="11438" spans="1:15" x14ac:dyDescent="0.35">
      <c r="A11438" t="s">
        <v>227</v>
      </c>
      <c r="B11438" t="s">
        <v>335</v>
      </c>
      <c r="C11438" s="2">
        <v>0.44069999999999998</v>
      </c>
      <c r="D11438" s="2">
        <v>0.28139999999999998</v>
      </c>
      <c r="E11438" s="2">
        <v>0.1502</v>
      </c>
      <c r="F11438" s="2">
        <v>8.1000000000000003E-2</v>
      </c>
      <c r="G11438" s="2">
        <v>7.2800000000000004E-2</v>
      </c>
      <c r="H11438" s="2">
        <v>6.5799999999999997E-2</v>
      </c>
      <c r="I11438" s="2">
        <v>5.8799999999999998E-2</v>
      </c>
      <c r="J11438" s="2">
        <v>4.7600000000000003E-2</v>
      </c>
      <c r="K11438" s="2">
        <v>2.7199999999999998E-2</v>
      </c>
      <c r="L11438" s="2">
        <v>1.78E-2</v>
      </c>
      <c r="M11438" s="2">
        <v>1.1000000000000001E-3</v>
      </c>
      <c r="O11438">
        <v>627</v>
      </c>
    </row>
    <row r="11439" spans="1:15" x14ac:dyDescent="0.35">
      <c r="A11439" t="s">
        <v>227</v>
      </c>
      <c r="B11439" t="s">
        <v>336</v>
      </c>
      <c r="C11439" s="2">
        <v>0.39229999999999998</v>
      </c>
      <c r="D11439" s="2">
        <v>0.36840000000000001</v>
      </c>
      <c r="E11439" s="2">
        <v>0.15</v>
      </c>
      <c r="F11439" s="2">
        <v>5.33E-2</v>
      </c>
      <c r="G11439" s="2">
        <v>4.1300000000000003E-2</v>
      </c>
      <c r="H11439" s="2">
        <v>4.4699999999999997E-2</v>
      </c>
      <c r="I11439" s="2">
        <v>3.1600000000000003E-2</v>
      </c>
      <c r="J11439" s="2">
        <v>2.2499999999999999E-2</v>
      </c>
      <c r="K11439" s="2">
        <v>3.8300000000000001E-2</v>
      </c>
      <c r="L11439" s="2">
        <v>8.6E-3</v>
      </c>
      <c r="M11439" s="2">
        <v>8.9999999999999998E-4</v>
      </c>
      <c r="N11439" s="2">
        <v>2.0000000000000001E-4</v>
      </c>
      <c r="O11439">
        <v>619</v>
      </c>
    </row>
    <row r="11440" spans="1:15" x14ac:dyDescent="0.35">
      <c r="A11440" t="s">
        <v>227</v>
      </c>
      <c r="B11440" t="s">
        <v>337</v>
      </c>
      <c r="C11440" s="2">
        <v>0.46200000000000002</v>
      </c>
      <c r="D11440" s="2">
        <v>0.2923</v>
      </c>
      <c r="E11440" s="2">
        <v>0.1348</v>
      </c>
      <c r="F11440" s="2">
        <v>6.0100000000000001E-2</v>
      </c>
      <c r="G11440" s="2">
        <v>5.4699999999999999E-2</v>
      </c>
      <c r="H11440" s="2">
        <v>4.4200000000000003E-2</v>
      </c>
      <c r="I11440" s="2">
        <v>5.3499999999999999E-2</v>
      </c>
      <c r="J11440" s="2">
        <v>3.4700000000000002E-2</v>
      </c>
      <c r="K11440" s="2">
        <v>2.06E-2</v>
      </c>
      <c r="L11440" s="2">
        <v>1.24E-2</v>
      </c>
      <c r="M11440" s="2">
        <v>3.3E-3</v>
      </c>
      <c r="O11440">
        <v>601</v>
      </c>
    </row>
    <row r="11441" spans="1:15" x14ac:dyDescent="0.35">
      <c r="A11441" t="s">
        <v>228</v>
      </c>
      <c r="B11441" t="s">
        <v>228</v>
      </c>
      <c r="C11441" s="2">
        <v>0.42920000000000003</v>
      </c>
      <c r="D11441" s="2">
        <v>0.31090000000000001</v>
      </c>
      <c r="E11441" s="2">
        <v>0.154</v>
      </c>
      <c r="F11441" s="2">
        <v>6.3E-2</v>
      </c>
      <c r="G11441" s="2">
        <v>5.0700000000000002E-2</v>
      </c>
      <c r="H11441" s="2">
        <v>4.9099999999999998E-2</v>
      </c>
      <c r="I11441" s="2">
        <v>4.7E-2</v>
      </c>
      <c r="J11441" s="2">
        <v>3.61E-2</v>
      </c>
      <c r="K11441" s="2">
        <v>2.9100000000000001E-2</v>
      </c>
      <c r="L11441" s="2">
        <v>1.34E-2</v>
      </c>
      <c r="M11441" s="2">
        <v>2.2000000000000001E-3</v>
      </c>
      <c r="N11441" s="2">
        <v>0</v>
      </c>
      <c r="O11441">
        <v>2470</v>
      </c>
    </row>
    <row r="11443" spans="1:15" x14ac:dyDescent="0.35">
      <c r="A11443" s="1" t="s">
        <v>2626</v>
      </c>
    </row>
    <row r="11444" spans="1:15" x14ac:dyDescent="0.35">
      <c r="A11444" t="s">
        <v>219</v>
      </c>
      <c r="B11444" t="s">
        <v>301</v>
      </c>
      <c r="C11444" t="s">
        <v>540</v>
      </c>
      <c r="D11444" t="s">
        <v>277</v>
      </c>
      <c r="E11444" t="s">
        <v>2615</v>
      </c>
      <c r="F11444" t="s">
        <v>2616</v>
      </c>
      <c r="G11444" t="s">
        <v>2617</v>
      </c>
      <c r="H11444" t="s">
        <v>2594</v>
      </c>
      <c r="I11444" t="s">
        <v>2618</v>
      </c>
      <c r="J11444" t="s">
        <v>2619</v>
      </c>
      <c r="K11444" t="s">
        <v>2620</v>
      </c>
      <c r="L11444" t="s">
        <v>2621</v>
      </c>
      <c r="M11444" t="s">
        <v>282</v>
      </c>
      <c r="N11444" t="s">
        <v>318</v>
      </c>
      <c r="O11444" t="s">
        <v>226</v>
      </c>
    </row>
    <row r="11445" spans="1:15" x14ac:dyDescent="0.35">
      <c r="A11445" t="s">
        <v>227</v>
      </c>
      <c r="B11445" t="s">
        <v>263</v>
      </c>
      <c r="C11445" s="2">
        <v>0.37090000000000001</v>
      </c>
      <c r="D11445" s="2">
        <v>0.38800000000000001</v>
      </c>
      <c r="E11445" s="2">
        <v>0.1444</v>
      </c>
      <c r="F11445" s="2">
        <v>5.3499999999999999E-2</v>
      </c>
      <c r="G11445" s="2">
        <v>5.1999999999999998E-2</v>
      </c>
      <c r="H11445" s="2">
        <v>3.9800000000000002E-2</v>
      </c>
      <c r="I11445" s="2">
        <v>3.8699999999999998E-2</v>
      </c>
      <c r="J11445" s="2">
        <v>3.49E-2</v>
      </c>
      <c r="K11445" s="2">
        <v>2.8000000000000001E-2</v>
      </c>
      <c r="L11445" s="2">
        <v>9.7000000000000003E-3</v>
      </c>
      <c r="M11445" s="2">
        <v>3.0000000000000001E-3</v>
      </c>
      <c r="O11445">
        <v>587</v>
      </c>
    </row>
    <row r="11446" spans="1:15" x14ac:dyDescent="0.35">
      <c r="A11446" t="s">
        <v>227</v>
      </c>
      <c r="B11446" t="s">
        <v>262</v>
      </c>
      <c r="C11446" s="2">
        <v>0.38119999999999998</v>
      </c>
      <c r="D11446" s="2">
        <v>0.36509999999999998</v>
      </c>
      <c r="E11446" s="2">
        <v>0.1467</v>
      </c>
      <c r="F11446" s="2">
        <v>6.9400000000000003E-2</v>
      </c>
      <c r="G11446" s="2">
        <v>4.8599999999999997E-2</v>
      </c>
      <c r="H11446" s="2">
        <v>3.8600000000000002E-2</v>
      </c>
      <c r="I11446" s="2">
        <v>4.6600000000000003E-2</v>
      </c>
      <c r="J11446" s="2">
        <v>4.3900000000000002E-2</v>
      </c>
      <c r="K11446" s="2">
        <v>2.7199999999999998E-2</v>
      </c>
      <c r="L11446" s="2">
        <v>1.7999999999999999E-2</v>
      </c>
      <c r="M11446" s="2">
        <v>1.1000000000000001E-3</v>
      </c>
      <c r="N11446" s="2">
        <v>1E-4</v>
      </c>
      <c r="O11446">
        <v>1159</v>
      </c>
    </row>
    <row r="11447" spans="1:15" x14ac:dyDescent="0.35">
      <c r="A11447" t="s">
        <v>227</v>
      </c>
      <c r="B11447" t="s">
        <v>261</v>
      </c>
      <c r="C11447" s="2">
        <v>0.49759999999999999</v>
      </c>
      <c r="D11447" s="2">
        <v>0.22720000000000001</v>
      </c>
      <c r="E11447" s="2">
        <v>0.16539999999999999</v>
      </c>
      <c r="F11447" s="2">
        <v>6.2199999999999998E-2</v>
      </c>
      <c r="G11447" s="2">
        <v>5.1999999999999998E-2</v>
      </c>
      <c r="H11447" s="2">
        <v>6.2799999999999995E-2</v>
      </c>
      <c r="I11447" s="2">
        <v>5.16E-2</v>
      </c>
      <c r="J11447" s="2">
        <v>0.03</v>
      </c>
      <c r="K11447" s="2">
        <v>3.15E-2</v>
      </c>
      <c r="L11447" s="2">
        <v>1.12E-2</v>
      </c>
      <c r="M11447" s="2">
        <v>2.8999999999999998E-3</v>
      </c>
      <c r="O11447">
        <v>1059</v>
      </c>
    </row>
    <row r="11448" spans="1:15" x14ac:dyDescent="0.35">
      <c r="A11448" s="3" t="s">
        <v>227</v>
      </c>
      <c r="B11448" s="3" t="s">
        <v>232</v>
      </c>
      <c r="C11448" s="4">
        <v>1</v>
      </c>
      <c r="D11448" s="5"/>
      <c r="E11448" s="5"/>
      <c r="F11448" s="5"/>
      <c r="G11448" s="5"/>
      <c r="H11448" s="5"/>
      <c r="I11448" s="5"/>
      <c r="J11448" s="5"/>
      <c r="K11448" s="5"/>
      <c r="L11448" s="5"/>
      <c r="M11448" s="5"/>
      <c r="N11448" s="5"/>
      <c r="O11448" s="5" t="s">
        <v>434</v>
      </c>
    </row>
    <row r="11449" spans="1:15" x14ac:dyDescent="0.35">
      <c r="A11449" t="s">
        <v>228</v>
      </c>
      <c r="B11449" t="s">
        <v>228</v>
      </c>
      <c r="C11449" s="2">
        <v>0.42920000000000003</v>
      </c>
      <c r="D11449" s="2">
        <v>0.31090000000000001</v>
      </c>
      <c r="E11449" s="2">
        <v>0.154</v>
      </c>
      <c r="F11449" s="2">
        <v>6.3E-2</v>
      </c>
      <c r="G11449" s="2">
        <v>5.0700000000000002E-2</v>
      </c>
      <c r="H11449" s="2">
        <v>4.9099999999999998E-2</v>
      </c>
      <c r="I11449" s="2">
        <v>4.7E-2</v>
      </c>
      <c r="J11449" s="2">
        <v>3.61E-2</v>
      </c>
      <c r="K11449" s="2">
        <v>2.9100000000000001E-2</v>
      </c>
      <c r="L11449" s="2">
        <v>1.34E-2</v>
      </c>
      <c r="M11449" s="2">
        <v>2.2000000000000001E-3</v>
      </c>
      <c r="N11449" s="2">
        <v>0</v>
      </c>
      <c r="O11449">
        <v>2807</v>
      </c>
    </row>
    <row r="11451" spans="1:15" x14ac:dyDescent="0.35">
      <c r="A11451" s="1" t="s">
        <v>2627</v>
      </c>
    </row>
    <row r="11452" spans="1:15" x14ac:dyDescent="0.35">
      <c r="A11452" t="s">
        <v>219</v>
      </c>
      <c r="B11452" t="s">
        <v>301</v>
      </c>
      <c r="C11452" t="s">
        <v>540</v>
      </c>
      <c r="D11452" t="s">
        <v>277</v>
      </c>
      <c r="E11452" t="s">
        <v>2615</v>
      </c>
      <c r="F11452" t="s">
        <v>2616</v>
      </c>
      <c r="G11452" t="s">
        <v>2617</v>
      </c>
      <c r="H11452" t="s">
        <v>2594</v>
      </c>
      <c r="I11452" t="s">
        <v>2618</v>
      </c>
      <c r="J11452" t="s">
        <v>2619</v>
      </c>
      <c r="K11452" t="s">
        <v>2620</v>
      </c>
      <c r="L11452" t="s">
        <v>2621</v>
      </c>
      <c r="M11452" t="s">
        <v>282</v>
      </c>
      <c r="N11452" t="s">
        <v>318</v>
      </c>
      <c r="O11452" t="s">
        <v>226</v>
      </c>
    </row>
    <row r="11453" spans="1:15" x14ac:dyDescent="0.35">
      <c r="A11453" t="s">
        <v>227</v>
      </c>
      <c r="B11453" t="s">
        <v>248</v>
      </c>
      <c r="C11453" s="2">
        <v>0.3891</v>
      </c>
      <c r="D11453" s="2">
        <v>0.47399999999999998</v>
      </c>
      <c r="E11453" s="2">
        <v>5.1299999999999998E-2</v>
      </c>
      <c r="F11453" s="2">
        <v>3.61E-2</v>
      </c>
      <c r="G11453" s="2">
        <v>1.7100000000000001E-2</v>
      </c>
      <c r="H11453" s="2">
        <v>3.3000000000000002E-2</v>
      </c>
      <c r="I11453" s="2">
        <v>1.17E-2</v>
      </c>
      <c r="J11453" s="2">
        <v>8.6E-3</v>
      </c>
      <c r="K11453" s="2">
        <v>1.2500000000000001E-2</v>
      </c>
      <c r="L11453" s="2">
        <v>2.9999999999999997E-4</v>
      </c>
      <c r="M11453" s="2">
        <v>4.1999999999999997E-3</v>
      </c>
      <c r="N11453" s="2">
        <v>2.0000000000000001E-4</v>
      </c>
      <c r="O11453">
        <v>794</v>
      </c>
    </row>
    <row r="11454" spans="1:15" x14ac:dyDescent="0.35">
      <c r="A11454" t="s">
        <v>227</v>
      </c>
      <c r="B11454" t="s">
        <v>249</v>
      </c>
      <c r="C11454" s="2">
        <v>0.42059999999999997</v>
      </c>
      <c r="D11454" s="2">
        <v>0.2949</v>
      </c>
      <c r="E11454" s="2">
        <v>0.18290000000000001</v>
      </c>
      <c r="F11454" s="2">
        <v>7.1300000000000002E-2</v>
      </c>
      <c r="G11454" s="2">
        <v>3.9800000000000002E-2</v>
      </c>
      <c r="H11454" s="2">
        <v>4.6399999999999997E-2</v>
      </c>
      <c r="I11454" s="2">
        <v>6.0499999999999998E-2</v>
      </c>
      <c r="J11454" s="2">
        <v>6.7400000000000002E-2</v>
      </c>
      <c r="K11454" s="2">
        <v>3.1699999999999999E-2</v>
      </c>
      <c r="L11454" s="2">
        <v>1.9400000000000001E-2</v>
      </c>
      <c r="M11454" s="2">
        <v>1.2999999999999999E-3</v>
      </c>
      <c r="O11454">
        <v>540</v>
      </c>
    </row>
    <row r="11455" spans="1:15" x14ac:dyDescent="0.35">
      <c r="A11455" t="s">
        <v>227</v>
      </c>
      <c r="B11455" t="s">
        <v>247</v>
      </c>
      <c r="C11455" s="2">
        <v>0.45319999999999999</v>
      </c>
      <c r="D11455" s="2">
        <v>0.2324</v>
      </c>
      <c r="E11455" s="2">
        <v>0.19650000000000001</v>
      </c>
      <c r="F11455" s="2">
        <v>7.3800000000000004E-2</v>
      </c>
      <c r="G11455" s="2">
        <v>7.2099999999999997E-2</v>
      </c>
      <c r="H11455" s="2">
        <v>5.8400000000000001E-2</v>
      </c>
      <c r="I11455" s="2">
        <v>6.0299999999999999E-2</v>
      </c>
      <c r="J11455" s="2">
        <v>3.8800000000000001E-2</v>
      </c>
      <c r="K11455" s="2">
        <v>3.6900000000000002E-2</v>
      </c>
      <c r="L11455" s="2">
        <v>1.7899999999999999E-2</v>
      </c>
      <c r="M11455" s="2">
        <v>1.6000000000000001E-3</v>
      </c>
      <c r="O11455">
        <v>1473</v>
      </c>
    </row>
    <row r="11456" spans="1:15" x14ac:dyDescent="0.35">
      <c r="A11456" t="s">
        <v>228</v>
      </c>
      <c r="B11456" t="s">
        <v>228</v>
      </c>
      <c r="C11456" s="2">
        <v>0.42920000000000003</v>
      </c>
      <c r="D11456" s="2">
        <v>0.31090000000000001</v>
      </c>
      <c r="E11456" s="2">
        <v>0.154</v>
      </c>
      <c r="F11456" s="2">
        <v>6.3E-2</v>
      </c>
      <c r="G11456" s="2">
        <v>5.0700000000000002E-2</v>
      </c>
      <c r="H11456" s="2">
        <v>4.9099999999999998E-2</v>
      </c>
      <c r="I11456" s="2">
        <v>4.7E-2</v>
      </c>
      <c r="J11456" s="2">
        <v>3.61E-2</v>
      </c>
      <c r="K11456" s="2">
        <v>2.9100000000000001E-2</v>
      </c>
      <c r="L11456" s="2">
        <v>1.34E-2</v>
      </c>
      <c r="M11456" s="2">
        <v>2.2000000000000001E-3</v>
      </c>
      <c r="N11456" s="2">
        <v>0</v>
      </c>
      <c r="O11456">
        <v>2807</v>
      </c>
    </row>
    <row r="11458" spans="1:15" x14ac:dyDescent="0.35">
      <c r="A11458" s="1" t="s">
        <v>2628</v>
      </c>
    </row>
    <row r="11459" spans="1:15" x14ac:dyDescent="0.35">
      <c r="A11459" t="s">
        <v>219</v>
      </c>
      <c r="B11459" t="s">
        <v>301</v>
      </c>
      <c r="C11459" t="s">
        <v>540</v>
      </c>
      <c r="D11459" t="s">
        <v>277</v>
      </c>
      <c r="E11459" t="s">
        <v>2615</v>
      </c>
      <c r="F11459" t="s">
        <v>2616</v>
      </c>
      <c r="G11459" t="s">
        <v>2617</v>
      </c>
      <c r="H11459" t="s">
        <v>2594</v>
      </c>
      <c r="I11459" t="s">
        <v>2618</v>
      </c>
      <c r="J11459" t="s">
        <v>2619</v>
      </c>
      <c r="K11459" t="s">
        <v>2620</v>
      </c>
      <c r="L11459" t="s">
        <v>2621</v>
      </c>
      <c r="M11459" t="s">
        <v>282</v>
      </c>
      <c r="N11459" t="s">
        <v>318</v>
      </c>
      <c r="O11459" t="s">
        <v>226</v>
      </c>
    </row>
    <row r="11460" spans="1:15" x14ac:dyDescent="0.35">
      <c r="A11460" t="s">
        <v>227</v>
      </c>
      <c r="B11460" t="s">
        <v>245</v>
      </c>
      <c r="C11460" s="2">
        <v>0.52390000000000003</v>
      </c>
      <c r="D11460" s="2">
        <v>9.5200000000000007E-2</v>
      </c>
      <c r="E11460" s="2">
        <v>0.27950000000000003</v>
      </c>
      <c r="F11460" s="2">
        <v>7.4099999999999999E-2</v>
      </c>
      <c r="G11460" s="2">
        <v>6.2600000000000003E-2</v>
      </c>
      <c r="H11460" s="2">
        <v>7.6700000000000004E-2</v>
      </c>
      <c r="I11460" s="2">
        <v>4.6300000000000001E-2</v>
      </c>
      <c r="J11460" s="2">
        <v>4.41E-2</v>
      </c>
      <c r="K11460" s="2">
        <v>4.1300000000000003E-2</v>
      </c>
      <c r="L11460" s="2">
        <v>2.47E-2</v>
      </c>
      <c r="M11460" s="2">
        <v>8.0000000000000004E-4</v>
      </c>
      <c r="O11460">
        <v>782</v>
      </c>
    </row>
    <row r="11461" spans="1:15" x14ac:dyDescent="0.35">
      <c r="A11461" t="s">
        <v>227</v>
      </c>
      <c r="B11461" t="s">
        <v>244</v>
      </c>
      <c r="C11461" s="2">
        <v>0.39169999999999999</v>
      </c>
      <c r="D11461" s="2">
        <v>0.39639999999999997</v>
      </c>
      <c r="E11461" s="2">
        <v>0.1042</v>
      </c>
      <c r="F11461" s="2">
        <v>5.8500000000000003E-2</v>
      </c>
      <c r="G11461" s="2">
        <v>4.5999999999999999E-2</v>
      </c>
      <c r="H11461" s="2">
        <v>3.8100000000000002E-2</v>
      </c>
      <c r="I11461" s="2">
        <v>4.7300000000000002E-2</v>
      </c>
      <c r="J11461" s="2">
        <v>3.2899999999999999E-2</v>
      </c>
      <c r="K11461" s="2">
        <v>2.4299999999999999E-2</v>
      </c>
      <c r="L11461" s="2">
        <v>8.8000000000000005E-3</v>
      </c>
      <c r="M11461" s="2">
        <v>2.8E-3</v>
      </c>
      <c r="N11461" s="2">
        <v>1E-4</v>
      </c>
      <c r="O11461">
        <v>2025</v>
      </c>
    </row>
    <row r="11462" spans="1:15" x14ac:dyDescent="0.35">
      <c r="A11462" t="s">
        <v>228</v>
      </c>
      <c r="B11462" t="s">
        <v>228</v>
      </c>
      <c r="C11462" s="2">
        <v>0.42920000000000003</v>
      </c>
      <c r="D11462" s="2">
        <v>0.31090000000000001</v>
      </c>
      <c r="E11462" s="2">
        <v>0.154</v>
      </c>
      <c r="F11462" s="2">
        <v>6.3E-2</v>
      </c>
      <c r="G11462" s="2">
        <v>5.0700000000000002E-2</v>
      </c>
      <c r="H11462" s="2">
        <v>4.9099999999999998E-2</v>
      </c>
      <c r="I11462" s="2">
        <v>4.7E-2</v>
      </c>
      <c r="J11462" s="2">
        <v>3.61E-2</v>
      </c>
      <c r="K11462" s="2">
        <v>2.9100000000000001E-2</v>
      </c>
      <c r="L11462" s="2">
        <v>1.34E-2</v>
      </c>
      <c r="M11462" s="2">
        <v>2.2000000000000001E-3</v>
      </c>
      <c r="N11462" s="2">
        <v>0</v>
      </c>
      <c r="O11462">
        <v>2807</v>
      </c>
    </row>
    <row r="11464" spans="1:15" x14ac:dyDescent="0.35">
      <c r="A11464" s="1" t="s">
        <v>2629</v>
      </c>
    </row>
    <row r="11465" spans="1:15" x14ac:dyDescent="0.35">
      <c r="A11465" t="s">
        <v>219</v>
      </c>
      <c r="B11465" t="s">
        <v>301</v>
      </c>
      <c r="C11465" t="s">
        <v>540</v>
      </c>
      <c r="D11465" t="s">
        <v>277</v>
      </c>
      <c r="E11465" t="s">
        <v>2615</v>
      </c>
      <c r="F11465" t="s">
        <v>2616</v>
      </c>
      <c r="G11465" t="s">
        <v>2617</v>
      </c>
      <c r="H11465" t="s">
        <v>2594</v>
      </c>
      <c r="I11465" t="s">
        <v>2618</v>
      </c>
      <c r="J11465" t="s">
        <v>2619</v>
      </c>
      <c r="K11465" t="s">
        <v>2620</v>
      </c>
      <c r="L11465" t="s">
        <v>2621</v>
      </c>
      <c r="M11465" t="s">
        <v>282</v>
      </c>
      <c r="N11465" t="s">
        <v>318</v>
      </c>
      <c r="O11465" t="s">
        <v>226</v>
      </c>
    </row>
    <row r="11466" spans="1:15" x14ac:dyDescent="0.35">
      <c r="A11466" t="s">
        <v>227</v>
      </c>
      <c r="B11466" t="s">
        <v>259</v>
      </c>
      <c r="C11466" s="2">
        <v>0.25800000000000001</v>
      </c>
      <c r="D11466" s="2">
        <v>0.32490000000000002</v>
      </c>
      <c r="E11466" s="2">
        <v>0.28000000000000003</v>
      </c>
      <c r="F11466" s="2">
        <v>0.1381</v>
      </c>
      <c r="G11466" s="2">
        <v>0.13589999999999999</v>
      </c>
      <c r="H11466" s="2">
        <v>0.1474</v>
      </c>
      <c r="I11466" s="2">
        <v>0.24540000000000001</v>
      </c>
      <c r="J11466" s="2">
        <v>9.8599999999999993E-2</v>
      </c>
      <c r="K11466" s="2">
        <v>9.0999999999999998E-2</v>
      </c>
      <c r="L11466" s="2">
        <v>6.8699999999999997E-2</v>
      </c>
      <c r="O11466">
        <v>69</v>
      </c>
    </row>
    <row r="11467" spans="1:15" x14ac:dyDescent="0.35">
      <c r="A11467" t="s">
        <v>227</v>
      </c>
      <c r="B11467" t="s">
        <v>257</v>
      </c>
      <c r="C11467" s="2">
        <v>0.46160000000000001</v>
      </c>
      <c r="D11467" s="2">
        <v>0.3669</v>
      </c>
      <c r="E11467" s="2">
        <v>0.1038</v>
      </c>
      <c r="F11467" s="2">
        <v>1.9099999999999999E-2</v>
      </c>
      <c r="G11467" s="2">
        <v>2.7300000000000001E-2</v>
      </c>
      <c r="H11467" s="2">
        <v>2.6499999999999999E-2</v>
      </c>
      <c r="I11467" s="2">
        <v>1.6400000000000001E-2</v>
      </c>
      <c r="J11467" s="2">
        <v>2.23E-2</v>
      </c>
      <c r="K11467" s="2">
        <v>1.1900000000000001E-2</v>
      </c>
      <c r="L11467" s="2">
        <v>7.7000000000000002E-3</v>
      </c>
      <c r="M11467" s="2">
        <v>4.4000000000000003E-3</v>
      </c>
      <c r="O11467">
        <v>404</v>
      </c>
    </row>
    <row r="11468" spans="1:15" x14ac:dyDescent="0.35">
      <c r="A11468" t="s">
        <v>227</v>
      </c>
      <c r="B11468" t="s">
        <v>256</v>
      </c>
      <c r="C11468" s="2">
        <v>0.42970000000000003</v>
      </c>
      <c r="D11468" s="2">
        <v>0.31259999999999999</v>
      </c>
      <c r="E11468" s="2">
        <v>0.15010000000000001</v>
      </c>
      <c r="F11468" s="2">
        <v>6.6699999999999995E-2</v>
      </c>
      <c r="G11468" s="2">
        <v>5.5599999999999997E-2</v>
      </c>
      <c r="H11468" s="2">
        <v>4.3499999999999997E-2</v>
      </c>
      <c r="I11468" s="2">
        <v>4.4499999999999998E-2</v>
      </c>
      <c r="J11468" s="2">
        <v>3.6999999999999998E-2</v>
      </c>
      <c r="K11468" s="2">
        <v>3.04E-2</v>
      </c>
      <c r="L11468" s="2">
        <v>1.34E-2</v>
      </c>
      <c r="M11468" s="2">
        <v>1.1000000000000001E-3</v>
      </c>
      <c r="N11468" s="2">
        <v>1E-4</v>
      </c>
      <c r="O11468">
        <v>1798</v>
      </c>
    </row>
    <row r="11469" spans="1:15" x14ac:dyDescent="0.35">
      <c r="A11469" s="3" t="s">
        <v>227</v>
      </c>
      <c r="B11469" s="3" t="s">
        <v>232</v>
      </c>
      <c r="C11469" s="4">
        <v>0.10630000000000001</v>
      </c>
      <c r="D11469" s="4">
        <v>0.71150000000000002</v>
      </c>
      <c r="E11469" s="4">
        <v>0.11509999999999999</v>
      </c>
      <c r="F11469" s="4">
        <v>0.13900000000000001</v>
      </c>
      <c r="G11469" s="4">
        <v>0.1822</v>
      </c>
      <c r="H11469" s="4">
        <v>0.13900000000000001</v>
      </c>
      <c r="I11469" s="4">
        <v>0.11509999999999999</v>
      </c>
      <c r="J11469" s="4">
        <v>0.11509999999999999</v>
      </c>
      <c r="K11469" s="4">
        <v>0.11509999999999999</v>
      </c>
      <c r="L11469" s="4">
        <v>0.11509999999999999</v>
      </c>
      <c r="M11469" s="5"/>
      <c r="N11469" s="5"/>
      <c r="O11469" s="5" t="s">
        <v>307</v>
      </c>
    </row>
    <row r="11470" spans="1:15" x14ac:dyDescent="0.35">
      <c r="A11470" t="s">
        <v>227</v>
      </c>
      <c r="B11470" t="s">
        <v>258</v>
      </c>
      <c r="C11470" s="2">
        <v>0.4138</v>
      </c>
      <c r="D11470" s="2">
        <v>0.23219999999999999</v>
      </c>
      <c r="E11470" s="2">
        <v>0.21510000000000001</v>
      </c>
      <c r="F11470" s="2">
        <v>8.6699999999999999E-2</v>
      </c>
      <c r="G11470" s="2">
        <v>4.41E-2</v>
      </c>
      <c r="H11470" s="2">
        <v>8.77E-2</v>
      </c>
      <c r="I11470" s="2">
        <v>6.9900000000000004E-2</v>
      </c>
      <c r="J11470" s="2">
        <v>3.9399999999999998E-2</v>
      </c>
      <c r="K11470" s="2">
        <v>3.4799999999999998E-2</v>
      </c>
      <c r="L11470" s="2">
        <v>1.21E-2</v>
      </c>
      <c r="M11470" s="2">
        <v>5.0000000000000001E-3</v>
      </c>
      <c r="O11470">
        <v>525</v>
      </c>
    </row>
    <row r="11471" spans="1:15" x14ac:dyDescent="0.35">
      <c r="A11471" t="s">
        <v>228</v>
      </c>
      <c r="B11471" t="s">
        <v>228</v>
      </c>
      <c r="C11471" s="2">
        <v>0.42920000000000003</v>
      </c>
      <c r="D11471" s="2">
        <v>0.31090000000000001</v>
      </c>
      <c r="E11471" s="2">
        <v>0.154</v>
      </c>
      <c r="F11471" s="2">
        <v>6.3E-2</v>
      </c>
      <c r="G11471" s="2">
        <v>5.0700000000000002E-2</v>
      </c>
      <c r="H11471" s="2">
        <v>4.9099999999999998E-2</v>
      </c>
      <c r="I11471" s="2">
        <v>4.7E-2</v>
      </c>
      <c r="J11471" s="2">
        <v>3.61E-2</v>
      </c>
      <c r="K11471" s="2">
        <v>2.9100000000000001E-2</v>
      </c>
      <c r="L11471" s="2">
        <v>1.34E-2</v>
      </c>
      <c r="M11471" s="2">
        <v>2.2000000000000001E-3</v>
      </c>
      <c r="N11471" s="2">
        <v>0</v>
      </c>
      <c r="O11471">
        <v>2807</v>
      </c>
    </row>
    <row r="11473" spans="1:15" x14ac:dyDescent="0.35">
      <c r="A11473" s="1" t="s">
        <v>2630</v>
      </c>
    </row>
    <row r="11474" spans="1:15" x14ac:dyDescent="0.35">
      <c r="A11474" t="s">
        <v>219</v>
      </c>
      <c r="B11474" t="s">
        <v>301</v>
      </c>
      <c r="C11474" t="s">
        <v>540</v>
      </c>
      <c r="D11474" t="s">
        <v>277</v>
      </c>
      <c r="E11474" t="s">
        <v>2615</v>
      </c>
      <c r="F11474" t="s">
        <v>2616</v>
      </c>
      <c r="G11474" t="s">
        <v>2617</v>
      </c>
      <c r="H11474" t="s">
        <v>2594</v>
      </c>
      <c r="I11474" t="s">
        <v>2618</v>
      </c>
      <c r="J11474" t="s">
        <v>2619</v>
      </c>
      <c r="K11474" t="s">
        <v>2620</v>
      </c>
      <c r="L11474" t="s">
        <v>2621</v>
      </c>
      <c r="M11474" t="s">
        <v>282</v>
      </c>
      <c r="N11474" t="s">
        <v>318</v>
      </c>
      <c r="O11474" t="s">
        <v>226</v>
      </c>
    </row>
    <row r="11475" spans="1:15" x14ac:dyDescent="0.35">
      <c r="A11475" t="s">
        <v>227</v>
      </c>
      <c r="B11475" t="s">
        <v>343</v>
      </c>
      <c r="C11475" s="2">
        <v>0.46160000000000001</v>
      </c>
      <c r="D11475" s="2">
        <v>0.3669</v>
      </c>
      <c r="E11475" s="2">
        <v>0.1038</v>
      </c>
      <c r="F11475" s="2">
        <v>1.9099999999999999E-2</v>
      </c>
      <c r="G11475" s="2">
        <v>2.7300000000000001E-2</v>
      </c>
      <c r="H11475" s="2">
        <v>2.6499999999999999E-2</v>
      </c>
      <c r="I11475" s="2">
        <v>1.6400000000000001E-2</v>
      </c>
      <c r="J11475" s="2">
        <v>2.23E-2</v>
      </c>
      <c r="K11475" s="2">
        <v>1.1900000000000001E-2</v>
      </c>
      <c r="L11475" s="2">
        <v>7.7000000000000002E-3</v>
      </c>
      <c r="M11475" s="2">
        <v>4.4000000000000003E-3</v>
      </c>
      <c r="O11475">
        <v>404</v>
      </c>
    </row>
    <row r="11476" spans="1:15" x14ac:dyDescent="0.35">
      <c r="A11476" t="s">
        <v>227</v>
      </c>
      <c r="B11476" t="s">
        <v>344</v>
      </c>
      <c r="C11476" s="2">
        <v>0.42270000000000002</v>
      </c>
      <c r="D11476" s="2">
        <v>0.29949999999999999</v>
      </c>
      <c r="E11476" s="2">
        <v>0.16420000000000001</v>
      </c>
      <c r="F11476" s="2">
        <v>7.1900000000000006E-2</v>
      </c>
      <c r="G11476" s="2">
        <v>5.5500000000000001E-2</v>
      </c>
      <c r="H11476" s="2">
        <v>5.3699999999999998E-2</v>
      </c>
      <c r="I11476" s="2">
        <v>5.3199999999999997E-2</v>
      </c>
      <c r="J11476" s="2">
        <v>3.8800000000000001E-2</v>
      </c>
      <c r="K11476" s="2">
        <v>3.2599999999999997E-2</v>
      </c>
      <c r="L11476" s="2">
        <v>1.4500000000000001E-2</v>
      </c>
      <c r="M11476" s="2">
        <v>1.8E-3</v>
      </c>
      <c r="N11476" s="2">
        <v>1E-4</v>
      </c>
      <c r="O11476">
        <v>2403</v>
      </c>
    </row>
    <row r="11477" spans="1:15" x14ac:dyDescent="0.35">
      <c r="A11477" t="s">
        <v>228</v>
      </c>
      <c r="B11477" t="s">
        <v>228</v>
      </c>
      <c r="C11477" s="2">
        <v>0.42920000000000003</v>
      </c>
      <c r="D11477" s="2">
        <v>0.31090000000000001</v>
      </c>
      <c r="E11477" s="2">
        <v>0.154</v>
      </c>
      <c r="F11477" s="2">
        <v>6.3E-2</v>
      </c>
      <c r="G11477" s="2">
        <v>5.0700000000000002E-2</v>
      </c>
      <c r="H11477" s="2">
        <v>4.9099999999999998E-2</v>
      </c>
      <c r="I11477" s="2">
        <v>4.7E-2</v>
      </c>
      <c r="J11477" s="2">
        <v>3.61E-2</v>
      </c>
      <c r="K11477" s="2">
        <v>2.9100000000000001E-2</v>
      </c>
      <c r="L11477" s="2">
        <v>1.34E-2</v>
      </c>
      <c r="M11477" s="2">
        <v>2.2000000000000001E-3</v>
      </c>
      <c r="N11477" s="2">
        <v>0</v>
      </c>
      <c r="O11477">
        <v>2807</v>
      </c>
    </row>
    <row r="11479" spans="1:15" x14ac:dyDescent="0.35">
      <c r="A11479" s="1" t="s">
        <v>2631</v>
      </c>
    </row>
    <row r="11480" spans="1:15" x14ac:dyDescent="0.35">
      <c r="A11480" t="s">
        <v>219</v>
      </c>
      <c r="B11480" t="s">
        <v>301</v>
      </c>
      <c r="C11480" t="s">
        <v>540</v>
      </c>
      <c r="D11480" t="s">
        <v>277</v>
      </c>
      <c r="E11480" t="s">
        <v>2615</v>
      </c>
      <c r="F11480" t="s">
        <v>2616</v>
      </c>
      <c r="G11480" t="s">
        <v>2617</v>
      </c>
      <c r="H11480" t="s">
        <v>2594</v>
      </c>
      <c r="I11480" t="s">
        <v>2618</v>
      </c>
      <c r="J11480" t="s">
        <v>2619</v>
      </c>
      <c r="K11480" t="s">
        <v>2620</v>
      </c>
      <c r="L11480" t="s">
        <v>2621</v>
      </c>
      <c r="M11480" t="s">
        <v>282</v>
      </c>
      <c r="N11480" t="s">
        <v>318</v>
      </c>
      <c r="O11480" t="s">
        <v>226</v>
      </c>
    </row>
    <row r="11481" spans="1:15" x14ac:dyDescent="0.35">
      <c r="A11481" t="s">
        <v>227</v>
      </c>
      <c r="B11481" t="s">
        <v>346</v>
      </c>
      <c r="C11481" s="2">
        <v>0.44590000000000002</v>
      </c>
      <c r="D11481" s="2">
        <v>0.3085</v>
      </c>
      <c r="E11481" s="2">
        <v>0.15260000000000001</v>
      </c>
      <c r="F11481" s="2">
        <v>4.9799999999999997E-2</v>
      </c>
      <c r="G11481" s="2">
        <v>4.7800000000000002E-2</v>
      </c>
      <c r="H11481" s="2">
        <v>3.8399999999999997E-2</v>
      </c>
      <c r="I11481" s="2">
        <v>4.5999999999999999E-2</v>
      </c>
      <c r="J11481" s="2">
        <v>3.32E-2</v>
      </c>
      <c r="K11481" s="2">
        <v>2.8500000000000001E-2</v>
      </c>
      <c r="L11481" s="2">
        <v>1.2699999999999999E-2</v>
      </c>
      <c r="M11481" s="2">
        <v>1.1999999999999999E-3</v>
      </c>
      <c r="N11481" s="2">
        <v>1E-4</v>
      </c>
      <c r="O11481">
        <v>1462</v>
      </c>
    </row>
    <row r="11482" spans="1:15" x14ac:dyDescent="0.35">
      <c r="A11482" t="s">
        <v>227</v>
      </c>
      <c r="B11482" t="s">
        <v>347</v>
      </c>
      <c r="C11482" s="2">
        <v>0.30130000000000001</v>
      </c>
      <c r="D11482" s="2">
        <v>0.3634</v>
      </c>
      <c r="E11482" s="2">
        <v>0.1721</v>
      </c>
      <c r="F11482" s="2">
        <v>0.12</v>
      </c>
      <c r="G11482" s="2">
        <v>7.0400000000000004E-2</v>
      </c>
      <c r="H11482" s="2">
        <v>0.12720000000000001</v>
      </c>
      <c r="I11482" s="2">
        <v>3.6400000000000002E-2</v>
      </c>
      <c r="J11482" s="2">
        <v>3.7499999999999999E-2</v>
      </c>
      <c r="K11482" s="2">
        <v>4.41E-2</v>
      </c>
      <c r="L11482" s="2">
        <v>1.89E-2</v>
      </c>
      <c r="M11482" s="2">
        <v>1.3100000000000001E-2</v>
      </c>
      <c r="O11482">
        <v>583</v>
      </c>
    </row>
    <row r="11483" spans="1:15" x14ac:dyDescent="0.35">
      <c r="A11483" t="s">
        <v>227</v>
      </c>
      <c r="B11483" t="s">
        <v>348</v>
      </c>
      <c r="C11483" s="2">
        <v>0.32679999999999998</v>
      </c>
      <c r="D11483" s="2">
        <v>0.31230000000000002</v>
      </c>
      <c r="E11483" s="2">
        <v>0.1593</v>
      </c>
      <c r="F11483" s="2">
        <v>0.16089999999999999</v>
      </c>
      <c r="G11483" s="2">
        <v>6.9699999999999998E-2</v>
      </c>
      <c r="H11483" s="2">
        <v>0.1164</v>
      </c>
      <c r="I11483" s="2">
        <v>5.96E-2</v>
      </c>
      <c r="J11483" s="2">
        <v>6.1499999999999999E-2</v>
      </c>
      <c r="K11483" s="2">
        <v>2.9499999999999998E-2</v>
      </c>
      <c r="L11483" s="2">
        <v>1.6799999999999999E-2</v>
      </c>
      <c r="M11483" s="2">
        <v>7.4000000000000003E-3</v>
      </c>
      <c r="O11483">
        <v>762</v>
      </c>
    </row>
    <row r="11484" spans="1:15" x14ac:dyDescent="0.35">
      <c r="A11484" t="s">
        <v>228</v>
      </c>
      <c r="B11484" t="s">
        <v>228</v>
      </c>
      <c r="C11484" s="2">
        <v>0.42920000000000003</v>
      </c>
      <c r="D11484" s="2">
        <v>0.31090000000000001</v>
      </c>
      <c r="E11484" s="2">
        <v>0.154</v>
      </c>
      <c r="F11484" s="2">
        <v>6.3E-2</v>
      </c>
      <c r="G11484" s="2">
        <v>5.0700000000000002E-2</v>
      </c>
      <c r="H11484" s="2">
        <v>4.9099999999999998E-2</v>
      </c>
      <c r="I11484" s="2">
        <v>4.7E-2</v>
      </c>
      <c r="J11484" s="2">
        <v>3.61E-2</v>
      </c>
      <c r="K11484" s="2">
        <v>2.9100000000000001E-2</v>
      </c>
      <c r="L11484" s="2">
        <v>1.34E-2</v>
      </c>
      <c r="M11484" s="2">
        <v>2.2000000000000001E-3</v>
      </c>
      <c r="N11484" s="2">
        <v>0</v>
      </c>
      <c r="O11484">
        <v>2807</v>
      </c>
    </row>
    <row r="11486" spans="1:15" x14ac:dyDescent="0.35">
      <c r="A11486" s="1" t="s">
        <v>2632</v>
      </c>
    </row>
    <row r="11487" spans="1:15" x14ac:dyDescent="0.35">
      <c r="A11487" t="s">
        <v>219</v>
      </c>
      <c r="B11487" t="s">
        <v>301</v>
      </c>
      <c r="C11487" t="s">
        <v>540</v>
      </c>
      <c r="D11487" t="s">
        <v>277</v>
      </c>
      <c r="E11487" t="s">
        <v>2615</v>
      </c>
      <c r="F11487" t="s">
        <v>2616</v>
      </c>
      <c r="G11487" t="s">
        <v>2617</v>
      </c>
      <c r="H11487" t="s">
        <v>2594</v>
      </c>
      <c r="I11487" t="s">
        <v>2618</v>
      </c>
      <c r="J11487" t="s">
        <v>2619</v>
      </c>
      <c r="K11487" t="s">
        <v>2620</v>
      </c>
      <c r="L11487" t="s">
        <v>2621</v>
      </c>
      <c r="M11487" t="s">
        <v>282</v>
      </c>
      <c r="N11487" t="s">
        <v>318</v>
      </c>
      <c r="O11487" t="s">
        <v>226</v>
      </c>
    </row>
    <row r="11488" spans="1:15" x14ac:dyDescent="0.35">
      <c r="A11488" t="s">
        <v>227</v>
      </c>
      <c r="B11488" t="s">
        <v>251</v>
      </c>
      <c r="C11488" s="2">
        <v>0.39169999999999999</v>
      </c>
      <c r="D11488" s="2">
        <v>0.39639999999999997</v>
      </c>
      <c r="E11488" s="2">
        <v>0.1042</v>
      </c>
      <c r="F11488" s="2">
        <v>5.8500000000000003E-2</v>
      </c>
      <c r="G11488" s="2">
        <v>4.5999999999999999E-2</v>
      </c>
      <c r="H11488" s="2">
        <v>3.8100000000000002E-2</v>
      </c>
      <c r="I11488" s="2">
        <v>4.7300000000000002E-2</v>
      </c>
      <c r="J11488" s="2">
        <v>3.2899999999999999E-2</v>
      </c>
      <c r="K11488" s="2">
        <v>2.4299999999999999E-2</v>
      </c>
      <c r="L11488" s="2">
        <v>8.8000000000000005E-3</v>
      </c>
      <c r="M11488" s="2">
        <v>2.8E-3</v>
      </c>
      <c r="N11488" s="2">
        <v>1E-4</v>
      </c>
      <c r="O11488">
        <v>2025</v>
      </c>
    </row>
    <row r="11489" spans="1:15" x14ac:dyDescent="0.35">
      <c r="A11489" t="s">
        <v>227</v>
      </c>
      <c r="B11489" t="s">
        <v>252</v>
      </c>
      <c r="C11489" s="2">
        <v>0.54190000000000005</v>
      </c>
      <c r="D11489" s="2">
        <v>0.08</v>
      </c>
      <c r="E11489" s="2">
        <v>0.2712</v>
      </c>
      <c r="F11489" s="2">
        <v>7.9399999999999998E-2</v>
      </c>
      <c r="G11489" s="2">
        <v>6.6600000000000006E-2</v>
      </c>
      <c r="H11489" s="2">
        <v>8.3099999999999993E-2</v>
      </c>
      <c r="I11489" s="2">
        <v>4.8800000000000003E-2</v>
      </c>
      <c r="J11489" s="2">
        <v>4.4200000000000003E-2</v>
      </c>
      <c r="K11489" s="2">
        <v>4.2299999999999997E-2</v>
      </c>
      <c r="L11489" s="2">
        <v>2.5600000000000001E-2</v>
      </c>
      <c r="M11489" s="2">
        <v>1E-4</v>
      </c>
      <c r="O11489">
        <v>620</v>
      </c>
    </row>
    <row r="11490" spans="1:15" x14ac:dyDescent="0.35">
      <c r="A11490" t="s">
        <v>227</v>
      </c>
      <c r="B11490" t="s">
        <v>253</v>
      </c>
      <c r="C11490" s="2">
        <v>0.45989999999999998</v>
      </c>
      <c r="D11490" s="2">
        <v>0.15340000000000001</v>
      </c>
      <c r="E11490" s="2">
        <v>0.30869999999999997</v>
      </c>
      <c r="F11490" s="2">
        <v>5.2999999999999999E-2</v>
      </c>
      <c r="G11490" s="2">
        <v>4.7199999999999999E-2</v>
      </c>
      <c r="H11490" s="2">
        <v>4.7E-2</v>
      </c>
      <c r="I11490" s="2">
        <v>3.7100000000000001E-2</v>
      </c>
      <c r="J11490" s="2">
        <v>4.1000000000000002E-2</v>
      </c>
      <c r="K11490" s="2">
        <v>3.8300000000000001E-2</v>
      </c>
      <c r="L11490" s="2">
        <v>2.18E-2</v>
      </c>
      <c r="M11490" s="2">
        <v>1.6999999999999999E-3</v>
      </c>
      <c r="O11490">
        <v>153</v>
      </c>
    </row>
    <row r="11491" spans="1:15" x14ac:dyDescent="0.35">
      <c r="A11491" s="3" t="s">
        <v>227</v>
      </c>
      <c r="B11491" s="3" t="s">
        <v>254</v>
      </c>
      <c r="C11491" s="4">
        <v>0.10440000000000001</v>
      </c>
      <c r="D11491" s="4">
        <v>0.33300000000000002</v>
      </c>
      <c r="E11491" s="4">
        <v>0.49030000000000001</v>
      </c>
      <c r="F11491" s="4">
        <v>1.43E-2</v>
      </c>
      <c r="G11491" s="5"/>
      <c r="H11491" s="4">
        <v>0.1237</v>
      </c>
      <c r="I11491" s="5"/>
      <c r="J11491" s="4">
        <v>0.1237</v>
      </c>
      <c r="K11491" s="5"/>
      <c r="L11491" s="5"/>
      <c r="M11491" s="4">
        <v>5.8000000000000003E-2</v>
      </c>
      <c r="N11491" s="5"/>
      <c r="O11491" s="5" t="s">
        <v>515</v>
      </c>
    </row>
    <row r="11492" spans="1:15" x14ac:dyDescent="0.35">
      <c r="A11492" t="s">
        <v>228</v>
      </c>
      <c r="B11492" t="s">
        <v>228</v>
      </c>
      <c r="C11492" s="2">
        <v>0.42920000000000003</v>
      </c>
      <c r="D11492" s="2">
        <v>0.31090000000000001</v>
      </c>
      <c r="E11492" s="2">
        <v>0.154</v>
      </c>
      <c r="F11492" s="2">
        <v>6.3E-2</v>
      </c>
      <c r="G11492" s="2">
        <v>5.0700000000000002E-2</v>
      </c>
      <c r="H11492" s="2">
        <v>4.9099999999999998E-2</v>
      </c>
      <c r="I11492" s="2">
        <v>4.7E-2</v>
      </c>
      <c r="J11492" s="2">
        <v>3.61E-2</v>
      </c>
      <c r="K11492" s="2">
        <v>2.9100000000000001E-2</v>
      </c>
      <c r="L11492" s="2">
        <v>1.34E-2</v>
      </c>
      <c r="M11492" s="2">
        <v>2.2000000000000001E-3</v>
      </c>
      <c r="N11492" s="2">
        <v>0</v>
      </c>
      <c r="O11492">
        <v>2807</v>
      </c>
    </row>
    <row r="11494" spans="1:15" x14ac:dyDescent="0.35">
      <c r="A11494" s="1" t="s">
        <v>2633</v>
      </c>
    </row>
    <row r="11495" spans="1:15" x14ac:dyDescent="0.35">
      <c r="A11495" t="s">
        <v>219</v>
      </c>
      <c r="B11495" t="s">
        <v>301</v>
      </c>
      <c r="C11495" t="s">
        <v>540</v>
      </c>
      <c r="D11495" t="s">
        <v>277</v>
      </c>
      <c r="E11495" t="s">
        <v>2615</v>
      </c>
      <c r="F11495" t="s">
        <v>2616</v>
      </c>
      <c r="G11495" t="s">
        <v>2617</v>
      </c>
      <c r="H11495" t="s">
        <v>2594</v>
      </c>
      <c r="I11495" t="s">
        <v>2618</v>
      </c>
      <c r="J11495" t="s">
        <v>2619</v>
      </c>
      <c r="K11495" t="s">
        <v>2620</v>
      </c>
      <c r="L11495" t="s">
        <v>2621</v>
      </c>
      <c r="M11495" t="s">
        <v>282</v>
      </c>
      <c r="N11495" t="s">
        <v>318</v>
      </c>
      <c r="O11495" t="s">
        <v>226</v>
      </c>
    </row>
    <row r="11496" spans="1:15" x14ac:dyDescent="0.35">
      <c r="A11496" t="s">
        <v>227</v>
      </c>
      <c r="B11496" t="s">
        <v>1335</v>
      </c>
      <c r="C11496" s="2">
        <v>0.43890000000000001</v>
      </c>
      <c r="D11496" s="2">
        <v>0.33129999999999998</v>
      </c>
      <c r="E11496" s="2">
        <v>0.13550000000000001</v>
      </c>
      <c r="F11496" s="2">
        <v>6.1499999999999999E-2</v>
      </c>
      <c r="G11496" s="2">
        <v>4.0399999999999998E-2</v>
      </c>
      <c r="H11496" s="2">
        <v>5.4199999999999998E-2</v>
      </c>
      <c r="I11496" s="2">
        <v>2.7099999999999999E-2</v>
      </c>
      <c r="J11496" s="2">
        <v>2.93E-2</v>
      </c>
      <c r="K11496" s="2">
        <v>2.6499999999999999E-2</v>
      </c>
      <c r="L11496" s="2">
        <v>9.2999999999999992E-3</v>
      </c>
      <c r="M11496" s="2">
        <v>3.7000000000000002E-3</v>
      </c>
      <c r="O11496">
        <v>845</v>
      </c>
    </row>
    <row r="11497" spans="1:15" x14ac:dyDescent="0.35">
      <c r="A11497" s="3" t="s">
        <v>227</v>
      </c>
      <c r="B11497" s="3" t="s">
        <v>1336</v>
      </c>
      <c r="C11497" s="4">
        <v>0.40660000000000002</v>
      </c>
      <c r="D11497" s="5"/>
      <c r="E11497" s="5"/>
      <c r="F11497" s="4">
        <v>0.59340000000000004</v>
      </c>
      <c r="G11497" s="5"/>
      <c r="H11497" s="5"/>
      <c r="I11497" s="5"/>
      <c r="J11497" s="5"/>
      <c r="K11497" s="5"/>
      <c r="L11497" s="5"/>
      <c r="M11497" s="5"/>
      <c r="N11497" s="5"/>
      <c r="O11497" s="5" t="s">
        <v>434</v>
      </c>
    </row>
    <row r="11498" spans="1:15" x14ac:dyDescent="0.35">
      <c r="A11498" t="s">
        <v>227</v>
      </c>
      <c r="B11498" t="s">
        <v>1337</v>
      </c>
      <c r="C11498" s="2">
        <v>0.4244</v>
      </c>
      <c r="D11498" s="2">
        <v>0.3014</v>
      </c>
      <c r="E11498" s="2">
        <v>0.1636</v>
      </c>
      <c r="F11498" s="2">
        <v>6.2399999999999997E-2</v>
      </c>
      <c r="G11498" s="2">
        <v>5.6000000000000001E-2</v>
      </c>
      <c r="H11498" s="2">
        <v>4.6600000000000003E-2</v>
      </c>
      <c r="I11498" s="2">
        <v>5.7099999999999998E-2</v>
      </c>
      <c r="J11498" s="2">
        <v>3.9600000000000003E-2</v>
      </c>
      <c r="K11498" s="2">
        <v>3.0499999999999999E-2</v>
      </c>
      <c r="L11498" s="2">
        <v>1.54E-2</v>
      </c>
      <c r="M11498" s="2">
        <v>1.5E-3</v>
      </c>
      <c r="N11498" s="2">
        <v>1E-4</v>
      </c>
      <c r="O11498">
        <v>1960</v>
      </c>
    </row>
    <row r="11499" spans="1:15" x14ac:dyDescent="0.35">
      <c r="A11499" t="s">
        <v>228</v>
      </c>
      <c r="B11499" t="s">
        <v>228</v>
      </c>
      <c r="C11499" s="2">
        <v>0.42920000000000003</v>
      </c>
      <c r="D11499" s="2">
        <v>0.31090000000000001</v>
      </c>
      <c r="E11499" s="2">
        <v>0.154</v>
      </c>
      <c r="F11499" s="2">
        <v>6.3E-2</v>
      </c>
      <c r="G11499" s="2">
        <v>5.0700000000000002E-2</v>
      </c>
      <c r="H11499" s="2">
        <v>4.9099999999999998E-2</v>
      </c>
      <c r="I11499" s="2">
        <v>4.7E-2</v>
      </c>
      <c r="J11499" s="2">
        <v>3.61E-2</v>
      </c>
      <c r="K11499" s="2">
        <v>2.9100000000000001E-2</v>
      </c>
      <c r="L11499" s="2">
        <v>1.34E-2</v>
      </c>
      <c r="M11499" s="2">
        <v>2.2000000000000001E-3</v>
      </c>
      <c r="N11499" s="2">
        <v>0</v>
      </c>
      <c r="O11499">
        <v>2807</v>
      </c>
    </row>
    <row r="11501" spans="1:15" x14ac:dyDescent="0.35">
      <c r="A11501" s="1" t="s">
        <v>2634</v>
      </c>
    </row>
    <row r="11502" spans="1:15" x14ac:dyDescent="0.35">
      <c r="A11502" t="s">
        <v>219</v>
      </c>
      <c r="B11502" t="s">
        <v>301</v>
      </c>
      <c r="C11502" t="s">
        <v>540</v>
      </c>
      <c r="D11502" t="s">
        <v>277</v>
      </c>
      <c r="E11502" t="s">
        <v>2615</v>
      </c>
      <c r="F11502" t="s">
        <v>2616</v>
      </c>
      <c r="G11502" t="s">
        <v>2617</v>
      </c>
      <c r="H11502" t="s">
        <v>2594</v>
      </c>
      <c r="I11502" t="s">
        <v>2618</v>
      </c>
      <c r="J11502" t="s">
        <v>2619</v>
      </c>
      <c r="K11502" t="s">
        <v>2620</v>
      </c>
      <c r="L11502" t="s">
        <v>2621</v>
      </c>
      <c r="M11502" t="s">
        <v>282</v>
      </c>
      <c r="N11502" t="s">
        <v>318</v>
      </c>
      <c r="O11502" t="s">
        <v>226</v>
      </c>
    </row>
    <row r="11503" spans="1:15" x14ac:dyDescent="0.35">
      <c r="A11503" t="s">
        <v>227</v>
      </c>
      <c r="B11503" t="s">
        <v>1339</v>
      </c>
      <c r="C11503" s="2">
        <v>0.72250000000000003</v>
      </c>
      <c r="D11503" s="2">
        <v>9.4700000000000006E-2</v>
      </c>
      <c r="E11503" s="2">
        <v>2.0999999999999999E-3</v>
      </c>
      <c r="F11503" s="2">
        <v>2.0999999999999999E-3</v>
      </c>
      <c r="G11503" s="2">
        <v>7.2400000000000006E-2</v>
      </c>
      <c r="H11503" s="2">
        <v>5.1900000000000002E-2</v>
      </c>
      <c r="I11503" s="2">
        <v>3.3599999999999998E-2</v>
      </c>
      <c r="J11503" s="2">
        <v>5.8500000000000003E-2</v>
      </c>
      <c r="K11503" s="2">
        <v>8.3999999999999995E-3</v>
      </c>
      <c r="L11503" s="2">
        <v>4.1999999999999997E-3</v>
      </c>
      <c r="O11503">
        <v>51</v>
      </c>
    </row>
    <row r="11504" spans="1:15" x14ac:dyDescent="0.35">
      <c r="A11504" t="s">
        <v>227</v>
      </c>
      <c r="B11504" t="s">
        <v>1340</v>
      </c>
      <c r="C11504" s="2">
        <v>0.4592</v>
      </c>
      <c r="D11504" s="2">
        <v>0.1736</v>
      </c>
      <c r="E11504" s="2">
        <v>0.24160000000000001</v>
      </c>
      <c r="F11504" s="2">
        <v>8.5000000000000006E-2</v>
      </c>
      <c r="G11504" s="2">
        <v>7.9799999999999996E-2</v>
      </c>
      <c r="H11504" s="2">
        <v>7.0900000000000005E-2</v>
      </c>
      <c r="I11504" s="2">
        <v>8.5500000000000007E-2</v>
      </c>
      <c r="J11504" s="2">
        <v>5.11E-2</v>
      </c>
      <c r="K11504" s="2">
        <v>4.0899999999999999E-2</v>
      </c>
      <c r="L11504" s="2">
        <v>1.5100000000000001E-2</v>
      </c>
      <c r="M11504" s="2">
        <v>2.0999999999999999E-3</v>
      </c>
      <c r="O11504">
        <v>729</v>
      </c>
    </row>
    <row r="11505" spans="1:16" x14ac:dyDescent="0.35">
      <c r="A11505" t="s">
        <v>227</v>
      </c>
      <c r="B11505" t="s">
        <v>1341</v>
      </c>
      <c r="C11505" s="2">
        <v>0.41449999999999998</v>
      </c>
      <c r="D11505" s="2">
        <v>0.3095</v>
      </c>
      <c r="E11505" s="2">
        <v>0.1734</v>
      </c>
      <c r="F11505" s="2">
        <v>6.6600000000000006E-2</v>
      </c>
      <c r="G11505" s="2">
        <v>5.1499999999999997E-2</v>
      </c>
      <c r="H11505" s="2">
        <v>5.1200000000000002E-2</v>
      </c>
      <c r="I11505" s="2">
        <v>4.36E-2</v>
      </c>
      <c r="J11505" s="2">
        <v>3.6799999999999999E-2</v>
      </c>
      <c r="K11505" s="2">
        <v>3.04E-2</v>
      </c>
      <c r="L11505" s="2">
        <v>1.78E-2</v>
      </c>
      <c r="M11505" s="2">
        <v>2.2000000000000001E-3</v>
      </c>
      <c r="O11505">
        <v>1340</v>
      </c>
    </row>
    <row r="11506" spans="1:16" x14ac:dyDescent="0.35">
      <c r="A11506" t="s">
        <v>227</v>
      </c>
      <c r="B11506" t="s">
        <v>1342</v>
      </c>
      <c r="C11506" s="2">
        <v>0.40210000000000001</v>
      </c>
      <c r="D11506" s="2">
        <v>0.4748</v>
      </c>
      <c r="E11506" s="2">
        <v>3.7499999999999999E-2</v>
      </c>
      <c r="F11506" s="2">
        <v>3.85E-2</v>
      </c>
      <c r="G11506" s="2">
        <v>1.72E-2</v>
      </c>
      <c r="H11506" s="2">
        <v>2.1999999999999999E-2</v>
      </c>
      <c r="I11506" s="2">
        <v>1.6299999999999999E-2</v>
      </c>
      <c r="J11506" s="2">
        <v>1.6899999999999998E-2</v>
      </c>
      <c r="K11506" s="2">
        <v>1.6500000000000001E-2</v>
      </c>
      <c r="L11506" s="2">
        <v>3.0000000000000001E-3</v>
      </c>
      <c r="M11506" s="2">
        <v>2.5999999999999999E-3</v>
      </c>
      <c r="N11506" s="2">
        <v>2.0000000000000001E-4</v>
      </c>
      <c r="O11506">
        <v>687</v>
      </c>
    </row>
    <row r="11507" spans="1:16" x14ac:dyDescent="0.35">
      <c r="A11507" t="s">
        <v>228</v>
      </c>
      <c r="B11507" t="s">
        <v>228</v>
      </c>
      <c r="C11507" s="2">
        <v>0.42920000000000003</v>
      </c>
      <c r="D11507" s="2">
        <v>0.31090000000000001</v>
      </c>
      <c r="E11507" s="2">
        <v>0.154</v>
      </c>
      <c r="F11507" s="2">
        <v>6.3E-2</v>
      </c>
      <c r="G11507" s="2">
        <v>5.0700000000000002E-2</v>
      </c>
      <c r="H11507" s="2">
        <v>4.9099999999999998E-2</v>
      </c>
      <c r="I11507" s="2">
        <v>4.7E-2</v>
      </c>
      <c r="J11507" s="2">
        <v>3.61E-2</v>
      </c>
      <c r="K11507" s="2">
        <v>2.9100000000000001E-2</v>
      </c>
      <c r="L11507" s="2">
        <v>1.34E-2</v>
      </c>
      <c r="M11507" s="2">
        <v>2.2000000000000001E-3</v>
      </c>
      <c r="N11507" s="2">
        <v>0</v>
      </c>
      <c r="O11507">
        <v>2807</v>
      </c>
    </row>
    <row r="11509" spans="1:16" x14ac:dyDescent="0.35">
      <c r="A11509" s="1" t="s">
        <v>2635</v>
      </c>
    </row>
    <row r="11510" spans="1:16" x14ac:dyDescent="0.35">
      <c r="A11510" t="s">
        <v>219</v>
      </c>
      <c r="B11510" t="s">
        <v>301</v>
      </c>
      <c r="C11510" t="s">
        <v>325</v>
      </c>
      <c r="D11510" t="s">
        <v>540</v>
      </c>
      <c r="E11510" t="s">
        <v>277</v>
      </c>
      <c r="F11510" t="s">
        <v>2615</v>
      </c>
      <c r="G11510" t="s">
        <v>2616</v>
      </c>
      <c r="H11510" t="s">
        <v>2617</v>
      </c>
      <c r="I11510" t="s">
        <v>2594</v>
      </c>
      <c r="J11510" t="s">
        <v>2618</v>
      </c>
      <c r="K11510" t="s">
        <v>2619</v>
      </c>
      <c r="L11510" t="s">
        <v>2620</v>
      </c>
      <c r="M11510" t="s">
        <v>2621</v>
      </c>
      <c r="N11510" t="s">
        <v>282</v>
      </c>
      <c r="O11510" t="s">
        <v>318</v>
      </c>
      <c r="P11510" t="s">
        <v>226</v>
      </c>
    </row>
    <row r="11511" spans="1:16" x14ac:dyDescent="0.35">
      <c r="A11511" s="3" t="s">
        <v>227</v>
      </c>
      <c r="B11511" s="3" t="s">
        <v>1335</v>
      </c>
      <c r="C11511" s="3" t="s">
        <v>1339</v>
      </c>
      <c r="D11511" s="4">
        <v>0.65</v>
      </c>
      <c r="E11511" s="4">
        <v>0.1542</v>
      </c>
      <c r="F11511" s="5"/>
      <c r="G11511" s="4">
        <v>5.7999999999999996E-3</v>
      </c>
      <c r="H11511" s="4">
        <v>7.7600000000000002E-2</v>
      </c>
      <c r="I11511" s="4">
        <v>2.7300000000000001E-2</v>
      </c>
      <c r="J11511" s="5"/>
      <c r="K11511" s="4">
        <v>6.8000000000000005E-2</v>
      </c>
      <c r="L11511" s="4">
        <v>2.29E-2</v>
      </c>
      <c r="M11511" s="4">
        <v>5.7999999999999996E-3</v>
      </c>
      <c r="N11511" s="5"/>
      <c r="O11511" s="5"/>
      <c r="P11511" s="5" t="s">
        <v>427</v>
      </c>
    </row>
    <row r="11512" spans="1:16" x14ac:dyDescent="0.35">
      <c r="A11512" t="s">
        <v>227</v>
      </c>
      <c r="B11512" t="s">
        <v>1335</v>
      </c>
      <c r="C11512" t="s">
        <v>1340</v>
      </c>
      <c r="D11512" s="2">
        <v>0.47889999999999999</v>
      </c>
      <c r="E11512" s="2">
        <v>0.2155</v>
      </c>
      <c r="F11512" s="2">
        <v>0.20580000000000001</v>
      </c>
      <c r="G11512" s="2">
        <v>8.6999999999999994E-2</v>
      </c>
      <c r="H11512" s="2">
        <v>4.3099999999999999E-2</v>
      </c>
      <c r="I11512" s="2">
        <v>7.6399999999999996E-2</v>
      </c>
      <c r="J11512" s="2">
        <v>4.4400000000000002E-2</v>
      </c>
      <c r="K11512" s="2">
        <v>4.5900000000000003E-2</v>
      </c>
      <c r="L11512" s="2">
        <v>3.5099999999999999E-2</v>
      </c>
      <c r="M11512" s="2">
        <v>6.4999999999999997E-3</v>
      </c>
      <c r="N11512" s="2">
        <v>3.8999999999999998E-3</v>
      </c>
      <c r="P11512">
        <v>252</v>
      </c>
    </row>
    <row r="11513" spans="1:16" x14ac:dyDescent="0.35">
      <c r="A11513" t="s">
        <v>227</v>
      </c>
      <c r="B11513" t="s">
        <v>1335</v>
      </c>
      <c r="C11513" t="s">
        <v>1341</v>
      </c>
      <c r="D11513" s="2">
        <v>0.39900000000000002</v>
      </c>
      <c r="E11513" s="2">
        <v>0.34820000000000001</v>
      </c>
      <c r="F11513" s="2">
        <v>0.14829999999999999</v>
      </c>
      <c r="G11513" s="2">
        <v>6.2899999999999998E-2</v>
      </c>
      <c r="H11513" s="2">
        <v>4.5699999999999998E-2</v>
      </c>
      <c r="I11513" s="2">
        <v>5.8099999999999999E-2</v>
      </c>
      <c r="J11513" s="2">
        <v>2.63E-2</v>
      </c>
      <c r="K11513" s="2">
        <v>2.4899999999999999E-2</v>
      </c>
      <c r="L11513" s="2">
        <v>2.69E-2</v>
      </c>
      <c r="M11513" s="2">
        <v>1.06E-2</v>
      </c>
      <c r="N11513" s="2">
        <v>4.7000000000000002E-3</v>
      </c>
      <c r="P11513">
        <v>417</v>
      </c>
    </row>
    <row r="11514" spans="1:16" x14ac:dyDescent="0.35">
      <c r="A11514" t="s">
        <v>227</v>
      </c>
      <c r="B11514" t="s">
        <v>1335</v>
      </c>
      <c r="C11514" t="s">
        <v>1342</v>
      </c>
      <c r="D11514" s="2">
        <v>0.4662</v>
      </c>
      <c r="E11514" s="2">
        <v>0.46260000000000001</v>
      </c>
      <c r="F11514" s="2">
        <v>2.4500000000000001E-2</v>
      </c>
      <c r="G11514" s="2">
        <v>3.0700000000000002E-2</v>
      </c>
      <c r="H11514" s="2">
        <v>1.7899999999999999E-2</v>
      </c>
      <c r="I11514" s="2">
        <v>1.7299999999999999E-2</v>
      </c>
      <c r="J11514" s="2">
        <v>9.9000000000000008E-3</v>
      </c>
      <c r="K11514" s="2">
        <v>1.3899999999999999E-2</v>
      </c>
      <c r="L11514" s="2">
        <v>1.46E-2</v>
      </c>
      <c r="M11514" s="2">
        <v>9.9000000000000008E-3</v>
      </c>
      <c r="N11514" s="2">
        <v>1.4E-3</v>
      </c>
      <c r="P11514">
        <v>156</v>
      </c>
    </row>
    <row r="11515" spans="1:16" x14ac:dyDescent="0.35">
      <c r="A11515" s="3" t="s">
        <v>227</v>
      </c>
      <c r="B11515" s="3" t="s">
        <v>1336</v>
      </c>
      <c r="C11515" s="3" t="s">
        <v>1341</v>
      </c>
      <c r="D11515" s="4">
        <v>0.40660000000000002</v>
      </c>
      <c r="E11515" s="5"/>
      <c r="F11515" s="5"/>
      <c r="G11515" s="4">
        <v>0.59340000000000004</v>
      </c>
      <c r="H11515" s="5"/>
      <c r="I11515" s="5"/>
      <c r="J11515" s="5"/>
      <c r="K11515" s="5"/>
      <c r="L11515" s="5"/>
      <c r="M11515" s="5"/>
      <c r="N11515" s="5"/>
      <c r="O11515" s="5"/>
      <c r="P11515" s="5" t="s">
        <v>434</v>
      </c>
    </row>
    <row r="11516" spans="1:16" x14ac:dyDescent="0.35">
      <c r="A11516" t="s">
        <v>227</v>
      </c>
      <c r="B11516" t="s">
        <v>1337</v>
      </c>
      <c r="C11516" t="s">
        <v>1339</v>
      </c>
      <c r="D11516" s="2">
        <v>0.76449999999999996</v>
      </c>
      <c r="E11516" s="2">
        <v>6.0299999999999999E-2</v>
      </c>
      <c r="F11516" s="2">
        <v>3.3E-3</v>
      </c>
      <c r="H11516" s="2">
        <v>6.93E-2</v>
      </c>
      <c r="I11516" s="2">
        <v>6.6100000000000006E-2</v>
      </c>
      <c r="J11516" s="2">
        <v>5.2999999999999999E-2</v>
      </c>
      <c r="K11516" s="2">
        <v>5.2999999999999999E-2</v>
      </c>
      <c r="M11516" s="2">
        <v>3.3E-3</v>
      </c>
      <c r="P11516">
        <v>31</v>
      </c>
    </row>
    <row r="11517" spans="1:16" x14ac:dyDescent="0.35">
      <c r="A11517" t="s">
        <v>227</v>
      </c>
      <c r="B11517" t="s">
        <v>1337</v>
      </c>
      <c r="C11517" t="s">
        <v>1340</v>
      </c>
      <c r="D11517" s="2">
        <v>0.44800000000000001</v>
      </c>
      <c r="E11517" s="2">
        <v>0.14979999999999999</v>
      </c>
      <c r="F11517" s="2">
        <v>0.26200000000000001</v>
      </c>
      <c r="G11517" s="2">
        <v>8.3900000000000002E-2</v>
      </c>
      <c r="H11517" s="2">
        <v>0.1007</v>
      </c>
      <c r="I11517" s="2">
        <v>6.7699999999999996E-2</v>
      </c>
      <c r="J11517" s="2">
        <v>0.1089</v>
      </c>
      <c r="K11517" s="2">
        <v>5.4100000000000002E-2</v>
      </c>
      <c r="L11517" s="2">
        <v>4.4200000000000003E-2</v>
      </c>
      <c r="M11517" s="2">
        <v>1.9900000000000001E-2</v>
      </c>
      <c r="N11517" s="2">
        <v>1.1000000000000001E-3</v>
      </c>
      <c r="P11517">
        <v>477</v>
      </c>
    </row>
    <row r="11518" spans="1:16" x14ac:dyDescent="0.35">
      <c r="A11518" t="s">
        <v>227</v>
      </c>
      <c r="B11518" t="s">
        <v>1337</v>
      </c>
      <c r="C11518" t="s">
        <v>1341</v>
      </c>
      <c r="D11518" s="2">
        <v>0.42280000000000001</v>
      </c>
      <c r="E11518" s="2">
        <v>0.29039999999999999</v>
      </c>
      <c r="F11518" s="2">
        <v>0.18759999999999999</v>
      </c>
      <c r="G11518" s="2">
        <v>6.6000000000000003E-2</v>
      </c>
      <c r="H11518" s="2">
        <v>5.4899999999999997E-2</v>
      </c>
      <c r="I11518" s="2">
        <v>4.7800000000000002E-2</v>
      </c>
      <c r="J11518" s="2">
        <v>5.2999999999999999E-2</v>
      </c>
      <c r="K11518" s="2">
        <v>4.3299999999999998E-2</v>
      </c>
      <c r="L11518" s="2">
        <v>3.2300000000000002E-2</v>
      </c>
      <c r="M11518" s="2">
        <v>2.1700000000000001E-2</v>
      </c>
      <c r="N11518" s="2">
        <v>8.9999999999999998E-4</v>
      </c>
      <c r="P11518">
        <v>921</v>
      </c>
    </row>
    <row r="11519" spans="1:16" x14ac:dyDescent="0.35">
      <c r="A11519" t="s">
        <v>227</v>
      </c>
      <c r="B11519" t="s">
        <v>1337</v>
      </c>
      <c r="C11519" t="s">
        <v>1342</v>
      </c>
      <c r="D11519" s="2">
        <v>0.37759999999999999</v>
      </c>
      <c r="E11519" s="2">
        <v>0.47949999999999998</v>
      </c>
      <c r="F11519" s="2">
        <v>4.24E-2</v>
      </c>
      <c r="G11519" s="2">
        <v>4.1500000000000002E-2</v>
      </c>
      <c r="H11519" s="2">
        <v>1.7000000000000001E-2</v>
      </c>
      <c r="I11519" s="2">
        <v>2.3800000000000002E-2</v>
      </c>
      <c r="J11519" s="2">
        <v>1.8700000000000001E-2</v>
      </c>
      <c r="K11519" s="2">
        <v>1.7999999999999999E-2</v>
      </c>
      <c r="L11519" s="2">
        <v>1.7299999999999999E-2</v>
      </c>
      <c r="M11519" s="2">
        <v>2.9999999999999997E-4</v>
      </c>
      <c r="N11519" s="2">
        <v>3.0999999999999999E-3</v>
      </c>
      <c r="O11519" s="2">
        <v>2.9999999999999997E-4</v>
      </c>
      <c r="P11519">
        <v>531</v>
      </c>
    </row>
    <row r="11520" spans="1:16" x14ac:dyDescent="0.35">
      <c r="A11520" t="s">
        <v>228</v>
      </c>
      <c r="B11520" t="s">
        <v>228</v>
      </c>
      <c r="C11520" t="s">
        <v>228</v>
      </c>
      <c r="D11520" s="2">
        <v>0.42920000000000003</v>
      </c>
      <c r="E11520" s="2">
        <v>0.31090000000000001</v>
      </c>
      <c r="F11520" s="2">
        <v>0.154</v>
      </c>
      <c r="G11520" s="2">
        <v>6.3E-2</v>
      </c>
      <c r="H11520" s="2">
        <v>5.0700000000000002E-2</v>
      </c>
      <c r="I11520" s="2">
        <v>4.9099999999999998E-2</v>
      </c>
      <c r="J11520" s="2">
        <v>4.7E-2</v>
      </c>
      <c r="K11520" s="2">
        <v>3.61E-2</v>
      </c>
      <c r="L11520" s="2">
        <v>2.9100000000000001E-2</v>
      </c>
      <c r="M11520" s="2">
        <v>1.34E-2</v>
      </c>
      <c r="N11520" s="2">
        <v>2.2000000000000001E-3</v>
      </c>
      <c r="O11520" s="2">
        <v>0</v>
      </c>
      <c r="P11520">
        <v>2807</v>
      </c>
    </row>
    <row r="11522" spans="1:13" x14ac:dyDescent="0.35">
      <c r="A11522" s="1" t="s">
        <v>2636</v>
      </c>
    </row>
    <row r="11523" spans="1:13" x14ac:dyDescent="0.35">
      <c r="A11523" t="s">
        <v>219</v>
      </c>
      <c r="B11523" t="s">
        <v>298</v>
      </c>
      <c r="C11523" t="s">
        <v>2637</v>
      </c>
      <c r="D11523" t="s">
        <v>277</v>
      </c>
      <c r="E11523" t="s">
        <v>2638</v>
      </c>
      <c r="F11523" t="s">
        <v>2639</v>
      </c>
      <c r="G11523" t="s">
        <v>2640</v>
      </c>
      <c r="H11523" t="s">
        <v>2641</v>
      </c>
      <c r="I11523" t="s">
        <v>2642</v>
      </c>
      <c r="J11523" t="s">
        <v>2643</v>
      </c>
      <c r="K11523" t="s">
        <v>282</v>
      </c>
      <c r="L11523" t="s">
        <v>226</v>
      </c>
    </row>
    <row r="11524" spans="1:13" x14ac:dyDescent="0.35">
      <c r="A11524" t="s">
        <v>227</v>
      </c>
      <c r="B11524" s="2">
        <v>0.80789999999999995</v>
      </c>
      <c r="C11524" s="2">
        <v>8.48E-2</v>
      </c>
      <c r="D11524" s="2">
        <v>4.8800000000000003E-2</v>
      </c>
      <c r="E11524" s="2">
        <v>4.3700000000000003E-2</v>
      </c>
      <c r="F11524" s="2">
        <v>3.4299999999999997E-2</v>
      </c>
      <c r="G11524" s="2">
        <v>2.8000000000000001E-2</v>
      </c>
      <c r="H11524" s="2">
        <v>2.6599999999999999E-2</v>
      </c>
      <c r="I11524" s="2">
        <v>1.6E-2</v>
      </c>
      <c r="J11524" s="2">
        <v>7.1999999999999998E-3</v>
      </c>
      <c r="K11524" s="2">
        <v>5.0000000000000001E-3</v>
      </c>
      <c r="L11524">
        <v>2813</v>
      </c>
    </row>
    <row r="11525" spans="1:13" x14ac:dyDescent="0.35">
      <c r="A11525" t="s">
        <v>228</v>
      </c>
      <c r="B11525" s="2">
        <v>0.80789999999999995</v>
      </c>
      <c r="C11525" s="2">
        <v>8.48E-2</v>
      </c>
      <c r="D11525" s="2">
        <v>4.8800000000000003E-2</v>
      </c>
      <c r="E11525" s="2">
        <v>4.3700000000000003E-2</v>
      </c>
      <c r="F11525" s="2">
        <v>3.4299999999999997E-2</v>
      </c>
      <c r="G11525" s="2">
        <v>2.8000000000000001E-2</v>
      </c>
      <c r="H11525" s="2">
        <v>2.6599999999999999E-2</v>
      </c>
      <c r="I11525" s="2">
        <v>1.6E-2</v>
      </c>
      <c r="J11525" s="2">
        <v>7.1999999999999998E-3</v>
      </c>
      <c r="K11525" s="2">
        <v>5.0000000000000001E-3</v>
      </c>
      <c r="L11525">
        <v>2813</v>
      </c>
    </row>
    <row r="11527" spans="1:13" x14ac:dyDescent="0.35">
      <c r="A11527" s="1" t="s">
        <v>2644</v>
      </c>
    </row>
    <row r="11528" spans="1:13" x14ac:dyDescent="0.35">
      <c r="A11528" t="s">
        <v>219</v>
      </c>
      <c r="B11528" t="s">
        <v>301</v>
      </c>
      <c r="C11528" t="s">
        <v>298</v>
      </c>
      <c r="D11528" t="s">
        <v>2637</v>
      </c>
      <c r="E11528" t="s">
        <v>277</v>
      </c>
      <c r="F11528" t="s">
        <v>2638</v>
      </c>
      <c r="G11528" t="s">
        <v>2639</v>
      </c>
      <c r="H11528" t="s">
        <v>2640</v>
      </c>
      <c r="I11528" t="s">
        <v>2641</v>
      </c>
      <c r="J11528" t="s">
        <v>2642</v>
      </c>
      <c r="K11528" t="s">
        <v>2643</v>
      </c>
      <c r="L11528" t="s">
        <v>282</v>
      </c>
      <c r="M11528" t="s">
        <v>226</v>
      </c>
    </row>
    <row r="11529" spans="1:13" x14ac:dyDescent="0.35">
      <c r="A11529" t="s">
        <v>227</v>
      </c>
      <c r="B11529" t="s">
        <v>238</v>
      </c>
      <c r="C11529" s="2">
        <v>0.7702</v>
      </c>
      <c r="D11529" s="2">
        <v>8.5199999999999998E-2</v>
      </c>
      <c r="E11529" s="2">
        <v>6.9199999999999998E-2</v>
      </c>
      <c r="F11529" s="2">
        <v>4.5100000000000001E-2</v>
      </c>
      <c r="G11529" s="2">
        <v>3.9199999999999999E-2</v>
      </c>
      <c r="H11529" s="2">
        <v>3.0800000000000001E-2</v>
      </c>
      <c r="I11529" s="2">
        <v>3.0700000000000002E-2</v>
      </c>
      <c r="J11529" s="2">
        <v>2.3800000000000002E-2</v>
      </c>
      <c r="K11529" s="2">
        <v>1.35E-2</v>
      </c>
      <c r="L11529" s="2">
        <v>6.1999999999999998E-3</v>
      </c>
      <c r="M11529">
        <v>1005</v>
      </c>
    </row>
    <row r="11530" spans="1:13" x14ac:dyDescent="0.35">
      <c r="A11530" t="s">
        <v>227</v>
      </c>
      <c r="B11530" t="s">
        <v>237</v>
      </c>
      <c r="C11530" s="2">
        <v>0.82979999999999998</v>
      </c>
      <c r="D11530" s="2">
        <v>8.4599999999999995E-2</v>
      </c>
      <c r="E11530" s="2">
        <v>3.6900000000000002E-2</v>
      </c>
      <c r="F11530" s="2">
        <v>4.2900000000000001E-2</v>
      </c>
      <c r="G11530" s="2">
        <v>3.1399999999999997E-2</v>
      </c>
      <c r="H11530" s="2">
        <v>2.64E-2</v>
      </c>
      <c r="I11530" s="2">
        <v>2.4299999999999999E-2</v>
      </c>
      <c r="J11530" s="2">
        <v>1.15E-2</v>
      </c>
      <c r="K11530" s="2">
        <v>3.3999999999999998E-3</v>
      </c>
      <c r="L11530" s="2">
        <v>4.3E-3</v>
      </c>
      <c r="M11530">
        <v>1808</v>
      </c>
    </row>
    <row r="11531" spans="1:13" x14ac:dyDescent="0.35">
      <c r="A11531" t="s">
        <v>228</v>
      </c>
      <c r="B11531" t="s">
        <v>228</v>
      </c>
      <c r="C11531" s="2">
        <v>0.80789999999999995</v>
      </c>
      <c r="D11531" s="2">
        <v>8.48E-2</v>
      </c>
      <c r="E11531" s="2">
        <v>4.8800000000000003E-2</v>
      </c>
      <c r="F11531" s="2">
        <v>4.3700000000000003E-2</v>
      </c>
      <c r="G11531" s="2">
        <v>3.4299999999999997E-2</v>
      </c>
      <c r="H11531" s="2">
        <v>2.8000000000000001E-2</v>
      </c>
      <c r="I11531" s="2">
        <v>2.6599999999999999E-2</v>
      </c>
      <c r="J11531" s="2">
        <v>1.6E-2</v>
      </c>
      <c r="K11531" s="2">
        <v>7.1999999999999998E-3</v>
      </c>
      <c r="L11531" s="2">
        <v>5.0000000000000001E-3</v>
      </c>
      <c r="M11531">
        <v>2813</v>
      </c>
    </row>
    <row r="11533" spans="1:13" x14ac:dyDescent="0.35">
      <c r="A11533" s="1" t="s">
        <v>2645</v>
      </c>
    </row>
    <row r="11534" spans="1:13" x14ac:dyDescent="0.35">
      <c r="A11534" t="s">
        <v>219</v>
      </c>
      <c r="B11534" t="s">
        <v>301</v>
      </c>
      <c r="C11534" t="s">
        <v>298</v>
      </c>
      <c r="D11534" t="s">
        <v>2637</v>
      </c>
      <c r="E11534" t="s">
        <v>277</v>
      </c>
      <c r="F11534" t="s">
        <v>2638</v>
      </c>
      <c r="G11534" t="s">
        <v>2639</v>
      </c>
      <c r="H11534" t="s">
        <v>2640</v>
      </c>
      <c r="I11534" t="s">
        <v>2641</v>
      </c>
      <c r="J11534" t="s">
        <v>2642</v>
      </c>
      <c r="K11534" t="s">
        <v>2643</v>
      </c>
      <c r="L11534" t="s">
        <v>282</v>
      </c>
      <c r="M11534" t="s">
        <v>226</v>
      </c>
    </row>
    <row r="11535" spans="1:13" x14ac:dyDescent="0.35">
      <c r="A11535" t="s">
        <v>227</v>
      </c>
      <c r="B11535" t="s">
        <v>235</v>
      </c>
      <c r="C11535" s="2">
        <v>0.80520000000000003</v>
      </c>
      <c r="D11535" s="2">
        <v>6.7599999999999993E-2</v>
      </c>
      <c r="E11535" s="2">
        <v>7.1900000000000006E-2</v>
      </c>
      <c r="F11535" s="2">
        <v>2.7199999999999998E-2</v>
      </c>
      <c r="G11535" s="2">
        <v>3.0499999999999999E-2</v>
      </c>
      <c r="H11535" s="2">
        <v>2.3199999999999998E-2</v>
      </c>
      <c r="I11535" s="2">
        <v>1.6400000000000001E-2</v>
      </c>
      <c r="J11535" s="2">
        <v>2.41E-2</v>
      </c>
      <c r="K11535" s="2">
        <v>7.1000000000000004E-3</v>
      </c>
      <c r="L11535" s="2">
        <v>4.4999999999999997E-3</v>
      </c>
      <c r="M11535">
        <v>992</v>
      </c>
    </row>
    <row r="11536" spans="1:13" x14ac:dyDescent="0.35">
      <c r="A11536" t="s">
        <v>227</v>
      </c>
      <c r="B11536" t="s">
        <v>234</v>
      </c>
      <c r="C11536" s="2">
        <v>0.80889999999999995</v>
      </c>
      <c r="D11536" s="2">
        <v>9.1999999999999998E-2</v>
      </c>
      <c r="E11536" s="2">
        <v>3.9199999999999999E-2</v>
      </c>
      <c r="F11536" s="2">
        <v>5.0599999999999999E-2</v>
      </c>
      <c r="G11536" s="2">
        <v>3.5799999999999998E-2</v>
      </c>
      <c r="H11536" s="2">
        <v>3.0099999999999998E-2</v>
      </c>
      <c r="I11536" s="2">
        <v>3.09E-2</v>
      </c>
      <c r="J11536" s="2">
        <v>1.26E-2</v>
      </c>
      <c r="K11536" s="2">
        <v>7.1999999999999998E-3</v>
      </c>
      <c r="L11536" s="2">
        <v>5.1999999999999998E-3</v>
      </c>
      <c r="M11536">
        <v>1821</v>
      </c>
    </row>
    <row r="11537" spans="1:13" x14ac:dyDescent="0.35">
      <c r="A11537" t="s">
        <v>228</v>
      </c>
      <c r="B11537" t="s">
        <v>228</v>
      </c>
      <c r="C11537" s="2">
        <v>0.80789999999999995</v>
      </c>
      <c r="D11537" s="2">
        <v>8.48E-2</v>
      </c>
      <c r="E11537" s="2">
        <v>4.8800000000000003E-2</v>
      </c>
      <c r="F11537" s="2">
        <v>4.3700000000000003E-2</v>
      </c>
      <c r="G11537" s="2">
        <v>3.4299999999999997E-2</v>
      </c>
      <c r="H11537" s="2">
        <v>2.8000000000000001E-2</v>
      </c>
      <c r="I11537" s="2">
        <v>2.6599999999999999E-2</v>
      </c>
      <c r="J11537" s="2">
        <v>1.6E-2</v>
      </c>
      <c r="K11537" s="2">
        <v>7.1999999999999998E-3</v>
      </c>
      <c r="L11537" s="2">
        <v>5.0000000000000001E-3</v>
      </c>
      <c r="M11537">
        <v>2813</v>
      </c>
    </row>
    <row r="11539" spans="1:13" x14ac:dyDescent="0.35">
      <c r="A11539" s="1" t="s">
        <v>2646</v>
      </c>
    </row>
    <row r="11540" spans="1:13" x14ac:dyDescent="0.35">
      <c r="A11540" t="s">
        <v>219</v>
      </c>
      <c r="B11540" t="s">
        <v>301</v>
      </c>
      <c r="C11540" t="s">
        <v>298</v>
      </c>
      <c r="D11540" t="s">
        <v>2637</v>
      </c>
      <c r="E11540" t="s">
        <v>277</v>
      </c>
      <c r="F11540" t="s">
        <v>2638</v>
      </c>
      <c r="G11540" t="s">
        <v>2639</v>
      </c>
      <c r="H11540" t="s">
        <v>2640</v>
      </c>
      <c r="I11540" t="s">
        <v>2641</v>
      </c>
      <c r="J11540" t="s">
        <v>2642</v>
      </c>
      <c r="K11540" t="s">
        <v>2643</v>
      </c>
      <c r="L11540" t="s">
        <v>282</v>
      </c>
      <c r="M11540" t="s">
        <v>226</v>
      </c>
    </row>
    <row r="11541" spans="1:13" x14ac:dyDescent="0.35">
      <c r="A11541" t="s">
        <v>227</v>
      </c>
      <c r="B11541" t="s">
        <v>240</v>
      </c>
      <c r="C11541" s="2">
        <v>0.79769999999999996</v>
      </c>
      <c r="D11541" s="2">
        <v>9.6500000000000002E-2</v>
      </c>
      <c r="E11541" s="2">
        <v>3.9399999999999998E-2</v>
      </c>
      <c r="F11541" s="2">
        <v>4.3099999999999999E-2</v>
      </c>
      <c r="G11541" s="2">
        <v>3.4299999999999997E-2</v>
      </c>
      <c r="H11541" s="2">
        <v>2.6599999999999999E-2</v>
      </c>
      <c r="I11541" s="2">
        <v>2.7E-2</v>
      </c>
      <c r="J11541" s="2">
        <v>1.41E-2</v>
      </c>
      <c r="K11541" s="2">
        <v>5.1000000000000004E-3</v>
      </c>
      <c r="L11541" s="2">
        <v>6.7999999999999996E-3</v>
      </c>
      <c r="M11541">
        <v>1756</v>
      </c>
    </row>
    <row r="11542" spans="1:13" x14ac:dyDescent="0.35">
      <c r="A11542" t="s">
        <v>227</v>
      </c>
      <c r="B11542" t="s">
        <v>241</v>
      </c>
      <c r="C11542" s="2">
        <v>0.82789999999999997</v>
      </c>
      <c r="D11542" s="2">
        <v>6.3700000000000007E-2</v>
      </c>
      <c r="E11542" s="2">
        <v>6.9000000000000006E-2</v>
      </c>
      <c r="F11542" s="2">
        <v>4.5199999999999997E-2</v>
      </c>
      <c r="G11542" s="2">
        <v>3.3799999999999997E-2</v>
      </c>
      <c r="H11542" s="2">
        <v>2.64E-2</v>
      </c>
      <c r="I11542" s="2">
        <v>1.9900000000000001E-2</v>
      </c>
      <c r="J11542" s="2">
        <v>1.6500000000000001E-2</v>
      </c>
      <c r="K11542" s="2">
        <v>1.2E-2</v>
      </c>
      <c r="L11542" s="2">
        <v>2.0999999999999999E-3</v>
      </c>
      <c r="M11542">
        <v>891</v>
      </c>
    </row>
    <row r="11543" spans="1:13" x14ac:dyDescent="0.35">
      <c r="A11543" t="s">
        <v>227</v>
      </c>
      <c r="B11543" t="s">
        <v>242</v>
      </c>
      <c r="C11543" s="2">
        <v>0.81679999999999997</v>
      </c>
      <c r="D11543" s="2">
        <v>6.6400000000000001E-2</v>
      </c>
      <c r="E11543" s="2">
        <v>0.05</v>
      </c>
      <c r="F11543" s="2">
        <v>4.2999999999999997E-2</v>
      </c>
      <c r="G11543" s="2">
        <v>3.6200000000000003E-2</v>
      </c>
      <c r="H11543" s="2">
        <v>4.8800000000000003E-2</v>
      </c>
      <c r="I11543" s="2">
        <v>5.3199999999999997E-2</v>
      </c>
      <c r="J11543" s="2">
        <v>3.2199999999999999E-2</v>
      </c>
      <c r="K11543" s="2">
        <v>5.3E-3</v>
      </c>
      <c r="M11543">
        <v>166</v>
      </c>
    </row>
    <row r="11544" spans="1:13" x14ac:dyDescent="0.35">
      <c r="A11544" t="s">
        <v>228</v>
      </c>
      <c r="B11544" t="s">
        <v>228</v>
      </c>
      <c r="C11544" s="2">
        <v>0.80789999999999995</v>
      </c>
      <c r="D11544" s="2">
        <v>8.48E-2</v>
      </c>
      <c r="E11544" s="2">
        <v>4.8800000000000003E-2</v>
      </c>
      <c r="F11544" s="2">
        <v>4.3700000000000003E-2</v>
      </c>
      <c r="G11544" s="2">
        <v>3.4299999999999997E-2</v>
      </c>
      <c r="H11544" s="2">
        <v>2.8000000000000001E-2</v>
      </c>
      <c r="I11544" s="2">
        <v>2.6599999999999999E-2</v>
      </c>
      <c r="J11544" s="2">
        <v>1.6E-2</v>
      </c>
      <c r="K11544" s="2">
        <v>7.1999999999999998E-3</v>
      </c>
      <c r="L11544" s="2">
        <v>5.0000000000000001E-3</v>
      </c>
      <c r="M11544">
        <v>2813</v>
      </c>
    </row>
    <row r="11546" spans="1:13" x14ac:dyDescent="0.35">
      <c r="A11546" s="1" t="s">
        <v>2647</v>
      </c>
    </row>
    <row r="11547" spans="1:13" x14ac:dyDescent="0.35">
      <c r="A11547" t="s">
        <v>219</v>
      </c>
      <c r="B11547" t="s">
        <v>301</v>
      </c>
      <c r="C11547" t="s">
        <v>298</v>
      </c>
      <c r="D11547" t="s">
        <v>2637</v>
      </c>
      <c r="E11547" t="s">
        <v>277</v>
      </c>
      <c r="F11547" t="s">
        <v>2638</v>
      </c>
      <c r="G11547" t="s">
        <v>2639</v>
      </c>
      <c r="H11547" t="s">
        <v>2640</v>
      </c>
      <c r="I11547" t="s">
        <v>2641</v>
      </c>
      <c r="J11547" t="s">
        <v>2642</v>
      </c>
      <c r="K11547" t="s">
        <v>2643</v>
      </c>
      <c r="L11547" t="s">
        <v>282</v>
      </c>
      <c r="M11547" t="s">
        <v>226</v>
      </c>
    </row>
    <row r="11548" spans="1:13" x14ac:dyDescent="0.35">
      <c r="A11548" t="s">
        <v>227</v>
      </c>
      <c r="B11548" t="s">
        <v>334</v>
      </c>
      <c r="C11548" s="2">
        <v>0.80559999999999998</v>
      </c>
      <c r="D11548" s="2">
        <v>6.83E-2</v>
      </c>
      <c r="E11548" s="2">
        <v>6.3399999999999998E-2</v>
      </c>
      <c r="F11548" s="2">
        <v>2.8199999999999999E-2</v>
      </c>
      <c r="G11548" s="2">
        <v>3.6200000000000003E-2</v>
      </c>
      <c r="H11548" s="2">
        <v>2.3099999999999999E-2</v>
      </c>
      <c r="I11548" s="2">
        <v>2.8899999999999999E-2</v>
      </c>
      <c r="J11548" s="2">
        <v>1.34E-2</v>
      </c>
      <c r="K11548" s="2">
        <v>7.7999999999999996E-3</v>
      </c>
      <c r="L11548" s="2">
        <v>3.5999999999999999E-3</v>
      </c>
      <c r="M11548">
        <v>625</v>
      </c>
    </row>
    <row r="11549" spans="1:13" x14ac:dyDescent="0.35">
      <c r="A11549" t="s">
        <v>227</v>
      </c>
      <c r="B11549" t="s">
        <v>335</v>
      </c>
      <c r="C11549" s="2">
        <v>0.80830000000000002</v>
      </c>
      <c r="D11549" s="2">
        <v>0.1225</v>
      </c>
      <c r="E11549" s="2">
        <v>1.8499999999999999E-2</v>
      </c>
      <c r="F11549" s="2">
        <v>4.9399999999999999E-2</v>
      </c>
      <c r="G11549" s="2">
        <v>4.2599999999999999E-2</v>
      </c>
      <c r="H11549" s="2">
        <v>2.3400000000000001E-2</v>
      </c>
      <c r="I11549" s="2">
        <v>2.07E-2</v>
      </c>
      <c r="J11549" s="2">
        <v>6.1999999999999998E-3</v>
      </c>
      <c r="K11549" s="2">
        <v>3.3999999999999998E-3</v>
      </c>
      <c r="L11549" s="2">
        <v>3.7000000000000002E-3</v>
      </c>
      <c r="M11549">
        <v>628</v>
      </c>
    </row>
    <row r="11550" spans="1:13" x14ac:dyDescent="0.35">
      <c r="A11550" t="s">
        <v>227</v>
      </c>
      <c r="B11550" t="s">
        <v>336</v>
      </c>
      <c r="C11550" s="2">
        <v>0.83260000000000001</v>
      </c>
      <c r="D11550" s="2">
        <v>4.9299999999999997E-2</v>
      </c>
      <c r="E11550" s="2">
        <v>8.3599999999999994E-2</v>
      </c>
      <c r="F11550" s="2">
        <v>3.5499999999999997E-2</v>
      </c>
      <c r="G11550" s="2">
        <v>1.7999999999999999E-2</v>
      </c>
      <c r="H11550" s="2">
        <v>2.5000000000000001E-2</v>
      </c>
      <c r="I11550" s="2">
        <v>2.58E-2</v>
      </c>
      <c r="J11550" s="2">
        <v>9.4000000000000004E-3</v>
      </c>
      <c r="K11550" s="2">
        <v>1.1299999999999999E-2</v>
      </c>
      <c r="L11550" s="2">
        <v>2.3E-3</v>
      </c>
      <c r="M11550">
        <v>621</v>
      </c>
    </row>
    <row r="11551" spans="1:13" x14ac:dyDescent="0.35">
      <c r="A11551" t="s">
        <v>227</v>
      </c>
      <c r="B11551" t="s">
        <v>337</v>
      </c>
      <c r="C11551" s="2">
        <v>0.80149999999999999</v>
      </c>
      <c r="D11551" s="2">
        <v>7.8799999999999995E-2</v>
      </c>
      <c r="E11551" s="2">
        <v>4.3200000000000002E-2</v>
      </c>
      <c r="F11551" s="2">
        <v>4.0099999999999997E-2</v>
      </c>
      <c r="G11551" s="2">
        <v>3.04E-2</v>
      </c>
      <c r="H11551" s="2">
        <v>4.1799999999999997E-2</v>
      </c>
      <c r="I11551" s="2">
        <v>2.93E-2</v>
      </c>
      <c r="J11551" s="2">
        <v>3.6700000000000003E-2</v>
      </c>
      <c r="K11551" s="2">
        <v>7.7000000000000002E-3</v>
      </c>
      <c r="L11551" s="2">
        <v>6.7000000000000002E-3</v>
      </c>
      <c r="M11551">
        <v>602</v>
      </c>
    </row>
    <row r="11552" spans="1:13" x14ac:dyDescent="0.35">
      <c r="A11552" t="s">
        <v>228</v>
      </c>
      <c r="B11552" t="s">
        <v>228</v>
      </c>
      <c r="C11552" s="2">
        <v>0.80789999999999995</v>
      </c>
      <c r="D11552" s="2">
        <v>8.48E-2</v>
      </c>
      <c r="E11552" s="2">
        <v>4.8800000000000003E-2</v>
      </c>
      <c r="F11552" s="2">
        <v>4.3700000000000003E-2</v>
      </c>
      <c r="G11552" s="2">
        <v>3.4299999999999997E-2</v>
      </c>
      <c r="H11552" s="2">
        <v>2.8000000000000001E-2</v>
      </c>
      <c r="I11552" s="2">
        <v>2.6599999999999999E-2</v>
      </c>
      <c r="J11552" s="2">
        <v>1.6E-2</v>
      </c>
      <c r="K11552" s="2">
        <v>7.1999999999999998E-3</v>
      </c>
      <c r="L11552" s="2">
        <v>5.0000000000000001E-3</v>
      </c>
      <c r="M11552">
        <v>2476</v>
      </c>
    </row>
    <row r="11554" spans="1:13" x14ac:dyDescent="0.35">
      <c r="A11554" s="1" t="s">
        <v>2648</v>
      </c>
    </row>
    <row r="11555" spans="1:13" x14ac:dyDescent="0.35">
      <c r="A11555" t="s">
        <v>219</v>
      </c>
      <c r="B11555" t="s">
        <v>301</v>
      </c>
      <c r="C11555" t="s">
        <v>298</v>
      </c>
      <c r="D11555" t="s">
        <v>2637</v>
      </c>
      <c r="E11555" t="s">
        <v>277</v>
      </c>
      <c r="F11555" t="s">
        <v>2638</v>
      </c>
      <c r="G11555" t="s">
        <v>2639</v>
      </c>
      <c r="H11555" t="s">
        <v>2640</v>
      </c>
      <c r="I11555" t="s">
        <v>2641</v>
      </c>
      <c r="J11555" t="s">
        <v>2642</v>
      </c>
      <c r="K11555" t="s">
        <v>2643</v>
      </c>
      <c r="L11555" t="s">
        <v>282</v>
      </c>
      <c r="M11555" t="s">
        <v>226</v>
      </c>
    </row>
    <row r="11556" spans="1:13" x14ac:dyDescent="0.35">
      <c r="A11556" t="s">
        <v>227</v>
      </c>
      <c r="B11556" t="s">
        <v>263</v>
      </c>
      <c r="C11556" s="2">
        <v>0.79490000000000005</v>
      </c>
      <c r="D11556" s="2">
        <v>9.3299999999999994E-2</v>
      </c>
      <c r="E11556" s="2">
        <v>4.1799999999999997E-2</v>
      </c>
      <c r="F11556" s="2">
        <v>4.8000000000000001E-2</v>
      </c>
      <c r="G11556" s="2">
        <v>3.9E-2</v>
      </c>
      <c r="H11556" s="2">
        <v>3.9E-2</v>
      </c>
      <c r="I11556" s="2">
        <v>3.1699999999999999E-2</v>
      </c>
      <c r="J11556" s="2">
        <v>2.8799999999999999E-2</v>
      </c>
      <c r="K11556" s="2">
        <v>3.7000000000000002E-3</v>
      </c>
      <c r="L11556" s="2">
        <v>3.5999999999999999E-3</v>
      </c>
      <c r="M11556">
        <v>589</v>
      </c>
    </row>
    <row r="11557" spans="1:13" x14ac:dyDescent="0.35">
      <c r="A11557" t="s">
        <v>227</v>
      </c>
      <c r="B11557" t="s">
        <v>262</v>
      </c>
      <c r="C11557" s="2">
        <v>0.81169999999999998</v>
      </c>
      <c r="D11557" s="2">
        <v>6.6900000000000001E-2</v>
      </c>
      <c r="E11557" s="2">
        <v>7.1099999999999997E-2</v>
      </c>
      <c r="F11557" s="2">
        <v>4.9200000000000001E-2</v>
      </c>
      <c r="G11557" s="2">
        <v>2.9000000000000001E-2</v>
      </c>
      <c r="H11557" s="2">
        <v>2.29E-2</v>
      </c>
      <c r="I11557" s="2">
        <v>3.0099999999999998E-2</v>
      </c>
      <c r="J11557" s="2">
        <v>1.41E-2</v>
      </c>
      <c r="K11557" s="2">
        <v>1.18E-2</v>
      </c>
      <c r="L11557" s="2">
        <v>4.1999999999999997E-3</v>
      </c>
      <c r="M11557">
        <v>1160</v>
      </c>
    </row>
    <row r="11558" spans="1:13" x14ac:dyDescent="0.35">
      <c r="A11558" t="s">
        <v>227</v>
      </c>
      <c r="B11558" t="s">
        <v>261</v>
      </c>
      <c r="C11558" s="2">
        <v>0.81030000000000002</v>
      </c>
      <c r="D11558" s="2">
        <v>9.64E-2</v>
      </c>
      <c r="E11558" s="2">
        <v>3.32E-2</v>
      </c>
      <c r="F11558" s="2">
        <v>3.6999999999999998E-2</v>
      </c>
      <c r="G11558" s="2">
        <v>3.6600000000000001E-2</v>
      </c>
      <c r="H11558" s="2">
        <v>2.7199999999999998E-2</v>
      </c>
      <c r="I11558" s="2">
        <v>2.12E-2</v>
      </c>
      <c r="J11558" s="2">
        <v>1.15E-2</v>
      </c>
      <c r="K11558" s="2">
        <v>4.8999999999999998E-3</v>
      </c>
      <c r="L11558" s="2">
        <v>6.3E-3</v>
      </c>
      <c r="M11558">
        <v>1062</v>
      </c>
    </row>
    <row r="11559" spans="1:13" x14ac:dyDescent="0.35">
      <c r="A11559" s="3" t="s">
        <v>227</v>
      </c>
      <c r="B11559" s="3" t="s">
        <v>232</v>
      </c>
      <c r="C11559" s="4">
        <v>1</v>
      </c>
      <c r="D11559" s="5"/>
      <c r="E11559" s="5"/>
      <c r="F11559" s="5"/>
      <c r="G11559" s="5"/>
      <c r="H11559" s="5"/>
      <c r="I11559" s="5"/>
      <c r="J11559" s="5"/>
      <c r="K11559" s="5"/>
      <c r="L11559" s="5"/>
      <c r="M11559" s="5" t="s">
        <v>434</v>
      </c>
    </row>
    <row r="11560" spans="1:13" x14ac:dyDescent="0.35">
      <c r="A11560" t="s">
        <v>228</v>
      </c>
      <c r="B11560" t="s">
        <v>228</v>
      </c>
      <c r="C11560" s="2">
        <v>0.80789999999999995</v>
      </c>
      <c r="D11560" s="2">
        <v>8.48E-2</v>
      </c>
      <c r="E11560" s="2">
        <v>4.8800000000000003E-2</v>
      </c>
      <c r="F11560" s="2">
        <v>4.3700000000000003E-2</v>
      </c>
      <c r="G11560" s="2">
        <v>3.4299999999999997E-2</v>
      </c>
      <c r="H11560" s="2">
        <v>2.8000000000000001E-2</v>
      </c>
      <c r="I11560" s="2">
        <v>2.6599999999999999E-2</v>
      </c>
      <c r="J11560" s="2">
        <v>1.6E-2</v>
      </c>
      <c r="K11560" s="2">
        <v>7.1999999999999998E-3</v>
      </c>
      <c r="L11560" s="2">
        <v>5.0000000000000001E-3</v>
      </c>
      <c r="M11560">
        <v>2813</v>
      </c>
    </row>
    <row r="11562" spans="1:13" x14ac:dyDescent="0.35">
      <c r="A11562" s="1" t="s">
        <v>2649</v>
      </c>
    </row>
    <row r="11563" spans="1:13" x14ac:dyDescent="0.35">
      <c r="A11563" t="s">
        <v>219</v>
      </c>
      <c r="B11563" t="s">
        <v>301</v>
      </c>
      <c r="C11563" t="s">
        <v>298</v>
      </c>
      <c r="D11563" t="s">
        <v>2637</v>
      </c>
      <c r="E11563" t="s">
        <v>277</v>
      </c>
      <c r="F11563" t="s">
        <v>2638</v>
      </c>
      <c r="G11563" t="s">
        <v>2639</v>
      </c>
      <c r="H11563" t="s">
        <v>2640</v>
      </c>
      <c r="I11563" t="s">
        <v>2641</v>
      </c>
      <c r="J11563" t="s">
        <v>2642</v>
      </c>
      <c r="K11563" t="s">
        <v>2643</v>
      </c>
      <c r="L11563" t="s">
        <v>282</v>
      </c>
      <c r="M11563" t="s">
        <v>226</v>
      </c>
    </row>
    <row r="11564" spans="1:13" x14ac:dyDescent="0.35">
      <c r="A11564" t="s">
        <v>227</v>
      </c>
      <c r="B11564" t="s">
        <v>248</v>
      </c>
      <c r="C11564" s="2">
        <v>0.83589999999999998</v>
      </c>
      <c r="D11564" s="2">
        <v>3.7400000000000003E-2</v>
      </c>
      <c r="E11564" s="2">
        <v>8.1500000000000003E-2</v>
      </c>
      <c r="F11564" s="2">
        <v>3.04E-2</v>
      </c>
      <c r="G11564" s="2">
        <v>2.5700000000000001E-2</v>
      </c>
      <c r="H11564" s="2">
        <v>1.9199999999999998E-2</v>
      </c>
      <c r="I11564" s="2">
        <v>1.4200000000000001E-2</v>
      </c>
      <c r="J11564" s="2">
        <v>2.0899999999999998E-2</v>
      </c>
      <c r="K11564" s="2">
        <v>1.15E-2</v>
      </c>
      <c r="L11564" s="2">
        <v>5.7999999999999996E-3</v>
      </c>
      <c r="M11564">
        <v>796</v>
      </c>
    </row>
    <row r="11565" spans="1:13" x14ac:dyDescent="0.35">
      <c r="A11565" t="s">
        <v>227</v>
      </c>
      <c r="B11565" t="s">
        <v>249</v>
      </c>
      <c r="C11565" s="2">
        <v>0.78669999999999995</v>
      </c>
      <c r="D11565" s="2">
        <v>9.8699999999999996E-2</v>
      </c>
      <c r="E11565" s="2">
        <v>4.9799999999999997E-2</v>
      </c>
      <c r="F11565" s="2">
        <v>5.0900000000000001E-2</v>
      </c>
      <c r="G11565" s="2">
        <v>5.1299999999999998E-2</v>
      </c>
      <c r="H11565" s="2">
        <v>3.2599999999999997E-2</v>
      </c>
      <c r="I11565" s="2">
        <v>3.1099999999999999E-2</v>
      </c>
      <c r="J11565" s="2">
        <v>2.6700000000000002E-2</v>
      </c>
      <c r="K11565" s="2">
        <v>5.0000000000000001E-3</v>
      </c>
      <c r="L11565" s="2">
        <v>1.6000000000000001E-3</v>
      </c>
      <c r="M11565">
        <v>541</v>
      </c>
    </row>
    <row r="11566" spans="1:13" x14ac:dyDescent="0.35">
      <c r="A11566" t="s">
        <v>227</v>
      </c>
      <c r="B11566" t="s">
        <v>247</v>
      </c>
      <c r="C11566" s="2">
        <v>0.80100000000000005</v>
      </c>
      <c r="D11566" s="2">
        <v>0.1043</v>
      </c>
      <c r="E11566" s="2">
        <v>3.1600000000000003E-2</v>
      </c>
      <c r="F11566" s="2">
        <v>4.7899999999999998E-2</v>
      </c>
      <c r="G11566" s="2">
        <v>3.2500000000000001E-2</v>
      </c>
      <c r="H11566" s="2">
        <v>3.09E-2</v>
      </c>
      <c r="I11566" s="2">
        <v>3.15E-2</v>
      </c>
      <c r="J11566" s="2">
        <v>9.5999999999999992E-3</v>
      </c>
      <c r="K11566" s="2">
        <v>5.7000000000000002E-3</v>
      </c>
      <c r="L11566" s="2">
        <v>5.7000000000000002E-3</v>
      </c>
      <c r="M11566">
        <v>1476</v>
      </c>
    </row>
    <row r="11567" spans="1:13" x14ac:dyDescent="0.35">
      <c r="A11567" t="s">
        <v>228</v>
      </c>
      <c r="B11567" t="s">
        <v>228</v>
      </c>
      <c r="C11567" s="2">
        <v>0.80789999999999995</v>
      </c>
      <c r="D11567" s="2">
        <v>8.48E-2</v>
      </c>
      <c r="E11567" s="2">
        <v>4.8800000000000003E-2</v>
      </c>
      <c r="F11567" s="2">
        <v>4.3700000000000003E-2</v>
      </c>
      <c r="G11567" s="2">
        <v>3.4299999999999997E-2</v>
      </c>
      <c r="H11567" s="2">
        <v>2.8000000000000001E-2</v>
      </c>
      <c r="I11567" s="2">
        <v>2.6599999999999999E-2</v>
      </c>
      <c r="J11567" s="2">
        <v>1.6E-2</v>
      </c>
      <c r="K11567" s="2">
        <v>7.1999999999999998E-3</v>
      </c>
      <c r="L11567" s="2">
        <v>5.0000000000000001E-3</v>
      </c>
      <c r="M11567">
        <v>2813</v>
      </c>
    </row>
    <row r="11569" spans="1:13" x14ac:dyDescent="0.35">
      <c r="A11569" s="1" t="s">
        <v>2650</v>
      </c>
    </row>
    <row r="11570" spans="1:13" x14ac:dyDescent="0.35">
      <c r="A11570" t="s">
        <v>219</v>
      </c>
      <c r="B11570" t="s">
        <v>301</v>
      </c>
      <c r="C11570" t="s">
        <v>298</v>
      </c>
      <c r="D11570" t="s">
        <v>2637</v>
      </c>
      <c r="E11570" t="s">
        <v>277</v>
      </c>
      <c r="F11570" t="s">
        <v>2638</v>
      </c>
      <c r="G11570" t="s">
        <v>2639</v>
      </c>
      <c r="H11570" t="s">
        <v>2640</v>
      </c>
      <c r="I11570" t="s">
        <v>2641</v>
      </c>
      <c r="J11570" t="s">
        <v>2642</v>
      </c>
      <c r="K11570" t="s">
        <v>2643</v>
      </c>
      <c r="L11570" t="s">
        <v>282</v>
      </c>
      <c r="M11570" t="s">
        <v>226</v>
      </c>
    </row>
    <row r="11571" spans="1:13" x14ac:dyDescent="0.35">
      <c r="A11571" t="s">
        <v>227</v>
      </c>
      <c r="B11571" t="s">
        <v>245</v>
      </c>
      <c r="C11571" s="2">
        <v>0.79259999999999997</v>
      </c>
      <c r="D11571" s="2">
        <v>0.10630000000000001</v>
      </c>
      <c r="E11571" s="2">
        <v>2.8199999999999999E-2</v>
      </c>
      <c r="F11571" s="2">
        <v>4.6199999999999998E-2</v>
      </c>
      <c r="G11571" s="2">
        <v>3.5299999999999998E-2</v>
      </c>
      <c r="H11571" s="2">
        <v>3.5999999999999997E-2</v>
      </c>
      <c r="I11571" s="2">
        <v>4.65E-2</v>
      </c>
      <c r="J11571" s="2">
        <v>1.5299999999999999E-2</v>
      </c>
      <c r="K11571" s="2">
        <v>4.1999999999999997E-3</v>
      </c>
      <c r="L11571" s="2">
        <v>5.8999999999999999E-3</v>
      </c>
      <c r="M11571">
        <v>783</v>
      </c>
    </row>
    <row r="11572" spans="1:13" x14ac:dyDescent="0.35">
      <c r="A11572" t="s">
        <v>227</v>
      </c>
      <c r="B11572" t="s">
        <v>244</v>
      </c>
      <c r="C11572" s="2">
        <v>0.81389999999999996</v>
      </c>
      <c r="D11572" s="2">
        <v>7.6300000000000007E-2</v>
      </c>
      <c r="E11572" s="2">
        <v>5.7000000000000002E-2</v>
      </c>
      <c r="F11572" s="2">
        <v>4.2700000000000002E-2</v>
      </c>
      <c r="G11572" s="2">
        <v>3.39E-2</v>
      </c>
      <c r="H11572" s="2">
        <v>2.4899999999999999E-2</v>
      </c>
      <c r="I11572" s="2">
        <v>1.8800000000000001E-2</v>
      </c>
      <c r="J11572" s="2">
        <v>1.6299999999999999E-2</v>
      </c>
      <c r="K11572" s="2">
        <v>8.3000000000000001E-3</v>
      </c>
      <c r="L11572" s="2">
        <v>4.5999999999999999E-3</v>
      </c>
      <c r="M11572">
        <v>2030</v>
      </c>
    </row>
    <row r="11573" spans="1:13" x14ac:dyDescent="0.35">
      <c r="A11573" t="s">
        <v>228</v>
      </c>
      <c r="B11573" t="s">
        <v>228</v>
      </c>
      <c r="C11573" s="2">
        <v>0.80789999999999995</v>
      </c>
      <c r="D11573" s="2">
        <v>8.48E-2</v>
      </c>
      <c r="E11573" s="2">
        <v>4.8800000000000003E-2</v>
      </c>
      <c r="F11573" s="2">
        <v>4.3700000000000003E-2</v>
      </c>
      <c r="G11573" s="2">
        <v>3.4299999999999997E-2</v>
      </c>
      <c r="H11573" s="2">
        <v>2.8000000000000001E-2</v>
      </c>
      <c r="I11573" s="2">
        <v>2.6599999999999999E-2</v>
      </c>
      <c r="J11573" s="2">
        <v>1.6E-2</v>
      </c>
      <c r="K11573" s="2">
        <v>7.1999999999999998E-3</v>
      </c>
      <c r="L11573" s="2">
        <v>5.0000000000000001E-3</v>
      </c>
      <c r="M11573">
        <v>2813</v>
      </c>
    </row>
    <row r="11575" spans="1:13" x14ac:dyDescent="0.35">
      <c r="A11575" s="1" t="s">
        <v>2651</v>
      </c>
    </row>
    <row r="11576" spans="1:13" x14ac:dyDescent="0.35">
      <c r="A11576" t="s">
        <v>219</v>
      </c>
      <c r="B11576" t="s">
        <v>301</v>
      </c>
      <c r="C11576" t="s">
        <v>298</v>
      </c>
      <c r="D11576" t="s">
        <v>2637</v>
      </c>
      <c r="E11576" t="s">
        <v>277</v>
      </c>
      <c r="F11576" t="s">
        <v>2638</v>
      </c>
      <c r="G11576" t="s">
        <v>2639</v>
      </c>
      <c r="H11576" t="s">
        <v>2640</v>
      </c>
      <c r="I11576" t="s">
        <v>2641</v>
      </c>
      <c r="J11576" t="s">
        <v>2642</v>
      </c>
      <c r="K11576" t="s">
        <v>2643</v>
      </c>
      <c r="L11576" t="s">
        <v>282</v>
      </c>
      <c r="M11576" t="s">
        <v>226</v>
      </c>
    </row>
    <row r="11577" spans="1:13" x14ac:dyDescent="0.35">
      <c r="A11577" t="s">
        <v>227</v>
      </c>
      <c r="B11577" t="s">
        <v>259</v>
      </c>
      <c r="C11577" s="2">
        <v>0.748</v>
      </c>
      <c r="D11577" s="2">
        <v>0.13739999999999999</v>
      </c>
      <c r="E11577" s="2">
        <v>6.4899999999999999E-2</v>
      </c>
      <c r="F11577" s="2">
        <v>8.4000000000000005E-2</v>
      </c>
      <c r="G11577" s="2">
        <v>4.9500000000000002E-2</v>
      </c>
      <c r="H11577" s="2">
        <v>8.3400000000000002E-2</v>
      </c>
      <c r="I11577" s="2">
        <v>2.7199999999999998E-2</v>
      </c>
      <c r="J11577" s="2">
        <v>3.0999999999999999E-3</v>
      </c>
      <c r="M11577">
        <v>69</v>
      </c>
    </row>
    <row r="11578" spans="1:13" x14ac:dyDescent="0.35">
      <c r="A11578" t="s">
        <v>227</v>
      </c>
      <c r="B11578" t="s">
        <v>257</v>
      </c>
      <c r="C11578" s="2">
        <v>0.82699999999999996</v>
      </c>
      <c r="D11578" s="2">
        <v>7.2599999999999998E-2</v>
      </c>
      <c r="E11578" s="2">
        <v>3.9899999999999998E-2</v>
      </c>
      <c r="F11578" s="2">
        <v>4.8399999999999999E-2</v>
      </c>
      <c r="G11578" s="2">
        <v>2.3300000000000001E-2</v>
      </c>
      <c r="H11578" s="2">
        <v>2.9499999999999998E-2</v>
      </c>
      <c r="I11578" s="2">
        <v>3.27E-2</v>
      </c>
      <c r="J11578" s="2">
        <v>1.0800000000000001E-2</v>
      </c>
      <c r="K11578" s="2">
        <v>1.7100000000000001E-2</v>
      </c>
      <c r="L11578" s="2">
        <v>8.8000000000000005E-3</v>
      </c>
      <c r="M11578">
        <v>405</v>
      </c>
    </row>
    <row r="11579" spans="1:13" x14ac:dyDescent="0.35">
      <c r="A11579" t="s">
        <v>227</v>
      </c>
      <c r="B11579" t="s">
        <v>256</v>
      </c>
      <c r="C11579" s="2">
        <v>0.81859999999999999</v>
      </c>
      <c r="D11579" s="2">
        <v>7.2499999999999995E-2</v>
      </c>
      <c r="E11579" s="2">
        <v>5.4699999999999999E-2</v>
      </c>
      <c r="F11579" s="2">
        <v>3.27E-2</v>
      </c>
      <c r="G11579" s="2">
        <v>3.44E-2</v>
      </c>
      <c r="H11579" s="2">
        <v>2.2599999999999999E-2</v>
      </c>
      <c r="I11579" s="2">
        <v>2.18E-2</v>
      </c>
      <c r="J11579" s="2">
        <v>1.7899999999999999E-2</v>
      </c>
      <c r="K11579" s="2">
        <v>4.3E-3</v>
      </c>
      <c r="L11579" s="2">
        <v>2.8E-3</v>
      </c>
      <c r="M11579">
        <v>1803</v>
      </c>
    </row>
    <row r="11580" spans="1:13" x14ac:dyDescent="0.35">
      <c r="A11580" s="3" t="s">
        <v>227</v>
      </c>
      <c r="B11580" s="3" t="s">
        <v>232</v>
      </c>
      <c r="C11580" s="4">
        <v>0.80449999999999999</v>
      </c>
      <c r="D11580" s="4">
        <v>1.3299999999999999E-2</v>
      </c>
      <c r="E11580" s="4">
        <v>4.3200000000000002E-2</v>
      </c>
      <c r="F11580" s="4">
        <v>1.3299999999999999E-2</v>
      </c>
      <c r="G11580" s="4">
        <v>0.12839999999999999</v>
      </c>
      <c r="H11580" s="4">
        <v>1.3299999999999999E-2</v>
      </c>
      <c r="I11580" s="4">
        <v>1.3299999999999999E-2</v>
      </c>
      <c r="J11580" s="4">
        <v>1.3299999999999999E-2</v>
      </c>
      <c r="K11580" s="4">
        <v>1.3299999999999999E-2</v>
      </c>
      <c r="L11580" s="4">
        <v>2.3900000000000001E-2</v>
      </c>
      <c r="M11580" s="5" t="s">
        <v>307</v>
      </c>
    </row>
    <row r="11581" spans="1:13" x14ac:dyDescent="0.35">
      <c r="A11581" t="s">
        <v>227</v>
      </c>
      <c r="B11581" t="s">
        <v>258</v>
      </c>
      <c r="C11581" s="2">
        <v>0.74429999999999996</v>
      </c>
      <c r="D11581" s="2">
        <v>0.14960000000000001</v>
      </c>
      <c r="E11581" s="2">
        <v>3.1E-2</v>
      </c>
      <c r="F11581" s="2">
        <v>8.3500000000000005E-2</v>
      </c>
      <c r="G11581" s="2">
        <v>4.3099999999999999E-2</v>
      </c>
      <c r="H11581" s="2">
        <v>4.4699999999999997E-2</v>
      </c>
      <c r="I11581" s="2">
        <v>4.1599999999999998E-2</v>
      </c>
      <c r="J11581" s="2">
        <v>1.49E-2</v>
      </c>
      <c r="K11581" s="2">
        <v>9.2999999999999992E-3</v>
      </c>
      <c r="L11581" s="2">
        <v>1.0699999999999999E-2</v>
      </c>
      <c r="M11581">
        <v>525</v>
      </c>
    </row>
    <row r="11582" spans="1:13" x14ac:dyDescent="0.35">
      <c r="A11582" t="s">
        <v>228</v>
      </c>
      <c r="B11582" t="s">
        <v>228</v>
      </c>
      <c r="C11582" s="2">
        <v>0.80789999999999995</v>
      </c>
      <c r="D11582" s="2">
        <v>8.48E-2</v>
      </c>
      <c r="E11582" s="2">
        <v>4.8800000000000003E-2</v>
      </c>
      <c r="F11582" s="2">
        <v>4.3700000000000003E-2</v>
      </c>
      <c r="G11582" s="2">
        <v>3.4299999999999997E-2</v>
      </c>
      <c r="H11582" s="2">
        <v>2.8000000000000001E-2</v>
      </c>
      <c r="I11582" s="2">
        <v>2.6599999999999999E-2</v>
      </c>
      <c r="J11582" s="2">
        <v>1.6E-2</v>
      </c>
      <c r="K11582" s="2">
        <v>7.1999999999999998E-3</v>
      </c>
      <c r="L11582" s="2">
        <v>5.0000000000000001E-3</v>
      </c>
      <c r="M11582">
        <v>2813</v>
      </c>
    </row>
    <row r="11584" spans="1:13" x14ac:dyDescent="0.35">
      <c r="A11584" s="1" t="s">
        <v>2652</v>
      </c>
    </row>
    <row r="11585" spans="1:13" x14ac:dyDescent="0.35">
      <c r="A11585" t="s">
        <v>219</v>
      </c>
      <c r="B11585" t="s">
        <v>301</v>
      </c>
      <c r="C11585" t="s">
        <v>298</v>
      </c>
      <c r="D11585" t="s">
        <v>2637</v>
      </c>
      <c r="E11585" t="s">
        <v>277</v>
      </c>
      <c r="F11585" t="s">
        <v>2638</v>
      </c>
      <c r="G11585" t="s">
        <v>2639</v>
      </c>
      <c r="H11585" t="s">
        <v>2640</v>
      </c>
      <c r="I11585" t="s">
        <v>2641</v>
      </c>
      <c r="J11585" t="s">
        <v>2642</v>
      </c>
      <c r="K11585" t="s">
        <v>2643</v>
      </c>
      <c r="L11585" t="s">
        <v>282</v>
      </c>
      <c r="M11585" t="s">
        <v>226</v>
      </c>
    </row>
    <row r="11586" spans="1:13" x14ac:dyDescent="0.35">
      <c r="A11586" t="s">
        <v>227</v>
      </c>
      <c r="B11586" t="s">
        <v>343</v>
      </c>
      <c r="C11586" s="2">
        <v>0.82699999999999996</v>
      </c>
      <c r="D11586" s="2">
        <v>7.2599999999999998E-2</v>
      </c>
      <c r="E11586" s="2">
        <v>3.9899999999999998E-2</v>
      </c>
      <c r="F11586" s="2">
        <v>4.8399999999999999E-2</v>
      </c>
      <c r="G11586" s="2">
        <v>2.3300000000000001E-2</v>
      </c>
      <c r="H11586" s="2">
        <v>2.9499999999999998E-2</v>
      </c>
      <c r="I11586" s="2">
        <v>3.27E-2</v>
      </c>
      <c r="J11586" s="2">
        <v>1.0800000000000001E-2</v>
      </c>
      <c r="K11586" s="2">
        <v>1.7100000000000001E-2</v>
      </c>
      <c r="L11586" s="2">
        <v>8.8000000000000005E-3</v>
      </c>
      <c r="M11586">
        <v>405</v>
      </c>
    </row>
    <row r="11587" spans="1:13" x14ac:dyDescent="0.35">
      <c r="A11587" t="s">
        <v>227</v>
      </c>
      <c r="B11587" t="s">
        <v>344</v>
      </c>
      <c r="C11587" s="2">
        <v>0.80400000000000005</v>
      </c>
      <c r="D11587" s="2">
        <v>8.7300000000000003E-2</v>
      </c>
      <c r="E11587" s="2">
        <v>5.0700000000000002E-2</v>
      </c>
      <c r="F11587" s="2">
        <v>4.2700000000000002E-2</v>
      </c>
      <c r="G11587" s="2">
        <v>3.6499999999999998E-2</v>
      </c>
      <c r="H11587" s="2">
        <v>2.7699999999999999E-2</v>
      </c>
      <c r="I11587" s="2">
        <v>2.5399999999999999E-2</v>
      </c>
      <c r="J11587" s="2">
        <v>1.7100000000000001E-2</v>
      </c>
      <c r="K11587" s="2">
        <v>5.1000000000000004E-3</v>
      </c>
      <c r="L11587" s="2">
        <v>4.1999999999999997E-3</v>
      </c>
      <c r="M11587">
        <v>2408</v>
      </c>
    </row>
    <row r="11588" spans="1:13" x14ac:dyDescent="0.35">
      <c r="A11588" t="s">
        <v>228</v>
      </c>
      <c r="B11588" t="s">
        <v>228</v>
      </c>
      <c r="C11588" s="2">
        <v>0.80789999999999995</v>
      </c>
      <c r="D11588" s="2">
        <v>8.48E-2</v>
      </c>
      <c r="E11588" s="2">
        <v>4.8800000000000003E-2</v>
      </c>
      <c r="F11588" s="2">
        <v>4.3700000000000003E-2</v>
      </c>
      <c r="G11588" s="2">
        <v>3.4299999999999997E-2</v>
      </c>
      <c r="H11588" s="2">
        <v>2.8000000000000001E-2</v>
      </c>
      <c r="I11588" s="2">
        <v>2.6599999999999999E-2</v>
      </c>
      <c r="J11588" s="2">
        <v>1.6E-2</v>
      </c>
      <c r="K11588" s="2">
        <v>7.1999999999999998E-3</v>
      </c>
      <c r="L11588" s="2">
        <v>5.0000000000000001E-3</v>
      </c>
      <c r="M11588">
        <v>2813</v>
      </c>
    </row>
    <row r="11590" spans="1:13" x14ac:dyDescent="0.35">
      <c r="A11590" s="1" t="s">
        <v>2653</v>
      </c>
    </row>
    <row r="11591" spans="1:13" x14ac:dyDescent="0.35">
      <c r="A11591" t="s">
        <v>219</v>
      </c>
      <c r="B11591" t="s">
        <v>301</v>
      </c>
      <c r="C11591" t="s">
        <v>298</v>
      </c>
      <c r="D11591" t="s">
        <v>2637</v>
      </c>
      <c r="E11591" t="s">
        <v>277</v>
      </c>
      <c r="F11591" t="s">
        <v>2638</v>
      </c>
      <c r="G11591" t="s">
        <v>2639</v>
      </c>
      <c r="H11591" t="s">
        <v>2640</v>
      </c>
      <c r="I11591" t="s">
        <v>2641</v>
      </c>
      <c r="J11591" t="s">
        <v>2642</v>
      </c>
      <c r="K11591" t="s">
        <v>2643</v>
      </c>
      <c r="L11591" t="s">
        <v>282</v>
      </c>
      <c r="M11591" t="s">
        <v>226</v>
      </c>
    </row>
    <row r="11592" spans="1:13" x14ac:dyDescent="0.35">
      <c r="A11592" t="s">
        <v>227</v>
      </c>
      <c r="B11592" t="s">
        <v>346</v>
      </c>
      <c r="C11592" s="2">
        <v>0.83299999999999996</v>
      </c>
      <c r="D11592" s="2">
        <v>7.2900000000000006E-2</v>
      </c>
      <c r="E11592" s="2">
        <v>4.8899999999999999E-2</v>
      </c>
      <c r="F11592" s="2">
        <v>2.7900000000000001E-2</v>
      </c>
      <c r="G11592" s="2">
        <v>3.0200000000000001E-2</v>
      </c>
      <c r="H11592" s="2">
        <v>1.83E-2</v>
      </c>
      <c r="I11592" s="2">
        <v>2.29E-2</v>
      </c>
      <c r="J11592" s="2">
        <v>1.0800000000000001E-2</v>
      </c>
      <c r="K11592" s="2">
        <v>4.7999999999999996E-3</v>
      </c>
      <c r="L11592" s="2">
        <v>4.1000000000000003E-3</v>
      </c>
      <c r="M11592">
        <v>1463</v>
      </c>
    </row>
    <row r="11593" spans="1:13" x14ac:dyDescent="0.35">
      <c r="A11593" t="s">
        <v>227</v>
      </c>
      <c r="B11593" t="s">
        <v>347</v>
      </c>
      <c r="C11593" s="2">
        <v>0.55649999999999999</v>
      </c>
      <c r="D11593" s="2">
        <v>0.1958</v>
      </c>
      <c r="E11593" s="2">
        <v>7.8600000000000003E-2</v>
      </c>
      <c r="F11593" s="2">
        <v>0.12989999999999999</v>
      </c>
      <c r="G11593" s="2">
        <v>7.2099999999999997E-2</v>
      </c>
      <c r="H11593" s="2">
        <v>0.14399999999999999</v>
      </c>
      <c r="I11593" s="2">
        <v>8.6099999999999996E-2</v>
      </c>
      <c r="J11593" s="2">
        <v>0.1018</v>
      </c>
      <c r="K11593" s="2">
        <v>3.8699999999999998E-2</v>
      </c>
      <c r="L11593" s="2">
        <v>1.8700000000000001E-2</v>
      </c>
      <c r="M11593">
        <v>585</v>
      </c>
    </row>
    <row r="11594" spans="1:13" x14ac:dyDescent="0.35">
      <c r="A11594" t="s">
        <v>227</v>
      </c>
      <c r="B11594" t="s">
        <v>348</v>
      </c>
      <c r="C11594" s="2">
        <v>0.67520000000000002</v>
      </c>
      <c r="D11594" s="2">
        <v>0.1507</v>
      </c>
      <c r="E11594" s="2">
        <v>3.6900000000000002E-2</v>
      </c>
      <c r="F11594" s="2">
        <v>0.1542</v>
      </c>
      <c r="G11594" s="2">
        <v>5.67E-2</v>
      </c>
      <c r="H11594" s="2">
        <v>7.2599999999999998E-2</v>
      </c>
      <c r="I11594" s="2">
        <v>3.8300000000000001E-2</v>
      </c>
      <c r="J11594" s="2">
        <v>3.1199999999999999E-2</v>
      </c>
      <c r="K11594" s="2">
        <v>1.67E-2</v>
      </c>
      <c r="L11594" s="2">
        <v>7.4000000000000003E-3</v>
      </c>
      <c r="M11594">
        <v>765</v>
      </c>
    </row>
    <row r="11595" spans="1:13" x14ac:dyDescent="0.35">
      <c r="A11595" t="s">
        <v>228</v>
      </c>
      <c r="B11595" t="s">
        <v>228</v>
      </c>
      <c r="C11595" s="2">
        <v>0.80789999999999995</v>
      </c>
      <c r="D11595" s="2">
        <v>8.48E-2</v>
      </c>
      <c r="E11595" s="2">
        <v>4.8800000000000003E-2</v>
      </c>
      <c r="F11595" s="2">
        <v>4.3700000000000003E-2</v>
      </c>
      <c r="G11595" s="2">
        <v>3.4299999999999997E-2</v>
      </c>
      <c r="H11595" s="2">
        <v>2.8000000000000001E-2</v>
      </c>
      <c r="I11595" s="2">
        <v>2.6599999999999999E-2</v>
      </c>
      <c r="J11595" s="2">
        <v>1.6E-2</v>
      </c>
      <c r="K11595" s="2">
        <v>7.1999999999999998E-3</v>
      </c>
      <c r="L11595" s="2">
        <v>5.0000000000000001E-3</v>
      </c>
      <c r="M11595">
        <v>2813</v>
      </c>
    </row>
    <row r="11597" spans="1:13" x14ac:dyDescent="0.35">
      <c r="A11597" s="1" t="s">
        <v>2654</v>
      </c>
    </row>
    <row r="11598" spans="1:13" x14ac:dyDescent="0.35">
      <c r="A11598" t="s">
        <v>219</v>
      </c>
      <c r="B11598" t="s">
        <v>301</v>
      </c>
      <c r="C11598" t="s">
        <v>298</v>
      </c>
      <c r="D11598" t="s">
        <v>2637</v>
      </c>
      <c r="E11598" t="s">
        <v>277</v>
      </c>
      <c r="F11598" t="s">
        <v>2638</v>
      </c>
      <c r="G11598" t="s">
        <v>2639</v>
      </c>
      <c r="H11598" t="s">
        <v>2640</v>
      </c>
      <c r="I11598" t="s">
        <v>2641</v>
      </c>
      <c r="J11598" t="s">
        <v>2642</v>
      </c>
      <c r="K11598" t="s">
        <v>2643</v>
      </c>
      <c r="L11598" t="s">
        <v>282</v>
      </c>
      <c r="M11598" t="s">
        <v>226</v>
      </c>
    </row>
    <row r="11599" spans="1:13" x14ac:dyDescent="0.35">
      <c r="A11599" t="s">
        <v>227</v>
      </c>
      <c r="B11599" t="s">
        <v>251</v>
      </c>
      <c r="C11599" s="2">
        <v>0.81389999999999996</v>
      </c>
      <c r="D11599" s="2">
        <v>7.6300000000000007E-2</v>
      </c>
      <c r="E11599" s="2">
        <v>5.7000000000000002E-2</v>
      </c>
      <c r="F11599" s="2">
        <v>4.2700000000000002E-2</v>
      </c>
      <c r="G11599" s="2">
        <v>3.39E-2</v>
      </c>
      <c r="H11599" s="2">
        <v>2.4899999999999999E-2</v>
      </c>
      <c r="I11599" s="2">
        <v>1.8800000000000001E-2</v>
      </c>
      <c r="J11599" s="2">
        <v>1.6299999999999999E-2</v>
      </c>
      <c r="K11599" s="2">
        <v>8.3000000000000001E-3</v>
      </c>
      <c r="L11599" s="2">
        <v>4.5999999999999999E-3</v>
      </c>
      <c r="M11599">
        <v>2030</v>
      </c>
    </row>
    <row r="11600" spans="1:13" x14ac:dyDescent="0.35">
      <c r="A11600" t="s">
        <v>227</v>
      </c>
      <c r="B11600" t="s">
        <v>252</v>
      </c>
      <c r="C11600" s="2">
        <v>0.78569999999999995</v>
      </c>
      <c r="D11600" s="2">
        <v>0.1095</v>
      </c>
      <c r="E11600" s="2">
        <v>3.2899999999999999E-2</v>
      </c>
      <c r="F11600" s="2">
        <v>4.2500000000000003E-2</v>
      </c>
      <c r="G11600" s="2">
        <v>3.85E-2</v>
      </c>
      <c r="H11600" s="2">
        <v>3.8300000000000001E-2</v>
      </c>
      <c r="I11600" s="2">
        <v>4.3799999999999999E-2</v>
      </c>
      <c r="J11600" s="2">
        <v>1.7899999999999999E-2</v>
      </c>
      <c r="K11600" s="2">
        <v>1.6000000000000001E-3</v>
      </c>
      <c r="L11600" s="2">
        <v>6.0000000000000001E-3</v>
      </c>
      <c r="M11600">
        <v>621</v>
      </c>
    </row>
    <row r="11601" spans="1:13" x14ac:dyDescent="0.35">
      <c r="A11601" t="s">
        <v>227</v>
      </c>
      <c r="B11601" t="s">
        <v>253</v>
      </c>
      <c r="C11601" s="2">
        <v>0.8216</v>
      </c>
      <c r="D11601" s="2">
        <v>9.6299999999999997E-2</v>
      </c>
      <c r="E11601" s="2">
        <v>8.6999999999999994E-3</v>
      </c>
      <c r="F11601" s="2">
        <v>5.9700000000000003E-2</v>
      </c>
      <c r="G11601" s="2">
        <v>2.23E-2</v>
      </c>
      <c r="H11601" s="2">
        <v>2.7300000000000001E-2</v>
      </c>
      <c r="I11601" s="2">
        <v>5.9900000000000002E-2</v>
      </c>
      <c r="J11601" s="2">
        <v>4.4999999999999997E-3</v>
      </c>
      <c r="K11601" s="2">
        <v>1.5599999999999999E-2</v>
      </c>
      <c r="L11601" s="2">
        <v>3.7000000000000002E-3</v>
      </c>
      <c r="M11601">
        <v>153</v>
      </c>
    </row>
    <row r="11602" spans="1:13" x14ac:dyDescent="0.35">
      <c r="A11602" s="3" t="s">
        <v>227</v>
      </c>
      <c r="B11602" s="3" t="s">
        <v>254</v>
      </c>
      <c r="C11602" s="4">
        <v>0.81830000000000003</v>
      </c>
      <c r="D11602" s="5"/>
      <c r="E11602" s="5"/>
      <c r="F11602" s="4">
        <v>0.1237</v>
      </c>
      <c r="G11602" s="5"/>
      <c r="H11602" s="5"/>
      <c r="I11602" s="5"/>
      <c r="J11602" s="5"/>
      <c r="K11602" s="5"/>
      <c r="L11602" s="4">
        <v>5.8000000000000003E-2</v>
      </c>
      <c r="M11602" s="5" t="s">
        <v>515</v>
      </c>
    </row>
    <row r="11603" spans="1:13" x14ac:dyDescent="0.35">
      <c r="A11603" t="s">
        <v>228</v>
      </c>
      <c r="B11603" t="s">
        <v>228</v>
      </c>
      <c r="C11603" s="2">
        <v>0.80789999999999995</v>
      </c>
      <c r="D11603" s="2">
        <v>8.48E-2</v>
      </c>
      <c r="E11603" s="2">
        <v>4.8800000000000003E-2</v>
      </c>
      <c r="F11603" s="2">
        <v>4.3700000000000003E-2</v>
      </c>
      <c r="G11603" s="2">
        <v>3.4299999999999997E-2</v>
      </c>
      <c r="H11603" s="2">
        <v>2.8000000000000001E-2</v>
      </c>
      <c r="I11603" s="2">
        <v>2.6599999999999999E-2</v>
      </c>
      <c r="J11603" s="2">
        <v>1.6E-2</v>
      </c>
      <c r="K11603" s="2">
        <v>7.1999999999999998E-3</v>
      </c>
      <c r="L11603" s="2">
        <v>5.0000000000000001E-3</v>
      </c>
      <c r="M11603">
        <v>2813</v>
      </c>
    </row>
    <row r="11605" spans="1:13" x14ac:dyDescent="0.35">
      <c r="A11605" s="1" t="s">
        <v>2655</v>
      </c>
    </row>
    <row r="11606" spans="1:13" x14ac:dyDescent="0.35">
      <c r="A11606" t="s">
        <v>219</v>
      </c>
      <c r="B11606" t="s">
        <v>301</v>
      </c>
      <c r="C11606" t="s">
        <v>298</v>
      </c>
      <c r="D11606" t="s">
        <v>2637</v>
      </c>
      <c r="E11606" t="s">
        <v>277</v>
      </c>
      <c r="F11606" t="s">
        <v>2638</v>
      </c>
      <c r="G11606" t="s">
        <v>2639</v>
      </c>
      <c r="H11606" t="s">
        <v>2640</v>
      </c>
      <c r="I11606" t="s">
        <v>2641</v>
      </c>
      <c r="J11606" t="s">
        <v>2642</v>
      </c>
      <c r="K11606" t="s">
        <v>2643</v>
      </c>
      <c r="L11606" t="s">
        <v>282</v>
      </c>
      <c r="M11606" t="s">
        <v>226</v>
      </c>
    </row>
    <row r="11607" spans="1:13" x14ac:dyDescent="0.35">
      <c r="A11607" t="s">
        <v>227</v>
      </c>
      <c r="B11607" t="s">
        <v>1335</v>
      </c>
      <c r="C11607" s="2">
        <v>0.8135</v>
      </c>
      <c r="D11607" s="2">
        <v>8.9599999999999999E-2</v>
      </c>
      <c r="E11607" s="2">
        <v>5.1900000000000002E-2</v>
      </c>
      <c r="F11607" s="2">
        <v>3.6400000000000002E-2</v>
      </c>
      <c r="G11607" s="2">
        <v>3.3399999999999999E-2</v>
      </c>
      <c r="H11607" s="2">
        <v>3.2899999999999999E-2</v>
      </c>
      <c r="I11607" s="2">
        <v>1.7899999999999999E-2</v>
      </c>
      <c r="J11607" s="2">
        <v>1.1299999999999999E-2</v>
      </c>
      <c r="K11607" s="2">
        <v>2.5000000000000001E-3</v>
      </c>
      <c r="L11607" s="2">
        <v>5.7999999999999996E-3</v>
      </c>
      <c r="M11607">
        <v>848</v>
      </c>
    </row>
    <row r="11608" spans="1:13" x14ac:dyDescent="0.35">
      <c r="A11608" s="3" t="s">
        <v>227</v>
      </c>
      <c r="B11608" s="3" t="s">
        <v>1336</v>
      </c>
      <c r="C11608" s="4">
        <v>1</v>
      </c>
      <c r="D11608" s="5"/>
      <c r="E11608" s="5"/>
      <c r="F11608" s="5"/>
      <c r="G11608" s="5"/>
      <c r="H11608" s="5"/>
      <c r="I11608" s="5"/>
      <c r="J11608" s="5"/>
      <c r="K11608" s="5"/>
      <c r="L11608" s="5"/>
      <c r="M11608" s="5" t="s">
        <v>434</v>
      </c>
    </row>
    <row r="11609" spans="1:13" x14ac:dyDescent="0.35">
      <c r="A11609" t="s">
        <v>227</v>
      </c>
      <c r="B11609" t="s">
        <v>1337</v>
      </c>
      <c r="C11609" s="2">
        <v>0.80459999999999998</v>
      </c>
      <c r="D11609" s="2">
        <v>8.2699999999999996E-2</v>
      </c>
      <c r="E11609" s="2">
        <v>4.7399999999999998E-2</v>
      </c>
      <c r="F11609" s="2">
        <v>4.7399999999999998E-2</v>
      </c>
      <c r="G11609" s="2">
        <v>3.4799999999999998E-2</v>
      </c>
      <c r="H11609" s="2">
        <v>2.5600000000000001E-2</v>
      </c>
      <c r="I11609" s="2">
        <v>3.1099999999999999E-2</v>
      </c>
      <c r="J11609" s="2">
        <v>1.84E-2</v>
      </c>
      <c r="K11609" s="2">
        <v>9.4999999999999998E-3</v>
      </c>
      <c r="L11609" s="2">
        <v>4.5999999999999999E-3</v>
      </c>
      <c r="M11609">
        <v>1963</v>
      </c>
    </row>
    <row r="11610" spans="1:13" x14ac:dyDescent="0.35">
      <c r="A11610" t="s">
        <v>228</v>
      </c>
      <c r="B11610" t="s">
        <v>228</v>
      </c>
      <c r="C11610" s="2">
        <v>0.80789999999999995</v>
      </c>
      <c r="D11610" s="2">
        <v>8.48E-2</v>
      </c>
      <c r="E11610" s="2">
        <v>4.8800000000000003E-2</v>
      </c>
      <c r="F11610" s="2">
        <v>4.3700000000000003E-2</v>
      </c>
      <c r="G11610" s="2">
        <v>3.4299999999999997E-2</v>
      </c>
      <c r="H11610" s="2">
        <v>2.8000000000000001E-2</v>
      </c>
      <c r="I11610" s="2">
        <v>2.6599999999999999E-2</v>
      </c>
      <c r="J11610" s="2">
        <v>1.6E-2</v>
      </c>
      <c r="K11610" s="2">
        <v>7.1999999999999998E-3</v>
      </c>
      <c r="L11610" s="2">
        <v>5.0000000000000001E-3</v>
      </c>
      <c r="M11610">
        <v>2813</v>
      </c>
    </row>
    <row r="11612" spans="1:13" x14ac:dyDescent="0.35">
      <c r="A11612" s="1" t="s">
        <v>2656</v>
      </c>
    </row>
    <row r="11613" spans="1:13" x14ac:dyDescent="0.35">
      <c r="A11613" t="s">
        <v>219</v>
      </c>
      <c r="B11613" t="s">
        <v>301</v>
      </c>
      <c r="C11613" t="s">
        <v>298</v>
      </c>
      <c r="D11613" t="s">
        <v>2637</v>
      </c>
      <c r="E11613" t="s">
        <v>277</v>
      </c>
      <c r="F11613" t="s">
        <v>2638</v>
      </c>
      <c r="G11613" t="s">
        <v>2639</v>
      </c>
      <c r="H11613" t="s">
        <v>2640</v>
      </c>
      <c r="I11613" t="s">
        <v>2641</v>
      </c>
      <c r="J11613" t="s">
        <v>2642</v>
      </c>
      <c r="K11613" t="s">
        <v>2643</v>
      </c>
      <c r="L11613" t="s">
        <v>282</v>
      </c>
      <c r="M11613" t="s">
        <v>226</v>
      </c>
    </row>
    <row r="11614" spans="1:13" x14ac:dyDescent="0.35">
      <c r="A11614" t="s">
        <v>227</v>
      </c>
      <c r="B11614" t="s">
        <v>1339</v>
      </c>
      <c r="C11614" s="2">
        <v>0.85450000000000004</v>
      </c>
      <c r="D11614" s="2">
        <v>0.1066</v>
      </c>
      <c r="E11614" s="2">
        <v>1.1999999999999999E-3</v>
      </c>
      <c r="F11614" s="2">
        <v>0.01</v>
      </c>
      <c r="G11614" s="2">
        <v>4.7699999999999999E-2</v>
      </c>
      <c r="H11614" s="2">
        <v>0.01</v>
      </c>
      <c r="I11614" s="2">
        <v>0.01</v>
      </c>
      <c r="M11614">
        <v>51</v>
      </c>
    </row>
    <row r="11615" spans="1:13" x14ac:dyDescent="0.35">
      <c r="A11615" t="s">
        <v>227</v>
      </c>
      <c r="B11615" t="s">
        <v>1340</v>
      </c>
      <c r="C11615" s="2">
        <v>0.79179999999999995</v>
      </c>
      <c r="D11615" s="2">
        <v>0.1157</v>
      </c>
      <c r="E11615" s="2">
        <v>1.34E-2</v>
      </c>
      <c r="F11615" s="2">
        <v>5.9400000000000001E-2</v>
      </c>
      <c r="G11615" s="2">
        <v>4.6300000000000001E-2</v>
      </c>
      <c r="H11615" s="2">
        <v>3.49E-2</v>
      </c>
      <c r="I11615" s="2">
        <v>3.1600000000000003E-2</v>
      </c>
      <c r="J11615" s="2">
        <v>1.41E-2</v>
      </c>
      <c r="K11615" s="2">
        <v>6.1999999999999998E-3</v>
      </c>
      <c r="L11615" s="2">
        <v>3.8999999999999998E-3</v>
      </c>
      <c r="M11615">
        <v>729</v>
      </c>
    </row>
    <row r="11616" spans="1:13" x14ac:dyDescent="0.35">
      <c r="A11616" t="s">
        <v>227</v>
      </c>
      <c r="B11616" t="s">
        <v>1341</v>
      </c>
      <c r="C11616" s="2">
        <v>0.80359999999999998</v>
      </c>
      <c r="D11616" s="2">
        <v>9.0700000000000003E-2</v>
      </c>
      <c r="E11616" s="2">
        <v>5.11E-2</v>
      </c>
      <c r="F11616" s="2">
        <v>4.3900000000000002E-2</v>
      </c>
      <c r="G11616" s="2">
        <v>3.0200000000000001E-2</v>
      </c>
      <c r="H11616" s="2">
        <v>2.9100000000000001E-2</v>
      </c>
      <c r="I11616" s="2">
        <v>2.9899999999999999E-2</v>
      </c>
      <c r="J11616" s="2">
        <v>1.35E-2</v>
      </c>
      <c r="K11616" s="2">
        <v>5.8999999999999999E-3</v>
      </c>
      <c r="L11616" s="2">
        <v>5.8999999999999999E-3</v>
      </c>
      <c r="M11616">
        <v>1344</v>
      </c>
    </row>
    <row r="11617" spans="1:14" x14ac:dyDescent="0.35">
      <c r="A11617" t="s">
        <v>227</v>
      </c>
      <c r="B11617" t="s">
        <v>1342</v>
      </c>
      <c r="C11617" s="2">
        <v>0.82869999999999999</v>
      </c>
      <c r="D11617" s="2">
        <v>3.8699999999999998E-2</v>
      </c>
      <c r="E11617" s="2">
        <v>8.4699999999999998E-2</v>
      </c>
      <c r="F11617" s="2">
        <v>3.0499999999999999E-2</v>
      </c>
      <c r="G11617" s="2">
        <v>2.9600000000000001E-2</v>
      </c>
      <c r="H11617" s="2">
        <v>2.0400000000000001E-2</v>
      </c>
      <c r="I11617" s="2">
        <v>1.61E-2</v>
      </c>
      <c r="J11617" s="2">
        <v>2.4899999999999999E-2</v>
      </c>
      <c r="K11617" s="2">
        <v>1.15E-2</v>
      </c>
      <c r="L11617" s="2">
        <v>4.4999999999999997E-3</v>
      </c>
      <c r="M11617">
        <v>689</v>
      </c>
    </row>
    <row r="11618" spans="1:14" x14ac:dyDescent="0.35">
      <c r="A11618" t="s">
        <v>228</v>
      </c>
      <c r="B11618" t="s">
        <v>228</v>
      </c>
      <c r="C11618" s="2">
        <v>0.80789999999999995</v>
      </c>
      <c r="D11618" s="2">
        <v>8.48E-2</v>
      </c>
      <c r="E11618" s="2">
        <v>4.8800000000000003E-2</v>
      </c>
      <c r="F11618" s="2">
        <v>4.3700000000000003E-2</v>
      </c>
      <c r="G11618" s="2">
        <v>3.4299999999999997E-2</v>
      </c>
      <c r="H11618" s="2">
        <v>2.8000000000000001E-2</v>
      </c>
      <c r="I11618" s="2">
        <v>2.6599999999999999E-2</v>
      </c>
      <c r="J11618" s="2">
        <v>1.6E-2</v>
      </c>
      <c r="K11618" s="2">
        <v>7.1999999999999998E-3</v>
      </c>
      <c r="L11618" s="2">
        <v>5.0000000000000001E-3</v>
      </c>
      <c r="M11618">
        <v>2813</v>
      </c>
    </row>
    <row r="11620" spans="1:14" x14ac:dyDescent="0.35">
      <c r="A11620" s="1" t="s">
        <v>2657</v>
      </c>
    </row>
    <row r="11621" spans="1:14" x14ac:dyDescent="0.35">
      <c r="A11621" t="s">
        <v>219</v>
      </c>
      <c r="B11621" t="s">
        <v>301</v>
      </c>
      <c r="C11621" t="s">
        <v>325</v>
      </c>
      <c r="D11621" t="s">
        <v>298</v>
      </c>
      <c r="E11621" t="s">
        <v>2637</v>
      </c>
      <c r="F11621" t="s">
        <v>277</v>
      </c>
      <c r="G11621" t="s">
        <v>2638</v>
      </c>
      <c r="H11621" t="s">
        <v>2639</v>
      </c>
      <c r="I11621" t="s">
        <v>2640</v>
      </c>
      <c r="J11621" t="s">
        <v>2641</v>
      </c>
      <c r="K11621" t="s">
        <v>2642</v>
      </c>
      <c r="L11621" t="s">
        <v>2643</v>
      </c>
      <c r="M11621" t="s">
        <v>282</v>
      </c>
      <c r="N11621" t="s">
        <v>226</v>
      </c>
    </row>
    <row r="11622" spans="1:14" x14ac:dyDescent="0.35">
      <c r="A11622" s="3" t="s">
        <v>227</v>
      </c>
      <c r="B11622" s="3" t="s">
        <v>1335</v>
      </c>
      <c r="C11622" s="3" t="s">
        <v>1339</v>
      </c>
      <c r="D11622" s="4">
        <v>0.86650000000000005</v>
      </c>
      <c r="E11622" s="4">
        <v>2.7300000000000001E-2</v>
      </c>
      <c r="F11622" s="4">
        <v>3.3E-3</v>
      </c>
      <c r="G11622" s="4">
        <v>2.7300000000000001E-2</v>
      </c>
      <c r="H11622" s="4">
        <v>0.13020000000000001</v>
      </c>
      <c r="I11622" s="4">
        <v>2.7300000000000001E-2</v>
      </c>
      <c r="J11622" s="4">
        <v>2.7300000000000001E-2</v>
      </c>
      <c r="K11622" s="5"/>
      <c r="L11622" s="5"/>
      <c r="M11622" s="5"/>
      <c r="N11622" s="5" t="s">
        <v>427</v>
      </c>
    </row>
    <row r="11623" spans="1:14" x14ac:dyDescent="0.35">
      <c r="A11623" t="s">
        <v>227</v>
      </c>
      <c r="B11623" t="s">
        <v>1335</v>
      </c>
      <c r="C11623" t="s">
        <v>1340</v>
      </c>
      <c r="D11623" s="2">
        <v>0.79300000000000004</v>
      </c>
      <c r="E11623" s="2">
        <v>0.11890000000000001</v>
      </c>
      <c r="F11623" s="2">
        <v>1.3599999999999999E-2</v>
      </c>
      <c r="G11623" s="2">
        <v>5.5199999999999999E-2</v>
      </c>
      <c r="H11623" s="2">
        <v>7.9100000000000004E-2</v>
      </c>
      <c r="I11623" s="2">
        <v>4.6800000000000001E-2</v>
      </c>
      <c r="J11623" s="2">
        <v>2.4299999999999999E-2</v>
      </c>
      <c r="K11623" s="2">
        <v>8.6999999999999994E-3</v>
      </c>
      <c r="L11623" s="2">
        <v>5.7000000000000002E-3</v>
      </c>
      <c r="M11623" s="2">
        <v>1.1999999999999999E-3</v>
      </c>
      <c r="N11623">
        <v>252</v>
      </c>
    </row>
    <row r="11624" spans="1:14" x14ac:dyDescent="0.35">
      <c r="A11624" t="s">
        <v>227</v>
      </c>
      <c r="B11624" t="s">
        <v>1335</v>
      </c>
      <c r="C11624" t="s">
        <v>1341</v>
      </c>
      <c r="D11624" s="2">
        <v>0.81140000000000001</v>
      </c>
      <c r="E11624" s="2">
        <v>9.8400000000000001E-2</v>
      </c>
      <c r="F11624" s="2">
        <v>5.6899999999999999E-2</v>
      </c>
      <c r="G11624" s="2">
        <v>3.5900000000000001E-2</v>
      </c>
      <c r="H11624" s="2">
        <v>1.6899999999999998E-2</v>
      </c>
      <c r="I11624" s="2">
        <v>3.6200000000000003E-2</v>
      </c>
      <c r="J11624" s="2">
        <v>1.9800000000000002E-2</v>
      </c>
      <c r="K11624" s="2">
        <v>1.37E-2</v>
      </c>
      <c r="L11624" s="2">
        <v>1.8E-3</v>
      </c>
      <c r="M11624" s="2">
        <v>8.3999999999999995E-3</v>
      </c>
      <c r="N11624">
        <v>419</v>
      </c>
    </row>
    <row r="11625" spans="1:14" x14ac:dyDescent="0.35">
      <c r="A11625" t="s">
        <v>227</v>
      </c>
      <c r="B11625" t="s">
        <v>1335</v>
      </c>
      <c r="C11625" t="s">
        <v>1342</v>
      </c>
      <c r="D11625" s="2">
        <v>0.83940000000000003</v>
      </c>
      <c r="E11625" s="2">
        <v>3.4799999999999998E-2</v>
      </c>
      <c r="F11625" s="2">
        <v>9.5899999999999999E-2</v>
      </c>
      <c r="G11625" s="2">
        <v>1.3899999999999999E-2</v>
      </c>
      <c r="H11625" s="2">
        <v>4.7999999999999996E-3</v>
      </c>
      <c r="I11625" s="2">
        <v>6.4000000000000003E-3</v>
      </c>
      <c r="J11625" s="2">
        <v>3.3E-3</v>
      </c>
      <c r="K11625" s="2">
        <v>9.9000000000000008E-3</v>
      </c>
      <c r="L11625" s="2">
        <v>4.0000000000000002E-4</v>
      </c>
      <c r="M11625" s="2">
        <v>5.5999999999999999E-3</v>
      </c>
      <c r="N11625">
        <v>157</v>
      </c>
    </row>
    <row r="11626" spans="1:14" x14ac:dyDescent="0.35">
      <c r="A11626" s="3" t="s">
        <v>227</v>
      </c>
      <c r="B11626" s="3" t="s">
        <v>1336</v>
      </c>
      <c r="C11626" s="3" t="s">
        <v>1341</v>
      </c>
      <c r="D11626" s="4">
        <v>1</v>
      </c>
      <c r="E11626" s="5"/>
      <c r="F11626" s="5"/>
      <c r="G11626" s="5"/>
      <c r="H11626" s="5"/>
      <c r="I11626" s="5"/>
      <c r="J11626" s="5"/>
      <c r="K11626" s="5"/>
      <c r="L11626" s="5"/>
      <c r="M11626" s="5"/>
      <c r="N11626" s="5" t="s">
        <v>434</v>
      </c>
    </row>
    <row r="11627" spans="1:14" x14ac:dyDescent="0.35">
      <c r="A11627" t="s">
        <v>227</v>
      </c>
      <c r="B11627" t="s">
        <v>1337</v>
      </c>
      <c r="C11627" t="s">
        <v>1339</v>
      </c>
      <c r="D11627" s="2">
        <v>0.84760000000000002</v>
      </c>
      <c r="E11627" s="2">
        <v>0.15240000000000001</v>
      </c>
      <c r="N11627">
        <v>31</v>
      </c>
    </row>
    <row r="11628" spans="1:14" x14ac:dyDescent="0.35">
      <c r="A11628" t="s">
        <v>227</v>
      </c>
      <c r="B11628" t="s">
        <v>1337</v>
      </c>
      <c r="C11628" t="s">
        <v>1340</v>
      </c>
      <c r="D11628" s="2">
        <v>0.79120000000000001</v>
      </c>
      <c r="E11628" s="2">
        <v>0.1138</v>
      </c>
      <c r="F11628" s="2">
        <v>1.3299999999999999E-2</v>
      </c>
      <c r="G11628" s="2">
        <v>6.1699999999999998E-2</v>
      </c>
      <c r="H11628" s="2">
        <v>2.7699999999999999E-2</v>
      </c>
      <c r="I11628" s="2">
        <v>2.8199999999999999E-2</v>
      </c>
      <c r="J11628" s="2">
        <v>3.5799999999999998E-2</v>
      </c>
      <c r="K11628" s="2">
        <v>1.72E-2</v>
      </c>
      <c r="L11628" s="2">
        <v>6.4999999999999997E-3</v>
      </c>
      <c r="M11628" s="2">
        <v>5.4999999999999997E-3</v>
      </c>
      <c r="N11628">
        <v>477</v>
      </c>
    </row>
    <row r="11629" spans="1:14" x14ac:dyDescent="0.35">
      <c r="A11629" t="s">
        <v>227</v>
      </c>
      <c r="B11629" t="s">
        <v>1337</v>
      </c>
      <c r="C11629" t="s">
        <v>1341</v>
      </c>
      <c r="D11629" s="2">
        <v>0.79859999999999998</v>
      </c>
      <c r="E11629" s="2">
        <v>8.6999999999999994E-2</v>
      </c>
      <c r="F11629" s="2">
        <v>4.8300000000000003E-2</v>
      </c>
      <c r="G11629" s="2">
        <v>4.8300000000000003E-2</v>
      </c>
      <c r="H11629" s="2">
        <v>3.7400000000000003E-2</v>
      </c>
      <c r="I11629" s="2">
        <v>2.5499999999999998E-2</v>
      </c>
      <c r="J11629" s="2">
        <v>3.5499999999999997E-2</v>
      </c>
      <c r="K11629" s="2">
        <v>1.35E-2</v>
      </c>
      <c r="L11629" s="2">
        <v>8.2000000000000007E-3</v>
      </c>
      <c r="M11629" s="2">
        <v>4.5999999999999999E-3</v>
      </c>
      <c r="N11629">
        <v>923</v>
      </c>
    </row>
    <row r="11630" spans="1:14" x14ac:dyDescent="0.35">
      <c r="A11630" t="s">
        <v>227</v>
      </c>
      <c r="B11630" t="s">
        <v>1337</v>
      </c>
      <c r="C11630" t="s">
        <v>1342</v>
      </c>
      <c r="D11630" s="2">
        <v>0.82469999999999999</v>
      </c>
      <c r="E11630" s="2">
        <v>4.0300000000000002E-2</v>
      </c>
      <c r="F11630" s="2">
        <v>8.0399999999999999E-2</v>
      </c>
      <c r="G11630" s="2">
        <v>3.6900000000000002E-2</v>
      </c>
      <c r="H11630" s="2">
        <v>3.9100000000000003E-2</v>
      </c>
      <c r="I11630" s="2">
        <v>2.58E-2</v>
      </c>
      <c r="J11630" s="2">
        <v>2.1000000000000001E-2</v>
      </c>
      <c r="K11630" s="2">
        <v>3.0599999999999999E-2</v>
      </c>
      <c r="L11630" s="2">
        <v>1.5699999999999999E-2</v>
      </c>
      <c r="M11630" s="2">
        <v>4.0000000000000001E-3</v>
      </c>
      <c r="N11630">
        <v>532</v>
      </c>
    </row>
    <row r="11631" spans="1:14" x14ac:dyDescent="0.35">
      <c r="A11631" t="s">
        <v>228</v>
      </c>
      <c r="B11631" t="s">
        <v>228</v>
      </c>
      <c r="C11631" t="s">
        <v>228</v>
      </c>
      <c r="D11631" s="2">
        <v>0.80789999999999995</v>
      </c>
      <c r="E11631" s="2">
        <v>8.48E-2</v>
      </c>
      <c r="F11631" s="2">
        <v>4.8800000000000003E-2</v>
      </c>
      <c r="G11631" s="2">
        <v>4.3700000000000003E-2</v>
      </c>
      <c r="H11631" s="2">
        <v>3.4299999999999997E-2</v>
      </c>
      <c r="I11631" s="2">
        <v>2.8000000000000001E-2</v>
      </c>
      <c r="J11631" s="2">
        <v>2.6599999999999999E-2</v>
      </c>
      <c r="K11631" s="2">
        <v>1.6E-2</v>
      </c>
      <c r="L11631" s="2">
        <v>7.1999999999999998E-3</v>
      </c>
      <c r="M11631" s="2">
        <v>5.0000000000000001E-3</v>
      </c>
      <c r="N11631">
        <v>2813</v>
      </c>
    </row>
    <row r="11633" spans="1:13" x14ac:dyDescent="0.35">
      <c r="A11633" s="1" t="s">
        <v>2658</v>
      </c>
    </row>
    <row r="11634" spans="1:13" x14ac:dyDescent="0.35">
      <c r="A11634" t="s">
        <v>219</v>
      </c>
      <c r="B11634" t="s">
        <v>1846</v>
      </c>
      <c r="C11634" t="s">
        <v>2659</v>
      </c>
      <c r="D11634" t="s">
        <v>2660</v>
      </c>
      <c r="E11634" t="s">
        <v>2661</v>
      </c>
      <c r="F11634" t="s">
        <v>277</v>
      </c>
      <c r="G11634" t="s">
        <v>2662</v>
      </c>
      <c r="H11634" t="s">
        <v>2663</v>
      </c>
      <c r="I11634" t="s">
        <v>2664</v>
      </c>
      <c r="J11634" t="s">
        <v>2665</v>
      </c>
      <c r="K11634" t="s">
        <v>282</v>
      </c>
      <c r="L11634" t="s">
        <v>226</v>
      </c>
    </row>
    <row r="11635" spans="1:13" x14ac:dyDescent="0.35">
      <c r="A11635" t="s">
        <v>227</v>
      </c>
      <c r="B11635" s="2">
        <v>0.86360000000000003</v>
      </c>
      <c r="C11635" s="2">
        <v>5.2600000000000001E-2</v>
      </c>
      <c r="D11635" s="2">
        <v>4.7800000000000002E-2</v>
      </c>
      <c r="E11635" s="2">
        <v>3.8100000000000002E-2</v>
      </c>
      <c r="F11635" s="2">
        <v>3.1699999999999999E-2</v>
      </c>
      <c r="G11635" s="2">
        <v>3.0800000000000001E-2</v>
      </c>
      <c r="H11635" s="2">
        <v>2.5600000000000001E-2</v>
      </c>
      <c r="I11635" s="2">
        <v>1.9E-2</v>
      </c>
      <c r="J11635" s="2">
        <v>1.49E-2</v>
      </c>
      <c r="K11635" s="2">
        <v>5.0000000000000001E-3</v>
      </c>
      <c r="L11635">
        <v>2813</v>
      </c>
    </row>
    <row r="11636" spans="1:13" x14ac:dyDescent="0.35">
      <c r="A11636" t="s">
        <v>228</v>
      </c>
      <c r="B11636" s="2">
        <v>0.86360000000000003</v>
      </c>
      <c r="C11636" s="2">
        <v>5.2600000000000001E-2</v>
      </c>
      <c r="D11636" s="2">
        <v>4.7800000000000002E-2</v>
      </c>
      <c r="E11636" s="2">
        <v>3.8100000000000002E-2</v>
      </c>
      <c r="F11636" s="2">
        <v>3.1699999999999999E-2</v>
      </c>
      <c r="G11636" s="2">
        <v>3.0800000000000001E-2</v>
      </c>
      <c r="H11636" s="2">
        <v>2.5600000000000001E-2</v>
      </c>
      <c r="I11636" s="2">
        <v>1.9E-2</v>
      </c>
      <c r="J11636" s="2">
        <v>1.49E-2</v>
      </c>
      <c r="K11636" s="2">
        <v>5.0000000000000001E-3</v>
      </c>
      <c r="L11636">
        <v>2813</v>
      </c>
    </row>
    <row r="11638" spans="1:13" x14ac:dyDescent="0.35">
      <c r="A11638" s="1" t="s">
        <v>2666</v>
      </c>
    </row>
    <row r="11639" spans="1:13" x14ac:dyDescent="0.35">
      <c r="A11639" t="s">
        <v>219</v>
      </c>
      <c r="B11639" t="s">
        <v>301</v>
      </c>
      <c r="C11639" t="s">
        <v>1846</v>
      </c>
      <c r="D11639" t="s">
        <v>2659</v>
      </c>
      <c r="E11639" t="s">
        <v>2660</v>
      </c>
      <c r="F11639" t="s">
        <v>2661</v>
      </c>
      <c r="G11639" t="s">
        <v>277</v>
      </c>
      <c r="H11639" t="s">
        <v>2662</v>
      </c>
      <c r="I11639" t="s">
        <v>2663</v>
      </c>
      <c r="J11639" t="s">
        <v>2664</v>
      </c>
      <c r="K11639" t="s">
        <v>2665</v>
      </c>
      <c r="L11639" t="s">
        <v>282</v>
      </c>
      <c r="M11639" t="s">
        <v>226</v>
      </c>
    </row>
    <row r="11640" spans="1:13" x14ac:dyDescent="0.35">
      <c r="A11640" t="s">
        <v>227</v>
      </c>
      <c r="B11640" t="s">
        <v>238</v>
      </c>
      <c r="C11640" s="2">
        <v>0.86260000000000003</v>
      </c>
      <c r="D11640" s="2">
        <v>4.5199999999999997E-2</v>
      </c>
      <c r="E11640" s="2">
        <v>4.1200000000000001E-2</v>
      </c>
      <c r="F11640" s="2">
        <v>3.0499999999999999E-2</v>
      </c>
      <c r="G11640" s="2">
        <v>3.1899999999999998E-2</v>
      </c>
      <c r="H11640" s="2">
        <v>3.2599999999999997E-2</v>
      </c>
      <c r="I11640" s="2">
        <v>2.69E-2</v>
      </c>
      <c r="J11640" s="2">
        <v>1.9800000000000002E-2</v>
      </c>
      <c r="K11640" s="2">
        <v>1.47E-2</v>
      </c>
      <c r="L11640" s="2">
        <v>6.4999999999999997E-3</v>
      </c>
      <c r="M11640">
        <v>1005</v>
      </c>
    </row>
    <row r="11641" spans="1:13" x14ac:dyDescent="0.35">
      <c r="A11641" t="s">
        <v>227</v>
      </c>
      <c r="B11641" t="s">
        <v>237</v>
      </c>
      <c r="C11641" s="2">
        <v>0.86409999999999998</v>
      </c>
      <c r="D11641" s="2">
        <v>5.7000000000000002E-2</v>
      </c>
      <c r="E11641" s="2">
        <v>5.16E-2</v>
      </c>
      <c r="F11641" s="2">
        <v>4.2500000000000003E-2</v>
      </c>
      <c r="G11641" s="2">
        <v>3.1600000000000003E-2</v>
      </c>
      <c r="H11641" s="2">
        <v>2.9700000000000001E-2</v>
      </c>
      <c r="I11641" s="2">
        <v>2.4799999999999999E-2</v>
      </c>
      <c r="J11641" s="2">
        <v>1.8599999999999998E-2</v>
      </c>
      <c r="K11641" s="2">
        <v>1.4999999999999999E-2</v>
      </c>
      <c r="L11641" s="2">
        <v>4.1999999999999997E-3</v>
      </c>
      <c r="M11641">
        <v>1808</v>
      </c>
    </row>
    <row r="11642" spans="1:13" x14ac:dyDescent="0.35">
      <c r="A11642" t="s">
        <v>228</v>
      </c>
      <c r="B11642" t="s">
        <v>228</v>
      </c>
      <c r="C11642" s="2">
        <v>0.86360000000000003</v>
      </c>
      <c r="D11642" s="2">
        <v>5.2600000000000001E-2</v>
      </c>
      <c r="E11642" s="2">
        <v>4.7800000000000002E-2</v>
      </c>
      <c r="F11642" s="2">
        <v>3.8100000000000002E-2</v>
      </c>
      <c r="G11642" s="2">
        <v>3.1699999999999999E-2</v>
      </c>
      <c r="H11642" s="2">
        <v>3.0800000000000001E-2</v>
      </c>
      <c r="I11642" s="2">
        <v>2.5600000000000001E-2</v>
      </c>
      <c r="J11642" s="2">
        <v>1.9E-2</v>
      </c>
      <c r="K11642" s="2">
        <v>1.49E-2</v>
      </c>
      <c r="L11642" s="2">
        <v>5.0000000000000001E-3</v>
      </c>
      <c r="M11642">
        <v>2813</v>
      </c>
    </row>
    <row r="11644" spans="1:13" x14ac:dyDescent="0.35">
      <c r="A11644" s="1" t="s">
        <v>2667</v>
      </c>
    </row>
    <row r="11645" spans="1:13" x14ac:dyDescent="0.35">
      <c r="A11645" t="s">
        <v>219</v>
      </c>
      <c r="B11645" t="s">
        <v>301</v>
      </c>
      <c r="C11645" t="s">
        <v>1846</v>
      </c>
      <c r="D11645" t="s">
        <v>2659</v>
      </c>
      <c r="E11645" t="s">
        <v>2660</v>
      </c>
      <c r="F11645" t="s">
        <v>2661</v>
      </c>
      <c r="G11645" t="s">
        <v>277</v>
      </c>
      <c r="H11645" t="s">
        <v>2662</v>
      </c>
      <c r="I11645" t="s">
        <v>2663</v>
      </c>
      <c r="J11645" t="s">
        <v>2664</v>
      </c>
      <c r="K11645" t="s">
        <v>2665</v>
      </c>
      <c r="L11645" t="s">
        <v>282</v>
      </c>
      <c r="M11645" t="s">
        <v>226</v>
      </c>
    </row>
    <row r="11646" spans="1:13" x14ac:dyDescent="0.35">
      <c r="A11646" t="s">
        <v>227</v>
      </c>
      <c r="B11646" t="s">
        <v>235</v>
      </c>
      <c r="C11646" s="2">
        <v>0.89090000000000003</v>
      </c>
      <c r="D11646" s="2">
        <v>4.0099999999999997E-2</v>
      </c>
      <c r="E11646" s="2">
        <v>4.3700000000000003E-2</v>
      </c>
      <c r="F11646" s="2">
        <v>2.5999999999999999E-2</v>
      </c>
      <c r="G11646" s="2">
        <v>2.5100000000000001E-2</v>
      </c>
      <c r="H11646" s="2">
        <v>3.0099999999999998E-2</v>
      </c>
      <c r="I11646" s="2">
        <v>1.7299999999999999E-2</v>
      </c>
      <c r="J11646" s="2">
        <v>0.02</v>
      </c>
      <c r="K11646" s="2">
        <v>1.06E-2</v>
      </c>
      <c r="L11646" s="2">
        <v>4.8999999999999998E-3</v>
      </c>
      <c r="M11646">
        <v>992</v>
      </c>
    </row>
    <row r="11647" spans="1:13" x14ac:dyDescent="0.35">
      <c r="A11647" t="s">
        <v>227</v>
      </c>
      <c r="B11647" t="s">
        <v>234</v>
      </c>
      <c r="C11647" s="2">
        <v>0.85209999999999997</v>
      </c>
      <c r="D11647" s="2">
        <v>5.79E-2</v>
      </c>
      <c r="E11647" s="2">
        <v>4.9500000000000002E-2</v>
      </c>
      <c r="F11647" s="2">
        <v>4.3200000000000002E-2</v>
      </c>
      <c r="G11647" s="2">
        <v>3.4500000000000003E-2</v>
      </c>
      <c r="H11647" s="2">
        <v>3.1099999999999999E-2</v>
      </c>
      <c r="I11647" s="2">
        <v>2.9000000000000001E-2</v>
      </c>
      <c r="J11647" s="2">
        <v>1.8599999999999998E-2</v>
      </c>
      <c r="K11647" s="2">
        <v>1.67E-2</v>
      </c>
      <c r="L11647" s="2">
        <v>5.1000000000000004E-3</v>
      </c>
      <c r="M11647">
        <v>1821</v>
      </c>
    </row>
    <row r="11648" spans="1:13" x14ac:dyDescent="0.35">
      <c r="A11648" t="s">
        <v>228</v>
      </c>
      <c r="B11648" t="s">
        <v>228</v>
      </c>
      <c r="C11648" s="2">
        <v>0.86360000000000003</v>
      </c>
      <c r="D11648" s="2">
        <v>5.2600000000000001E-2</v>
      </c>
      <c r="E11648" s="2">
        <v>4.7800000000000002E-2</v>
      </c>
      <c r="F11648" s="2">
        <v>3.8100000000000002E-2</v>
      </c>
      <c r="G11648" s="2">
        <v>3.1699999999999999E-2</v>
      </c>
      <c r="H11648" s="2">
        <v>3.0800000000000001E-2</v>
      </c>
      <c r="I11648" s="2">
        <v>2.5600000000000001E-2</v>
      </c>
      <c r="J11648" s="2">
        <v>1.9E-2</v>
      </c>
      <c r="K11648" s="2">
        <v>1.49E-2</v>
      </c>
      <c r="L11648" s="2">
        <v>5.0000000000000001E-3</v>
      </c>
      <c r="M11648">
        <v>2813</v>
      </c>
    </row>
    <row r="11650" spans="1:13" x14ac:dyDescent="0.35">
      <c r="A11650" s="1" t="s">
        <v>2668</v>
      </c>
    </row>
    <row r="11651" spans="1:13" x14ac:dyDescent="0.35">
      <c r="A11651" t="s">
        <v>219</v>
      </c>
      <c r="B11651" t="s">
        <v>301</v>
      </c>
      <c r="C11651" t="s">
        <v>1846</v>
      </c>
      <c r="D11651" t="s">
        <v>2659</v>
      </c>
      <c r="E11651" t="s">
        <v>2660</v>
      </c>
      <c r="F11651" t="s">
        <v>2661</v>
      </c>
      <c r="G11651" t="s">
        <v>277</v>
      </c>
      <c r="H11651" t="s">
        <v>2662</v>
      </c>
      <c r="I11651" t="s">
        <v>2663</v>
      </c>
      <c r="J11651" t="s">
        <v>2664</v>
      </c>
      <c r="K11651" t="s">
        <v>2665</v>
      </c>
      <c r="L11651" t="s">
        <v>282</v>
      </c>
      <c r="M11651" t="s">
        <v>226</v>
      </c>
    </row>
    <row r="11652" spans="1:13" x14ac:dyDescent="0.35">
      <c r="A11652" t="s">
        <v>227</v>
      </c>
      <c r="B11652" t="s">
        <v>240</v>
      </c>
      <c r="C11652" s="2">
        <v>0.84909999999999997</v>
      </c>
      <c r="D11652" s="2">
        <v>5.8099999999999999E-2</v>
      </c>
      <c r="E11652" s="2">
        <v>5.7299999999999997E-2</v>
      </c>
      <c r="F11652" s="2">
        <v>4.2000000000000003E-2</v>
      </c>
      <c r="G11652" s="2">
        <v>3.2899999999999999E-2</v>
      </c>
      <c r="H11652" s="2">
        <v>3.5400000000000001E-2</v>
      </c>
      <c r="I11652" s="2">
        <v>2.9100000000000001E-2</v>
      </c>
      <c r="J11652" s="2">
        <v>1.84E-2</v>
      </c>
      <c r="K11652" s="2">
        <v>1.7500000000000002E-2</v>
      </c>
      <c r="L11652" s="2">
        <v>6.7999999999999996E-3</v>
      </c>
      <c r="M11652">
        <v>1756</v>
      </c>
    </row>
    <row r="11653" spans="1:13" x14ac:dyDescent="0.35">
      <c r="A11653" t="s">
        <v>227</v>
      </c>
      <c r="B11653" t="s">
        <v>241</v>
      </c>
      <c r="C11653" s="2">
        <v>0.89019999999999999</v>
      </c>
      <c r="D11653" s="2">
        <v>4.1000000000000002E-2</v>
      </c>
      <c r="E11653" s="2">
        <v>2.3199999999999998E-2</v>
      </c>
      <c r="F11653" s="2">
        <v>2.7E-2</v>
      </c>
      <c r="G11653" s="2">
        <v>3.1699999999999999E-2</v>
      </c>
      <c r="H11653" s="2">
        <v>1.2699999999999999E-2</v>
      </c>
      <c r="I11653" s="2">
        <v>1.6500000000000001E-2</v>
      </c>
      <c r="J11653" s="2">
        <v>1.5599999999999999E-2</v>
      </c>
      <c r="K11653" s="2">
        <v>8.5000000000000006E-3</v>
      </c>
      <c r="L11653" s="2">
        <v>2.3999999999999998E-3</v>
      </c>
      <c r="M11653">
        <v>891</v>
      </c>
    </row>
    <row r="11654" spans="1:13" x14ac:dyDescent="0.35">
      <c r="A11654" t="s">
        <v>227</v>
      </c>
      <c r="B11654" t="s">
        <v>242</v>
      </c>
      <c r="C11654" s="2">
        <v>0.88470000000000004</v>
      </c>
      <c r="D11654" s="2">
        <v>5.1799999999999999E-2</v>
      </c>
      <c r="E11654" s="2">
        <v>6.5799999999999997E-2</v>
      </c>
      <c r="F11654" s="2">
        <v>0.05</v>
      </c>
      <c r="G11654" s="2">
        <v>1.95E-2</v>
      </c>
      <c r="H11654" s="2">
        <v>6.7100000000000007E-2</v>
      </c>
      <c r="I11654" s="2">
        <v>3.2199999999999999E-2</v>
      </c>
      <c r="J11654" s="2">
        <v>4.02E-2</v>
      </c>
      <c r="K11654" s="2">
        <v>1.8499999999999999E-2</v>
      </c>
      <c r="M11654">
        <v>166</v>
      </c>
    </row>
    <row r="11655" spans="1:13" x14ac:dyDescent="0.35">
      <c r="A11655" t="s">
        <v>228</v>
      </c>
      <c r="B11655" t="s">
        <v>228</v>
      </c>
      <c r="C11655" s="2">
        <v>0.86360000000000003</v>
      </c>
      <c r="D11655" s="2">
        <v>5.2600000000000001E-2</v>
      </c>
      <c r="E11655" s="2">
        <v>4.7800000000000002E-2</v>
      </c>
      <c r="F11655" s="2">
        <v>3.8100000000000002E-2</v>
      </c>
      <c r="G11655" s="2">
        <v>3.1699999999999999E-2</v>
      </c>
      <c r="H11655" s="2">
        <v>3.0800000000000001E-2</v>
      </c>
      <c r="I11655" s="2">
        <v>2.5600000000000001E-2</v>
      </c>
      <c r="J11655" s="2">
        <v>1.9E-2</v>
      </c>
      <c r="K11655" s="2">
        <v>1.49E-2</v>
      </c>
      <c r="L11655" s="2">
        <v>5.0000000000000001E-3</v>
      </c>
      <c r="M11655">
        <v>2813</v>
      </c>
    </row>
    <row r="11657" spans="1:13" x14ac:dyDescent="0.35">
      <c r="A11657" s="1" t="s">
        <v>2669</v>
      </c>
    </row>
    <row r="11658" spans="1:13" x14ac:dyDescent="0.35">
      <c r="A11658" t="s">
        <v>219</v>
      </c>
      <c r="B11658" t="s">
        <v>301</v>
      </c>
      <c r="C11658" t="s">
        <v>1846</v>
      </c>
      <c r="D11658" t="s">
        <v>2659</v>
      </c>
      <c r="E11658" t="s">
        <v>2660</v>
      </c>
      <c r="F11658" t="s">
        <v>2661</v>
      </c>
      <c r="G11658" t="s">
        <v>277</v>
      </c>
      <c r="H11658" t="s">
        <v>2662</v>
      </c>
      <c r="I11658" t="s">
        <v>2663</v>
      </c>
      <c r="J11658" t="s">
        <v>2664</v>
      </c>
      <c r="K11658" t="s">
        <v>2665</v>
      </c>
      <c r="L11658" t="s">
        <v>282</v>
      </c>
      <c r="M11658" t="s">
        <v>226</v>
      </c>
    </row>
    <row r="11659" spans="1:13" x14ac:dyDescent="0.35">
      <c r="A11659" t="s">
        <v>227</v>
      </c>
      <c r="B11659" t="s">
        <v>334</v>
      </c>
      <c r="C11659" s="2">
        <v>0.86509999999999998</v>
      </c>
      <c r="D11659" s="2">
        <v>2.7699999999999999E-2</v>
      </c>
      <c r="E11659" s="2">
        <v>3.1E-2</v>
      </c>
      <c r="F11659" s="2">
        <v>2.9399999999999999E-2</v>
      </c>
      <c r="G11659" s="2">
        <v>5.2499999999999998E-2</v>
      </c>
      <c r="H11659" s="2">
        <v>2.4400000000000002E-2</v>
      </c>
      <c r="I11659" s="2">
        <v>2.3E-2</v>
      </c>
      <c r="J11659" s="2">
        <v>3.0200000000000001E-2</v>
      </c>
      <c r="K11659" s="2">
        <v>1.3599999999999999E-2</v>
      </c>
      <c r="L11659" s="2">
        <v>6.8999999999999999E-3</v>
      </c>
      <c r="M11659">
        <v>625</v>
      </c>
    </row>
    <row r="11660" spans="1:13" x14ac:dyDescent="0.35">
      <c r="A11660" t="s">
        <v>227</v>
      </c>
      <c r="B11660" t="s">
        <v>335</v>
      </c>
      <c r="C11660" s="2">
        <v>0.84889999999999999</v>
      </c>
      <c r="D11660" s="2">
        <v>7.8E-2</v>
      </c>
      <c r="E11660" s="2">
        <v>6.9199999999999998E-2</v>
      </c>
      <c r="F11660" s="2">
        <v>4.7800000000000002E-2</v>
      </c>
      <c r="G11660" s="2">
        <v>1.5800000000000002E-2</v>
      </c>
      <c r="H11660" s="2">
        <v>3.2800000000000003E-2</v>
      </c>
      <c r="I11660" s="2">
        <v>3.3500000000000002E-2</v>
      </c>
      <c r="J11660" s="2">
        <v>1.06E-2</v>
      </c>
      <c r="K11660" s="2">
        <v>2.01E-2</v>
      </c>
      <c r="L11660" s="2">
        <v>3.5000000000000001E-3</v>
      </c>
      <c r="M11660">
        <v>628</v>
      </c>
    </row>
    <row r="11661" spans="1:13" x14ac:dyDescent="0.35">
      <c r="A11661" t="s">
        <v>227</v>
      </c>
      <c r="B11661" t="s">
        <v>336</v>
      </c>
      <c r="C11661" s="2">
        <v>0.89500000000000002</v>
      </c>
      <c r="D11661" s="2">
        <v>3.6499999999999998E-2</v>
      </c>
      <c r="E11661" s="2">
        <v>2.2499999999999999E-2</v>
      </c>
      <c r="F11661" s="2">
        <v>2.5700000000000001E-2</v>
      </c>
      <c r="G11661" s="2">
        <v>2.4400000000000002E-2</v>
      </c>
      <c r="H11661" s="2">
        <v>2.2599999999999999E-2</v>
      </c>
      <c r="I11661" s="2">
        <v>2.0500000000000001E-2</v>
      </c>
      <c r="J11661" s="2">
        <v>1.6199999999999999E-2</v>
      </c>
      <c r="K11661" s="2">
        <v>7.4999999999999997E-3</v>
      </c>
      <c r="L11661" s="2">
        <v>1.9E-3</v>
      </c>
      <c r="M11661">
        <v>621</v>
      </c>
    </row>
    <row r="11662" spans="1:13" x14ac:dyDescent="0.35">
      <c r="A11662" t="s">
        <v>227</v>
      </c>
      <c r="B11662" t="s">
        <v>337</v>
      </c>
      <c r="C11662" s="2">
        <v>0.88090000000000002</v>
      </c>
      <c r="D11662" s="2">
        <v>4.3200000000000002E-2</v>
      </c>
      <c r="E11662" s="2">
        <v>5.6500000000000002E-2</v>
      </c>
      <c r="F11662" s="2">
        <v>4.1399999999999999E-2</v>
      </c>
      <c r="G11662" s="2">
        <v>2.9899999999999999E-2</v>
      </c>
      <c r="H11662" s="2">
        <v>3.5400000000000001E-2</v>
      </c>
      <c r="I11662" s="2">
        <v>1.8700000000000001E-2</v>
      </c>
      <c r="J11662" s="2">
        <v>1.5299999999999999E-2</v>
      </c>
      <c r="K11662" s="2">
        <v>1.4200000000000001E-2</v>
      </c>
      <c r="L11662" s="2">
        <v>4.1000000000000003E-3</v>
      </c>
      <c r="M11662">
        <v>602</v>
      </c>
    </row>
    <row r="11663" spans="1:13" x14ac:dyDescent="0.35">
      <c r="A11663" t="s">
        <v>228</v>
      </c>
      <c r="B11663" t="s">
        <v>228</v>
      </c>
      <c r="C11663" s="2">
        <v>0.86360000000000003</v>
      </c>
      <c r="D11663" s="2">
        <v>5.2600000000000001E-2</v>
      </c>
      <c r="E11663" s="2">
        <v>4.7800000000000002E-2</v>
      </c>
      <c r="F11663" s="2">
        <v>3.8100000000000002E-2</v>
      </c>
      <c r="G11663" s="2">
        <v>3.1699999999999999E-2</v>
      </c>
      <c r="H11663" s="2">
        <v>3.0800000000000001E-2</v>
      </c>
      <c r="I11663" s="2">
        <v>2.5600000000000001E-2</v>
      </c>
      <c r="J11663" s="2">
        <v>1.9E-2</v>
      </c>
      <c r="K11663" s="2">
        <v>1.49E-2</v>
      </c>
      <c r="L11663" s="2">
        <v>5.0000000000000001E-3</v>
      </c>
      <c r="M11663">
        <v>2476</v>
      </c>
    </row>
    <row r="11665" spans="1:13" x14ac:dyDescent="0.35">
      <c r="A11665" s="1" t="s">
        <v>2670</v>
      </c>
    </row>
    <row r="11666" spans="1:13" x14ac:dyDescent="0.35">
      <c r="A11666" t="s">
        <v>219</v>
      </c>
      <c r="B11666" t="s">
        <v>301</v>
      </c>
      <c r="C11666" t="s">
        <v>1846</v>
      </c>
      <c r="D11666" t="s">
        <v>2659</v>
      </c>
      <c r="E11666" t="s">
        <v>2660</v>
      </c>
      <c r="F11666" t="s">
        <v>2661</v>
      </c>
      <c r="G11666" t="s">
        <v>277</v>
      </c>
      <c r="H11666" t="s">
        <v>2662</v>
      </c>
      <c r="I11666" t="s">
        <v>2663</v>
      </c>
      <c r="J11666" t="s">
        <v>2664</v>
      </c>
      <c r="K11666" t="s">
        <v>2665</v>
      </c>
      <c r="L11666" t="s">
        <v>282</v>
      </c>
      <c r="M11666" t="s">
        <v>226</v>
      </c>
    </row>
    <row r="11667" spans="1:13" x14ac:dyDescent="0.35">
      <c r="A11667" t="s">
        <v>227</v>
      </c>
      <c r="B11667" t="s">
        <v>263</v>
      </c>
      <c r="C11667" s="2">
        <v>0.83279999999999998</v>
      </c>
      <c r="D11667" s="2">
        <v>6.5199999999999994E-2</v>
      </c>
      <c r="E11667" s="2">
        <v>6.13E-2</v>
      </c>
      <c r="F11667" s="2">
        <v>5.4899999999999997E-2</v>
      </c>
      <c r="G11667" s="2">
        <v>4.1300000000000003E-2</v>
      </c>
      <c r="H11667" s="2">
        <v>2.86E-2</v>
      </c>
      <c r="I11667" s="2">
        <v>3.2500000000000001E-2</v>
      </c>
      <c r="J11667" s="2">
        <v>2.1600000000000001E-2</v>
      </c>
      <c r="K11667" s="2">
        <v>1.3299999999999999E-2</v>
      </c>
      <c r="L11667" s="2">
        <v>3.5000000000000001E-3</v>
      </c>
      <c r="M11667">
        <v>589</v>
      </c>
    </row>
    <row r="11668" spans="1:13" x14ac:dyDescent="0.35">
      <c r="A11668" t="s">
        <v>227</v>
      </c>
      <c r="B11668" t="s">
        <v>262</v>
      </c>
      <c r="C11668" s="2">
        <v>0.874</v>
      </c>
      <c r="D11668" s="2">
        <v>3.8699999999999998E-2</v>
      </c>
      <c r="E11668" s="2">
        <v>3.5099999999999999E-2</v>
      </c>
      <c r="F11668" s="2">
        <v>2.9100000000000001E-2</v>
      </c>
      <c r="G11668" s="2">
        <v>3.5900000000000001E-2</v>
      </c>
      <c r="H11668" s="2">
        <v>2.52E-2</v>
      </c>
      <c r="I11668" s="2">
        <v>0.02</v>
      </c>
      <c r="J11668" s="2">
        <v>1.84E-2</v>
      </c>
      <c r="K11668" s="2">
        <v>1.41E-2</v>
      </c>
      <c r="L11668" s="2">
        <v>3.0999999999999999E-3</v>
      </c>
      <c r="M11668">
        <v>1160</v>
      </c>
    </row>
    <row r="11669" spans="1:13" x14ac:dyDescent="0.35">
      <c r="A11669" t="s">
        <v>227</v>
      </c>
      <c r="B11669" t="s">
        <v>261</v>
      </c>
      <c r="C11669" s="2">
        <v>0.86919999999999997</v>
      </c>
      <c r="D11669" s="2">
        <v>5.8700000000000002E-2</v>
      </c>
      <c r="E11669" s="2">
        <v>5.2299999999999999E-2</v>
      </c>
      <c r="F11669" s="2">
        <v>3.78E-2</v>
      </c>
      <c r="G11669" s="2">
        <v>2.3400000000000001E-2</v>
      </c>
      <c r="H11669" s="2">
        <v>3.6900000000000002E-2</v>
      </c>
      <c r="I11669" s="2">
        <v>2.7099999999999999E-2</v>
      </c>
      <c r="J11669" s="2">
        <v>1.84E-2</v>
      </c>
      <c r="K11669" s="2">
        <v>1.6400000000000001E-2</v>
      </c>
      <c r="L11669" s="2">
        <v>7.4999999999999997E-3</v>
      </c>
      <c r="M11669">
        <v>1062</v>
      </c>
    </row>
    <row r="11670" spans="1:13" x14ac:dyDescent="0.35">
      <c r="A11670" s="3" t="s">
        <v>227</v>
      </c>
      <c r="B11670" s="3" t="s">
        <v>232</v>
      </c>
      <c r="C11670" s="4">
        <v>1</v>
      </c>
      <c r="D11670" s="5"/>
      <c r="E11670" s="5"/>
      <c r="F11670" s="5"/>
      <c r="G11670" s="5"/>
      <c r="H11670" s="5"/>
      <c r="I11670" s="5"/>
      <c r="J11670" s="5"/>
      <c r="K11670" s="5"/>
      <c r="L11670" s="5"/>
      <c r="M11670" s="5" t="s">
        <v>434</v>
      </c>
    </row>
    <row r="11671" spans="1:13" x14ac:dyDescent="0.35">
      <c r="A11671" t="s">
        <v>228</v>
      </c>
      <c r="B11671" t="s">
        <v>228</v>
      </c>
      <c r="C11671" s="2">
        <v>0.86360000000000003</v>
      </c>
      <c r="D11671" s="2">
        <v>5.2600000000000001E-2</v>
      </c>
      <c r="E11671" s="2">
        <v>4.7800000000000002E-2</v>
      </c>
      <c r="F11671" s="2">
        <v>3.8100000000000002E-2</v>
      </c>
      <c r="G11671" s="2">
        <v>3.1699999999999999E-2</v>
      </c>
      <c r="H11671" s="2">
        <v>3.0800000000000001E-2</v>
      </c>
      <c r="I11671" s="2">
        <v>2.5600000000000001E-2</v>
      </c>
      <c r="J11671" s="2">
        <v>1.9E-2</v>
      </c>
      <c r="K11671" s="2">
        <v>1.49E-2</v>
      </c>
      <c r="L11671" s="2">
        <v>5.0000000000000001E-3</v>
      </c>
      <c r="M11671">
        <v>2813</v>
      </c>
    </row>
    <row r="11673" spans="1:13" x14ac:dyDescent="0.35">
      <c r="A11673" s="1" t="s">
        <v>2671</v>
      </c>
    </row>
    <row r="11674" spans="1:13" x14ac:dyDescent="0.35">
      <c r="A11674" t="s">
        <v>219</v>
      </c>
      <c r="B11674" t="s">
        <v>301</v>
      </c>
      <c r="C11674" t="s">
        <v>1846</v>
      </c>
      <c r="D11674" t="s">
        <v>2659</v>
      </c>
      <c r="E11674" t="s">
        <v>2660</v>
      </c>
      <c r="F11674" t="s">
        <v>2661</v>
      </c>
      <c r="G11674" t="s">
        <v>277</v>
      </c>
      <c r="H11674" t="s">
        <v>2662</v>
      </c>
      <c r="I11674" t="s">
        <v>2663</v>
      </c>
      <c r="J11674" t="s">
        <v>2664</v>
      </c>
      <c r="K11674" t="s">
        <v>2665</v>
      </c>
      <c r="L11674" t="s">
        <v>282</v>
      </c>
      <c r="M11674" t="s">
        <v>226</v>
      </c>
    </row>
    <row r="11675" spans="1:13" x14ac:dyDescent="0.35">
      <c r="A11675" t="s">
        <v>227</v>
      </c>
      <c r="B11675" t="s">
        <v>248</v>
      </c>
      <c r="C11675" s="2">
        <v>0.91910000000000003</v>
      </c>
      <c r="D11675" s="2">
        <v>1.61E-2</v>
      </c>
      <c r="E11675" s="2">
        <v>1.2200000000000001E-2</v>
      </c>
      <c r="F11675" s="2">
        <v>1.8499999999999999E-2</v>
      </c>
      <c r="G11675" s="2">
        <v>3.2599999999999997E-2</v>
      </c>
      <c r="H11675" s="2">
        <v>3.3999999999999998E-3</v>
      </c>
      <c r="I11675" s="2">
        <v>8.2000000000000007E-3</v>
      </c>
      <c r="J11675" s="2">
        <v>8.8999999999999999E-3</v>
      </c>
      <c r="K11675" s="2">
        <v>3.3999999999999998E-3</v>
      </c>
      <c r="L11675" s="2">
        <v>8.8999999999999999E-3</v>
      </c>
      <c r="M11675">
        <v>796</v>
      </c>
    </row>
    <row r="11676" spans="1:13" x14ac:dyDescent="0.35">
      <c r="A11676" t="s">
        <v>227</v>
      </c>
      <c r="B11676" t="s">
        <v>249</v>
      </c>
      <c r="C11676" s="2">
        <v>0.873</v>
      </c>
      <c r="D11676" s="2">
        <v>5.0799999999999998E-2</v>
      </c>
      <c r="E11676" s="2">
        <v>5.57E-2</v>
      </c>
      <c r="F11676" s="2">
        <v>3.8800000000000001E-2</v>
      </c>
      <c r="G11676" s="2">
        <v>2.1299999999999999E-2</v>
      </c>
      <c r="H11676" s="2">
        <v>4.1200000000000001E-2</v>
      </c>
      <c r="I11676" s="2">
        <v>3.6999999999999998E-2</v>
      </c>
      <c r="J11676" s="2">
        <v>2.1600000000000001E-2</v>
      </c>
      <c r="K11676" s="2">
        <v>2.41E-2</v>
      </c>
      <c r="L11676" s="2">
        <v>1.4E-3</v>
      </c>
      <c r="M11676">
        <v>541</v>
      </c>
    </row>
    <row r="11677" spans="1:13" x14ac:dyDescent="0.35">
      <c r="A11677" t="s">
        <v>227</v>
      </c>
      <c r="B11677" t="s">
        <v>247</v>
      </c>
      <c r="C11677" s="2">
        <v>0.83140000000000003</v>
      </c>
      <c r="D11677" s="2">
        <v>7.22E-2</v>
      </c>
      <c r="E11677" s="2">
        <v>6.3299999999999995E-2</v>
      </c>
      <c r="F11677" s="2">
        <v>4.8000000000000001E-2</v>
      </c>
      <c r="G11677" s="2">
        <v>3.5099999999999999E-2</v>
      </c>
      <c r="H11677" s="2">
        <v>4.1200000000000001E-2</v>
      </c>
      <c r="I11677" s="2">
        <v>3.04E-2</v>
      </c>
      <c r="J11677" s="2">
        <v>2.3300000000000001E-2</v>
      </c>
      <c r="K11677" s="2">
        <v>1.7500000000000002E-2</v>
      </c>
      <c r="L11677" s="2">
        <v>4.4000000000000003E-3</v>
      </c>
      <c r="M11677">
        <v>1476</v>
      </c>
    </row>
    <row r="11678" spans="1:13" x14ac:dyDescent="0.35">
      <c r="A11678" t="s">
        <v>228</v>
      </c>
      <c r="B11678" t="s">
        <v>228</v>
      </c>
      <c r="C11678" s="2">
        <v>0.86360000000000003</v>
      </c>
      <c r="D11678" s="2">
        <v>5.2600000000000001E-2</v>
      </c>
      <c r="E11678" s="2">
        <v>4.7800000000000002E-2</v>
      </c>
      <c r="F11678" s="2">
        <v>3.8100000000000002E-2</v>
      </c>
      <c r="G11678" s="2">
        <v>3.1699999999999999E-2</v>
      </c>
      <c r="H11678" s="2">
        <v>3.0800000000000001E-2</v>
      </c>
      <c r="I11678" s="2">
        <v>2.5600000000000001E-2</v>
      </c>
      <c r="J11678" s="2">
        <v>1.9E-2</v>
      </c>
      <c r="K11678" s="2">
        <v>1.49E-2</v>
      </c>
      <c r="L11678" s="2">
        <v>5.0000000000000001E-3</v>
      </c>
      <c r="M11678">
        <v>2813</v>
      </c>
    </row>
    <row r="11680" spans="1:13" x14ac:dyDescent="0.35">
      <c r="A11680" s="1" t="s">
        <v>2672</v>
      </c>
    </row>
    <row r="11681" spans="1:13" x14ac:dyDescent="0.35">
      <c r="A11681" t="s">
        <v>219</v>
      </c>
      <c r="B11681" t="s">
        <v>301</v>
      </c>
      <c r="C11681" t="s">
        <v>1846</v>
      </c>
      <c r="D11681" t="s">
        <v>2659</v>
      </c>
      <c r="E11681" t="s">
        <v>2660</v>
      </c>
      <c r="F11681" t="s">
        <v>2661</v>
      </c>
      <c r="G11681" t="s">
        <v>277</v>
      </c>
      <c r="H11681" t="s">
        <v>2662</v>
      </c>
      <c r="I11681" t="s">
        <v>2663</v>
      </c>
      <c r="J11681" t="s">
        <v>2664</v>
      </c>
      <c r="K11681" t="s">
        <v>2665</v>
      </c>
      <c r="L11681" t="s">
        <v>282</v>
      </c>
      <c r="M11681" t="s">
        <v>226</v>
      </c>
    </row>
    <row r="11682" spans="1:13" x14ac:dyDescent="0.35">
      <c r="A11682" t="s">
        <v>227</v>
      </c>
      <c r="B11682" t="s">
        <v>245</v>
      </c>
      <c r="C11682" s="2">
        <v>0.8266</v>
      </c>
      <c r="D11682" s="2">
        <v>7.0499999999999993E-2</v>
      </c>
      <c r="E11682" s="2">
        <v>6.6799999999999998E-2</v>
      </c>
      <c r="F11682" s="2">
        <v>4.7600000000000003E-2</v>
      </c>
      <c r="G11682" s="2">
        <v>3.5499999999999997E-2</v>
      </c>
      <c r="H11682" s="2">
        <v>6.7900000000000002E-2</v>
      </c>
      <c r="I11682" s="2">
        <v>3.8899999999999997E-2</v>
      </c>
      <c r="J11682" s="2">
        <v>2.47E-2</v>
      </c>
      <c r="K11682" s="2">
        <v>1.8599999999999998E-2</v>
      </c>
      <c r="L11682" s="2">
        <v>3.3E-3</v>
      </c>
      <c r="M11682">
        <v>783</v>
      </c>
    </row>
    <row r="11683" spans="1:13" x14ac:dyDescent="0.35">
      <c r="A11683" t="s">
        <v>227</v>
      </c>
      <c r="B11683" t="s">
        <v>244</v>
      </c>
      <c r="C11683" s="2">
        <v>0.87819999999999998</v>
      </c>
      <c r="D11683" s="2">
        <v>4.5499999999999999E-2</v>
      </c>
      <c r="E11683" s="2">
        <v>4.02E-2</v>
      </c>
      <c r="F11683" s="2">
        <v>3.44E-2</v>
      </c>
      <c r="G11683" s="2">
        <v>3.0200000000000001E-2</v>
      </c>
      <c r="H11683" s="2">
        <v>1.61E-2</v>
      </c>
      <c r="I11683" s="2">
        <v>2.0299999999999999E-2</v>
      </c>
      <c r="J11683" s="2">
        <v>1.6799999999999999E-2</v>
      </c>
      <c r="K11683" s="2">
        <v>1.34E-2</v>
      </c>
      <c r="L11683" s="2">
        <v>5.7000000000000002E-3</v>
      </c>
      <c r="M11683">
        <v>2030</v>
      </c>
    </row>
    <row r="11684" spans="1:13" x14ac:dyDescent="0.35">
      <c r="A11684" t="s">
        <v>228</v>
      </c>
      <c r="B11684" t="s">
        <v>228</v>
      </c>
      <c r="C11684" s="2">
        <v>0.86360000000000003</v>
      </c>
      <c r="D11684" s="2">
        <v>5.2600000000000001E-2</v>
      </c>
      <c r="E11684" s="2">
        <v>4.7800000000000002E-2</v>
      </c>
      <c r="F11684" s="2">
        <v>3.8100000000000002E-2</v>
      </c>
      <c r="G11684" s="2">
        <v>3.1699999999999999E-2</v>
      </c>
      <c r="H11684" s="2">
        <v>3.0800000000000001E-2</v>
      </c>
      <c r="I11684" s="2">
        <v>2.5600000000000001E-2</v>
      </c>
      <c r="J11684" s="2">
        <v>1.9E-2</v>
      </c>
      <c r="K11684" s="2">
        <v>1.49E-2</v>
      </c>
      <c r="L11684" s="2">
        <v>5.0000000000000001E-3</v>
      </c>
      <c r="M11684">
        <v>2813</v>
      </c>
    </row>
    <row r="11686" spans="1:13" x14ac:dyDescent="0.35">
      <c r="A11686" s="1" t="s">
        <v>2673</v>
      </c>
    </row>
    <row r="11687" spans="1:13" x14ac:dyDescent="0.35">
      <c r="A11687" t="s">
        <v>219</v>
      </c>
      <c r="B11687" t="s">
        <v>301</v>
      </c>
      <c r="C11687" t="s">
        <v>1846</v>
      </c>
      <c r="D11687" t="s">
        <v>2659</v>
      </c>
      <c r="E11687" t="s">
        <v>2660</v>
      </c>
      <c r="F11687" t="s">
        <v>2661</v>
      </c>
      <c r="G11687" t="s">
        <v>277</v>
      </c>
      <c r="H11687" t="s">
        <v>2662</v>
      </c>
      <c r="I11687" t="s">
        <v>2663</v>
      </c>
      <c r="J11687" t="s">
        <v>2664</v>
      </c>
      <c r="K11687" t="s">
        <v>2665</v>
      </c>
      <c r="L11687" t="s">
        <v>282</v>
      </c>
      <c r="M11687" t="s">
        <v>226</v>
      </c>
    </row>
    <row r="11688" spans="1:13" x14ac:dyDescent="0.35">
      <c r="A11688" t="s">
        <v>227</v>
      </c>
      <c r="B11688" t="s">
        <v>259</v>
      </c>
      <c r="C11688" s="2">
        <v>0.76770000000000005</v>
      </c>
      <c r="D11688" s="2">
        <v>0.17560000000000001</v>
      </c>
      <c r="E11688" s="2">
        <v>0.1711</v>
      </c>
      <c r="F11688" s="2">
        <v>0.13320000000000001</v>
      </c>
      <c r="G11688" s="2">
        <v>5.7000000000000002E-3</v>
      </c>
      <c r="H11688" s="2">
        <v>8.1299999999999997E-2</v>
      </c>
      <c r="I11688" s="2">
        <v>9.6699999999999994E-2</v>
      </c>
      <c r="J11688" s="2">
        <v>3.2599999999999997E-2</v>
      </c>
      <c r="K11688" s="2">
        <v>4.5499999999999999E-2</v>
      </c>
      <c r="M11688">
        <v>69</v>
      </c>
    </row>
    <row r="11689" spans="1:13" x14ac:dyDescent="0.35">
      <c r="A11689" t="s">
        <v>227</v>
      </c>
      <c r="B11689" t="s">
        <v>257</v>
      </c>
      <c r="C11689" s="2">
        <v>0.89690000000000003</v>
      </c>
      <c r="D11689" s="2">
        <v>2.1299999999999999E-2</v>
      </c>
      <c r="E11689" s="2">
        <v>3.2500000000000001E-2</v>
      </c>
      <c r="F11689" s="2">
        <v>3.1600000000000003E-2</v>
      </c>
      <c r="G11689" s="2">
        <v>2.3E-2</v>
      </c>
      <c r="H11689" s="2">
        <v>2.29E-2</v>
      </c>
      <c r="I11689" s="2">
        <v>1.89E-2</v>
      </c>
      <c r="J11689" s="2">
        <v>1.78E-2</v>
      </c>
      <c r="K11689" s="2">
        <v>9.7999999999999997E-3</v>
      </c>
      <c r="L11689" s="2">
        <v>7.9000000000000008E-3</v>
      </c>
      <c r="M11689">
        <v>405</v>
      </c>
    </row>
    <row r="11690" spans="1:13" x14ac:dyDescent="0.35">
      <c r="A11690" t="s">
        <v>227</v>
      </c>
      <c r="B11690" t="s">
        <v>256</v>
      </c>
      <c r="C11690" s="2">
        <v>0.87780000000000002</v>
      </c>
      <c r="D11690" s="2">
        <v>4.1399999999999999E-2</v>
      </c>
      <c r="E11690" s="2">
        <v>3.7400000000000003E-2</v>
      </c>
      <c r="F11690" s="2">
        <v>2.6800000000000001E-2</v>
      </c>
      <c r="G11690" s="2">
        <v>3.4500000000000003E-2</v>
      </c>
      <c r="H11690" s="2">
        <v>2.58E-2</v>
      </c>
      <c r="I11690" s="2">
        <v>2.0299999999999999E-2</v>
      </c>
      <c r="J11690" s="2">
        <v>1.49E-2</v>
      </c>
      <c r="K11690" s="2">
        <v>1.09E-2</v>
      </c>
      <c r="L11690" s="2">
        <v>4.4000000000000003E-3</v>
      </c>
      <c r="M11690">
        <v>1803</v>
      </c>
    </row>
    <row r="11691" spans="1:13" x14ac:dyDescent="0.35">
      <c r="A11691" s="3" t="s">
        <v>227</v>
      </c>
      <c r="B11691" s="3" t="s">
        <v>232</v>
      </c>
      <c r="C11691" s="4">
        <v>0.82840000000000003</v>
      </c>
      <c r="D11691" s="4">
        <v>1.3299999999999999E-2</v>
      </c>
      <c r="E11691" s="4">
        <v>0.1716</v>
      </c>
      <c r="F11691" s="4">
        <v>1.3299999999999999E-2</v>
      </c>
      <c r="G11691" s="5"/>
      <c r="H11691" s="4">
        <v>1.3299999999999999E-2</v>
      </c>
      <c r="I11691" s="4">
        <v>1.3299999999999999E-2</v>
      </c>
      <c r="J11691" s="4">
        <v>1.3299999999999999E-2</v>
      </c>
      <c r="K11691" s="4">
        <v>1.3299999999999999E-2</v>
      </c>
      <c r="L11691" s="5"/>
      <c r="M11691" s="5" t="s">
        <v>307</v>
      </c>
    </row>
    <row r="11692" spans="1:13" x14ac:dyDescent="0.35">
      <c r="A11692" t="s">
        <v>227</v>
      </c>
      <c r="B11692" t="s">
        <v>258</v>
      </c>
      <c r="C11692" s="2">
        <v>0.77229999999999999</v>
      </c>
      <c r="D11692" s="2">
        <v>0.1258</v>
      </c>
      <c r="E11692" s="2">
        <v>9.6500000000000002E-2</v>
      </c>
      <c r="F11692" s="2">
        <v>8.6099999999999996E-2</v>
      </c>
      <c r="G11692" s="2">
        <v>3.2599999999999997E-2</v>
      </c>
      <c r="H11692" s="2">
        <v>5.7200000000000001E-2</v>
      </c>
      <c r="I11692" s="2">
        <v>4.8899999999999999E-2</v>
      </c>
      <c r="J11692" s="2">
        <v>3.7600000000000001E-2</v>
      </c>
      <c r="K11692" s="2">
        <v>3.5400000000000001E-2</v>
      </c>
      <c r="L11692" s="2">
        <v>5.4000000000000003E-3</v>
      </c>
      <c r="M11692">
        <v>525</v>
      </c>
    </row>
    <row r="11693" spans="1:13" x14ac:dyDescent="0.35">
      <c r="A11693" t="s">
        <v>228</v>
      </c>
      <c r="B11693" t="s">
        <v>228</v>
      </c>
      <c r="C11693" s="2">
        <v>0.86360000000000003</v>
      </c>
      <c r="D11693" s="2">
        <v>5.2600000000000001E-2</v>
      </c>
      <c r="E11693" s="2">
        <v>4.7800000000000002E-2</v>
      </c>
      <c r="F11693" s="2">
        <v>3.8100000000000002E-2</v>
      </c>
      <c r="G11693" s="2">
        <v>3.1699999999999999E-2</v>
      </c>
      <c r="H11693" s="2">
        <v>3.0800000000000001E-2</v>
      </c>
      <c r="I11693" s="2">
        <v>2.5600000000000001E-2</v>
      </c>
      <c r="J11693" s="2">
        <v>1.9E-2</v>
      </c>
      <c r="K11693" s="2">
        <v>1.49E-2</v>
      </c>
      <c r="L11693" s="2">
        <v>5.0000000000000001E-3</v>
      </c>
      <c r="M11693">
        <v>2813</v>
      </c>
    </row>
    <row r="11695" spans="1:13" x14ac:dyDescent="0.35">
      <c r="A11695" s="1" t="s">
        <v>2674</v>
      </c>
    </row>
    <row r="11696" spans="1:13" x14ac:dyDescent="0.35">
      <c r="A11696" t="s">
        <v>219</v>
      </c>
      <c r="B11696" t="s">
        <v>301</v>
      </c>
      <c r="C11696" t="s">
        <v>1846</v>
      </c>
      <c r="D11696" t="s">
        <v>2659</v>
      </c>
      <c r="E11696" t="s">
        <v>2660</v>
      </c>
      <c r="F11696" t="s">
        <v>2661</v>
      </c>
      <c r="G11696" t="s">
        <v>277</v>
      </c>
      <c r="H11696" t="s">
        <v>2662</v>
      </c>
      <c r="I11696" t="s">
        <v>2663</v>
      </c>
      <c r="J11696" t="s">
        <v>2664</v>
      </c>
      <c r="K11696" t="s">
        <v>2665</v>
      </c>
      <c r="L11696" t="s">
        <v>282</v>
      </c>
      <c r="M11696" t="s">
        <v>226</v>
      </c>
    </row>
    <row r="11697" spans="1:13" x14ac:dyDescent="0.35">
      <c r="A11697" t="s">
        <v>227</v>
      </c>
      <c r="B11697" t="s">
        <v>343</v>
      </c>
      <c r="C11697" s="2">
        <v>0.89690000000000003</v>
      </c>
      <c r="D11697" s="2">
        <v>2.1299999999999999E-2</v>
      </c>
      <c r="E11697" s="2">
        <v>3.2500000000000001E-2</v>
      </c>
      <c r="F11697" s="2">
        <v>3.1600000000000003E-2</v>
      </c>
      <c r="G11697" s="2">
        <v>2.3E-2</v>
      </c>
      <c r="H11697" s="2">
        <v>2.29E-2</v>
      </c>
      <c r="I11697" s="2">
        <v>1.89E-2</v>
      </c>
      <c r="J11697" s="2">
        <v>1.78E-2</v>
      </c>
      <c r="K11697" s="2">
        <v>9.7999999999999997E-3</v>
      </c>
      <c r="L11697" s="2">
        <v>7.9000000000000008E-3</v>
      </c>
      <c r="M11697">
        <v>405</v>
      </c>
    </row>
    <row r="11698" spans="1:13" x14ac:dyDescent="0.35">
      <c r="A11698" t="s">
        <v>227</v>
      </c>
      <c r="B11698" t="s">
        <v>344</v>
      </c>
      <c r="C11698" s="2">
        <v>0.85680000000000001</v>
      </c>
      <c r="D11698" s="2">
        <v>5.8999999999999997E-2</v>
      </c>
      <c r="E11698" s="2">
        <v>5.0900000000000001E-2</v>
      </c>
      <c r="F11698" s="2">
        <v>3.9399999999999998E-2</v>
      </c>
      <c r="G11698" s="2">
        <v>3.3500000000000002E-2</v>
      </c>
      <c r="H11698" s="2">
        <v>3.2399999999999998E-2</v>
      </c>
      <c r="I11698" s="2">
        <v>2.69E-2</v>
      </c>
      <c r="J11698" s="2">
        <v>1.9300000000000001E-2</v>
      </c>
      <c r="K11698" s="2">
        <v>1.5900000000000001E-2</v>
      </c>
      <c r="L11698" s="2">
        <v>4.4999999999999997E-3</v>
      </c>
      <c r="M11698">
        <v>2408</v>
      </c>
    </row>
    <row r="11699" spans="1:13" x14ac:dyDescent="0.35">
      <c r="A11699" t="s">
        <v>228</v>
      </c>
      <c r="B11699" t="s">
        <v>228</v>
      </c>
      <c r="C11699" s="2">
        <v>0.86360000000000003</v>
      </c>
      <c r="D11699" s="2">
        <v>5.2600000000000001E-2</v>
      </c>
      <c r="E11699" s="2">
        <v>4.7800000000000002E-2</v>
      </c>
      <c r="F11699" s="2">
        <v>3.8100000000000002E-2</v>
      </c>
      <c r="G11699" s="2">
        <v>3.1699999999999999E-2</v>
      </c>
      <c r="H11699" s="2">
        <v>3.0800000000000001E-2</v>
      </c>
      <c r="I11699" s="2">
        <v>2.5600000000000001E-2</v>
      </c>
      <c r="J11699" s="2">
        <v>1.9E-2</v>
      </c>
      <c r="K11699" s="2">
        <v>1.49E-2</v>
      </c>
      <c r="L11699" s="2">
        <v>5.0000000000000001E-3</v>
      </c>
      <c r="M11699">
        <v>2813</v>
      </c>
    </row>
    <row r="11701" spans="1:13" x14ac:dyDescent="0.35">
      <c r="A11701" s="1" t="s">
        <v>2675</v>
      </c>
    </row>
    <row r="11702" spans="1:13" x14ac:dyDescent="0.35">
      <c r="A11702" t="s">
        <v>219</v>
      </c>
      <c r="B11702" t="s">
        <v>301</v>
      </c>
      <c r="C11702" t="s">
        <v>1846</v>
      </c>
      <c r="D11702" t="s">
        <v>2659</v>
      </c>
      <c r="E11702" t="s">
        <v>2660</v>
      </c>
      <c r="F11702" t="s">
        <v>2661</v>
      </c>
      <c r="G11702" t="s">
        <v>277</v>
      </c>
      <c r="H11702" t="s">
        <v>2662</v>
      </c>
      <c r="I11702" t="s">
        <v>2663</v>
      </c>
      <c r="J11702" t="s">
        <v>2664</v>
      </c>
      <c r="K11702" t="s">
        <v>2665</v>
      </c>
      <c r="L11702" t="s">
        <v>282</v>
      </c>
      <c r="M11702" t="s">
        <v>226</v>
      </c>
    </row>
    <row r="11703" spans="1:13" x14ac:dyDescent="0.35">
      <c r="A11703" t="s">
        <v>227</v>
      </c>
      <c r="B11703" t="s">
        <v>346</v>
      </c>
      <c r="C11703" s="2">
        <v>0.88470000000000004</v>
      </c>
      <c r="D11703" s="2">
        <v>4.0300000000000002E-2</v>
      </c>
      <c r="E11703" s="2">
        <v>3.8600000000000002E-2</v>
      </c>
      <c r="F11703" s="2">
        <v>2.7300000000000001E-2</v>
      </c>
      <c r="G11703" s="2">
        <v>3.1199999999999999E-2</v>
      </c>
      <c r="H11703" s="2">
        <v>2.63E-2</v>
      </c>
      <c r="I11703" s="2">
        <v>1.7100000000000001E-2</v>
      </c>
      <c r="J11703" s="2">
        <v>1.5699999999999999E-2</v>
      </c>
      <c r="K11703" s="2">
        <v>9.7000000000000003E-3</v>
      </c>
      <c r="L11703" s="2">
        <v>3.8E-3</v>
      </c>
      <c r="M11703">
        <v>1463</v>
      </c>
    </row>
    <row r="11704" spans="1:13" x14ac:dyDescent="0.35">
      <c r="A11704" t="s">
        <v>227</v>
      </c>
      <c r="B11704" t="s">
        <v>347</v>
      </c>
      <c r="C11704" s="2">
        <v>0.67630000000000001</v>
      </c>
      <c r="D11704" s="2">
        <v>0.1605</v>
      </c>
      <c r="E11704" s="2">
        <v>0.1305</v>
      </c>
      <c r="F11704" s="2">
        <v>0.1163</v>
      </c>
      <c r="G11704" s="2">
        <v>4.8599999999999997E-2</v>
      </c>
      <c r="H11704" s="2">
        <v>5.6800000000000003E-2</v>
      </c>
      <c r="I11704" s="2">
        <v>9.9299999999999999E-2</v>
      </c>
      <c r="J11704" s="2">
        <v>6.7900000000000002E-2</v>
      </c>
      <c r="K11704" s="2">
        <v>7.7700000000000005E-2</v>
      </c>
      <c r="L11704" s="2">
        <v>2.2700000000000001E-2</v>
      </c>
      <c r="M11704">
        <v>585</v>
      </c>
    </row>
    <row r="11705" spans="1:13" x14ac:dyDescent="0.35">
      <c r="A11705" t="s">
        <v>227</v>
      </c>
      <c r="B11705" t="s">
        <v>348</v>
      </c>
      <c r="C11705" s="2">
        <v>0.74309999999999998</v>
      </c>
      <c r="D11705" s="2">
        <v>0.1231</v>
      </c>
      <c r="E11705" s="2">
        <v>9.98E-2</v>
      </c>
      <c r="F11705" s="2">
        <v>0.106</v>
      </c>
      <c r="G11705" s="2">
        <v>2.9499999999999998E-2</v>
      </c>
      <c r="H11705" s="2">
        <v>6.2100000000000002E-2</v>
      </c>
      <c r="I11705" s="2">
        <v>7.4700000000000003E-2</v>
      </c>
      <c r="J11705" s="2">
        <v>3.09E-2</v>
      </c>
      <c r="K11705" s="2">
        <v>3.7600000000000001E-2</v>
      </c>
      <c r="L11705" s="2">
        <v>1.01E-2</v>
      </c>
      <c r="M11705">
        <v>765</v>
      </c>
    </row>
    <row r="11706" spans="1:13" x14ac:dyDescent="0.35">
      <c r="A11706" t="s">
        <v>228</v>
      </c>
      <c r="B11706" t="s">
        <v>228</v>
      </c>
      <c r="C11706" s="2">
        <v>0.86360000000000003</v>
      </c>
      <c r="D11706" s="2">
        <v>5.2600000000000001E-2</v>
      </c>
      <c r="E11706" s="2">
        <v>4.7800000000000002E-2</v>
      </c>
      <c r="F11706" s="2">
        <v>3.8100000000000002E-2</v>
      </c>
      <c r="G11706" s="2">
        <v>3.1699999999999999E-2</v>
      </c>
      <c r="H11706" s="2">
        <v>3.0800000000000001E-2</v>
      </c>
      <c r="I11706" s="2">
        <v>2.5600000000000001E-2</v>
      </c>
      <c r="J11706" s="2">
        <v>1.9E-2</v>
      </c>
      <c r="K11706" s="2">
        <v>1.49E-2</v>
      </c>
      <c r="L11706" s="2">
        <v>5.0000000000000001E-3</v>
      </c>
      <c r="M11706">
        <v>2813</v>
      </c>
    </row>
    <row r="11708" spans="1:13" x14ac:dyDescent="0.35">
      <c r="A11708" s="1" t="s">
        <v>2676</v>
      </c>
    </row>
    <row r="11709" spans="1:13" x14ac:dyDescent="0.35">
      <c r="A11709" t="s">
        <v>219</v>
      </c>
      <c r="B11709" t="s">
        <v>301</v>
      </c>
      <c r="C11709" t="s">
        <v>1846</v>
      </c>
      <c r="D11709" t="s">
        <v>2659</v>
      </c>
      <c r="E11709" t="s">
        <v>2660</v>
      </c>
      <c r="F11709" t="s">
        <v>2661</v>
      </c>
      <c r="G11709" t="s">
        <v>277</v>
      </c>
      <c r="H11709" t="s">
        <v>2662</v>
      </c>
      <c r="I11709" t="s">
        <v>2663</v>
      </c>
      <c r="J11709" t="s">
        <v>2664</v>
      </c>
      <c r="K11709" t="s">
        <v>2665</v>
      </c>
      <c r="L11709" t="s">
        <v>282</v>
      </c>
      <c r="M11709" t="s">
        <v>226</v>
      </c>
    </row>
    <row r="11710" spans="1:13" x14ac:dyDescent="0.35">
      <c r="A11710" t="s">
        <v>227</v>
      </c>
      <c r="B11710" t="s">
        <v>251</v>
      </c>
      <c r="C11710" s="2">
        <v>0.87819999999999998</v>
      </c>
      <c r="D11710" s="2">
        <v>4.5499999999999999E-2</v>
      </c>
      <c r="E11710" s="2">
        <v>4.02E-2</v>
      </c>
      <c r="F11710" s="2">
        <v>3.44E-2</v>
      </c>
      <c r="G11710" s="2">
        <v>3.0200000000000001E-2</v>
      </c>
      <c r="H11710" s="2">
        <v>1.61E-2</v>
      </c>
      <c r="I11710" s="2">
        <v>2.0299999999999999E-2</v>
      </c>
      <c r="J11710" s="2">
        <v>1.6799999999999999E-2</v>
      </c>
      <c r="K11710" s="2">
        <v>1.34E-2</v>
      </c>
      <c r="L11710" s="2">
        <v>5.7000000000000002E-3</v>
      </c>
      <c r="M11710">
        <v>2030</v>
      </c>
    </row>
    <row r="11711" spans="1:13" x14ac:dyDescent="0.35">
      <c r="A11711" t="s">
        <v>227</v>
      </c>
      <c r="B11711" t="s">
        <v>252</v>
      </c>
      <c r="C11711" s="2">
        <v>0.83069999999999999</v>
      </c>
      <c r="D11711" s="2">
        <v>7.4399999999999994E-2</v>
      </c>
      <c r="E11711" s="2">
        <v>6.3700000000000007E-2</v>
      </c>
      <c r="F11711" s="2">
        <v>4.5999999999999999E-2</v>
      </c>
      <c r="G11711" s="2">
        <v>3.5999999999999997E-2</v>
      </c>
      <c r="H11711" s="2">
        <v>7.0300000000000001E-2</v>
      </c>
      <c r="I11711" s="2">
        <v>3.7499999999999999E-2</v>
      </c>
      <c r="J11711" s="2">
        <v>2.1999999999999999E-2</v>
      </c>
      <c r="K11711" s="2">
        <v>1.66E-2</v>
      </c>
      <c r="L11711" s="2">
        <v>3.2000000000000002E-3</v>
      </c>
      <c r="M11711">
        <v>621</v>
      </c>
    </row>
    <row r="11712" spans="1:13" x14ac:dyDescent="0.35">
      <c r="A11712" t="s">
        <v>227</v>
      </c>
      <c r="B11712" t="s">
        <v>253</v>
      </c>
      <c r="C11712" s="2">
        <v>0.80479999999999996</v>
      </c>
      <c r="D11712" s="2">
        <v>5.62E-2</v>
      </c>
      <c r="E11712" s="2">
        <v>8.2900000000000001E-2</v>
      </c>
      <c r="F11712" s="2">
        <v>5.6300000000000003E-2</v>
      </c>
      <c r="G11712" s="2">
        <v>3.4799999999999998E-2</v>
      </c>
      <c r="H11712" s="2">
        <v>5.9799999999999999E-2</v>
      </c>
      <c r="I11712" s="2">
        <v>4.5999999999999999E-2</v>
      </c>
      <c r="J11712" s="2">
        <v>3.7699999999999997E-2</v>
      </c>
      <c r="K11712" s="2">
        <v>2.7900000000000001E-2</v>
      </c>
      <c r="L11712" s="2">
        <v>1.6999999999999999E-3</v>
      </c>
      <c r="M11712">
        <v>153</v>
      </c>
    </row>
    <row r="11713" spans="1:13" x14ac:dyDescent="0.35">
      <c r="A11713" s="3" t="s">
        <v>227</v>
      </c>
      <c r="B11713" s="3" t="s">
        <v>254</v>
      </c>
      <c r="C11713" s="4">
        <v>0.94199999999999995</v>
      </c>
      <c r="D11713" s="5"/>
      <c r="E11713" s="5"/>
      <c r="F11713" s="5"/>
      <c r="G11713" s="5"/>
      <c r="H11713" s="5"/>
      <c r="I11713" s="5"/>
      <c r="J11713" s="5"/>
      <c r="K11713" s="5"/>
      <c r="L11713" s="4">
        <v>5.8000000000000003E-2</v>
      </c>
      <c r="M11713" s="5" t="s">
        <v>515</v>
      </c>
    </row>
    <row r="11714" spans="1:13" x14ac:dyDescent="0.35">
      <c r="A11714" t="s">
        <v>228</v>
      </c>
      <c r="B11714" t="s">
        <v>228</v>
      </c>
      <c r="C11714" s="2">
        <v>0.86360000000000003</v>
      </c>
      <c r="D11714" s="2">
        <v>5.2600000000000001E-2</v>
      </c>
      <c r="E11714" s="2">
        <v>4.7800000000000002E-2</v>
      </c>
      <c r="F11714" s="2">
        <v>3.8100000000000002E-2</v>
      </c>
      <c r="G11714" s="2">
        <v>3.1699999999999999E-2</v>
      </c>
      <c r="H11714" s="2">
        <v>3.0800000000000001E-2</v>
      </c>
      <c r="I11714" s="2">
        <v>2.5600000000000001E-2</v>
      </c>
      <c r="J11714" s="2">
        <v>1.9E-2</v>
      </c>
      <c r="K11714" s="2">
        <v>1.49E-2</v>
      </c>
      <c r="L11714" s="2">
        <v>5.0000000000000001E-3</v>
      </c>
      <c r="M11714">
        <v>2813</v>
      </c>
    </row>
    <row r="11716" spans="1:13" x14ac:dyDescent="0.35">
      <c r="A11716" s="1" t="s">
        <v>2677</v>
      </c>
    </row>
    <row r="11717" spans="1:13" x14ac:dyDescent="0.35">
      <c r="A11717" t="s">
        <v>219</v>
      </c>
      <c r="B11717" t="s">
        <v>301</v>
      </c>
      <c r="C11717" t="s">
        <v>1846</v>
      </c>
      <c r="D11717" t="s">
        <v>2659</v>
      </c>
      <c r="E11717" t="s">
        <v>2660</v>
      </c>
      <c r="F11717" t="s">
        <v>2661</v>
      </c>
      <c r="G11717" t="s">
        <v>277</v>
      </c>
      <c r="H11717" t="s">
        <v>2662</v>
      </c>
      <c r="I11717" t="s">
        <v>2663</v>
      </c>
      <c r="J11717" t="s">
        <v>2664</v>
      </c>
      <c r="K11717" t="s">
        <v>2665</v>
      </c>
      <c r="L11717" t="s">
        <v>282</v>
      </c>
      <c r="M11717" t="s">
        <v>226</v>
      </c>
    </row>
    <row r="11718" spans="1:13" x14ac:dyDescent="0.35">
      <c r="A11718" t="s">
        <v>227</v>
      </c>
      <c r="B11718" t="s">
        <v>1335</v>
      </c>
      <c r="C11718" s="2">
        <v>0.84760000000000002</v>
      </c>
      <c r="D11718" s="2">
        <v>6.2899999999999998E-2</v>
      </c>
      <c r="E11718" s="2">
        <v>5.3100000000000001E-2</v>
      </c>
      <c r="F11718" s="2">
        <v>4.5199999999999997E-2</v>
      </c>
      <c r="G11718" s="2">
        <v>4.2900000000000001E-2</v>
      </c>
      <c r="H11718" s="2">
        <v>3.2099999999999997E-2</v>
      </c>
      <c r="I11718" s="2">
        <v>3.1699999999999999E-2</v>
      </c>
      <c r="J11718" s="2">
        <v>1.6899999999999998E-2</v>
      </c>
      <c r="K11718" s="2">
        <v>0.02</v>
      </c>
      <c r="L11718" s="2">
        <v>5.7000000000000002E-3</v>
      </c>
      <c r="M11718">
        <v>848</v>
      </c>
    </row>
    <row r="11719" spans="1:13" x14ac:dyDescent="0.35">
      <c r="A11719" s="3" t="s">
        <v>227</v>
      </c>
      <c r="B11719" s="3" t="s">
        <v>1336</v>
      </c>
      <c r="C11719" s="4">
        <v>1</v>
      </c>
      <c r="D11719" s="5"/>
      <c r="E11719" s="5"/>
      <c r="F11719" s="5"/>
      <c r="G11719" s="5"/>
      <c r="H11719" s="5"/>
      <c r="I11719" s="5"/>
      <c r="J11719" s="5"/>
      <c r="K11719" s="5"/>
      <c r="L11719" s="5"/>
      <c r="M11719" s="5" t="s">
        <v>434</v>
      </c>
    </row>
    <row r="11720" spans="1:13" x14ac:dyDescent="0.35">
      <c r="A11720" t="s">
        <v>227</v>
      </c>
      <c r="B11720" t="s">
        <v>1337</v>
      </c>
      <c r="C11720" s="2">
        <v>0.87129999999999996</v>
      </c>
      <c r="D11720" s="2">
        <v>4.7600000000000003E-2</v>
      </c>
      <c r="E11720" s="2">
        <v>4.5199999999999997E-2</v>
      </c>
      <c r="F11720" s="2">
        <v>3.4599999999999999E-2</v>
      </c>
      <c r="G11720" s="2">
        <v>2.6200000000000001E-2</v>
      </c>
      <c r="H11720" s="2">
        <v>3.0200000000000001E-2</v>
      </c>
      <c r="I11720" s="2">
        <v>2.2499999999999999E-2</v>
      </c>
      <c r="J11720" s="2">
        <v>2.01E-2</v>
      </c>
      <c r="K11720" s="2">
        <v>1.24E-2</v>
      </c>
      <c r="L11720" s="2">
        <v>4.7000000000000002E-3</v>
      </c>
      <c r="M11720">
        <v>1963</v>
      </c>
    </row>
    <row r="11721" spans="1:13" x14ac:dyDescent="0.35">
      <c r="A11721" t="s">
        <v>228</v>
      </c>
      <c r="B11721" t="s">
        <v>228</v>
      </c>
      <c r="C11721" s="2">
        <v>0.86360000000000003</v>
      </c>
      <c r="D11721" s="2">
        <v>5.2600000000000001E-2</v>
      </c>
      <c r="E11721" s="2">
        <v>4.7800000000000002E-2</v>
      </c>
      <c r="F11721" s="2">
        <v>3.8100000000000002E-2</v>
      </c>
      <c r="G11721" s="2">
        <v>3.1699999999999999E-2</v>
      </c>
      <c r="H11721" s="2">
        <v>3.0800000000000001E-2</v>
      </c>
      <c r="I11721" s="2">
        <v>2.5600000000000001E-2</v>
      </c>
      <c r="J11721" s="2">
        <v>1.9E-2</v>
      </c>
      <c r="K11721" s="2">
        <v>1.49E-2</v>
      </c>
      <c r="L11721" s="2">
        <v>5.0000000000000001E-3</v>
      </c>
      <c r="M11721">
        <v>2813</v>
      </c>
    </row>
    <row r="11723" spans="1:13" x14ac:dyDescent="0.35">
      <c r="A11723" s="1" t="s">
        <v>2678</v>
      </c>
    </row>
    <row r="11724" spans="1:13" x14ac:dyDescent="0.35">
      <c r="A11724" t="s">
        <v>219</v>
      </c>
      <c r="B11724" t="s">
        <v>301</v>
      </c>
      <c r="C11724" t="s">
        <v>1846</v>
      </c>
      <c r="D11724" t="s">
        <v>2659</v>
      </c>
      <c r="E11724" t="s">
        <v>2660</v>
      </c>
      <c r="F11724" t="s">
        <v>2661</v>
      </c>
      <c r="G11724" t="s">
        <v>277</v>
      </c>
      <c r="H11724" t="s">
        <v>2662</v>
      </c>
      <c r="I11724" t="s">
        <v>2663</v>
      </c>
      <c r="J11724" t="s">
        <v>2664</v>
      </c>
      <c r="K11724" t="s">
        <v>2665</v>
      </c>
      <c r="L11724" t="s">
        <v>282</v>
      </c>
      <c r="M11724" t="s">
        <v>226</v>
      </c>
    </row>
    <row r="11725" spans="1:13" x14ac:dyDescent="0.35">
      <c r="A11725" t="s">
        <v>227</v>
      </c>
      <c r="B11725" t="s">
        <v>1339</v>
      </c>
      <c r="C11725" s="2">
        <v>0.84889999999999999</v>
      </c>
      <c r="D11725" s="2">
        <v>0.1215</v>
      </c>
      <c r="E11725" s="2">
        <v>3.9600000000000003E-2</v>
      </c>
      <c r="F11725" s="2">
        <v>1.12E-2</v>
      </c>
      <c r="H11725" s="2">
        <v>4.7699999999999999E-2</v>
      </c>
      <c r="I11725" s="2">
        <v>0.01</v>
      </c>
      <c r="J11725" s="2">
        <v>0.01</v>
      </c>
      <c r="K11725" s="2">
        <v>0.01</v>
      </c>
      <c r="M11725">
        <v>51</v>
      </c>
    </row>
    <row r="11726" spans="1:13" x14ac:dyDescent="0.35">
      <c r="A11726" t="s">
        <v>227</v>
      </c>
      <c r="B11726" t="s">
        <v>1340</v>
      </c>
      <c r="C11726" s="2">
        <v>0.80620000000000003</v>
      </c>
      <c r="D11726" s="2">
        <v>8.8700000000000001E-2</v>
      </c>
      <c r="E11726" s="2">
        <v>8.1000000000000003E-2</v>
      </c>
      <c r="F11726" s="2">
        <v>6.1699999999999998E-2</v>
      </c>
      <c r="G11726" s="2">
        <v>3.9E-2</v>
      </c>
      <c r="H11726" s="2">
        <v>4.4299999999999999E-2</v>
      </c>
      <c r="I11726" s="2">
        <v>4.41E-2</v>
      </c>
      <c r="J11726" s="2">
        <v>2.3099999999999999E-2</v>
      </c>
      <c r="K11726" s="2">
        <v>3.1800000000000002E-2</v>
      </c>
      <c r="L11726" s="2">
        <v>4.0000000000000001E-3</v>
      </c>
      <c r="M11726">
        <v>729</v>
      </c>
    </row>
    <row r="11727" spans="1:13" x14ac:dyDescent="0.35">
      <c r="A11727" t="s">
        <v>227</v>
      </c>
      <c r="B11727" t="s">
        <v>1341</v>
      </c>
      <c r="C11727" s="2">
        <v>0.87250000000000005</v>
      </c>
      <c r="D11727" s="2">
        <v>4.8599999999999997E-2</v>
      </c>
      <c r="E11727" s="2">
        <v>4.5100000000000001E-2</v>
      </c>
      <c r="F11727" s="2">
        <v>3.5000000000000003E-2</v>
      </c>
      <c r="G11727" s="2">
        <v>2.7799999999999998E-2</v>
      </c>
      <c r="H11727" s="2">
        <v>3.5900000000000001E-2</v>
      </c>
      <c r="I11727" s="2">
        <v>2.2800000000000001E-2</v>
      </c>
      <c r="J11727" s="2">
        <v>2.1399999999999999E-2</v>
      </c>
      <c r="K11727" s="2">
        <v>1.1299999999999999E-2</v>
      </c>
      <c r="L11727" s="2">
        <v>4.7000000000000002E-3</v>
      </c>
      <c r="M11727">
        <v>1344</v>
      </c>
    </row>
    <row r="11728" spans="1:13" x14ac:dyDescent="0.35">
      <c r="A11728" t="s">
        <v>227</v>
      </c>
      <c r="B11728" t="s">
        <v>1342</v>
      </c>
      <c r="C11728" s="2">
        <v>0.9042</v>
      </c>
      <c r="D11728" s="2">
        <v>1.7999999999999999E-2</v>
      </c>
      <c r="E11728" s="2">
        <v>2.06E-2</v>
      </c>
      <c r="F11728" s="2">
        <v>2.3400000000000001E-2</v>
      </c>
      <c r="G11728" s="2">
        <v>3.5799999999999998E-2</v>
      </c>
      <c r="H11728" s="2">
        <v>4.4000000000000003E-3</v>
      </c>
      <c r="I11728" s="2">
        <v>1.43E-2</v>
      </c>
      <c r="J11728" s="2">
        <v>1.0500000000000001E-2</v>
      </c>
      <c r="K11728" s="2">
        <v>5.8999999999999999E-3</v>
      </c>
      <c r="L11728" s="2">
        <v>7.3000000000000001E-3</v>
      </c>
      <c r="M11728">
        <v>689</v>
      </c>
    </row>
    <row r="11729" spans="1:14" x14ac:dyDescent="0.35">
      <c r="A11729" t="s">
        <v>228</v>
      </c>
      <c r="B11729" t="s">
        <v>228</v>
      </c>
      <c r="C11729" s="2">
        <v>0.86360000000000003</v>
      </c>
      <c r="D11729" s="2">
        <v>5.2600000000000001E-2</v>
      </c>
      <c r="E11729" s="2">
        <v>4.7800000000000002E-2</v>
      </c>
      <c r="F11729" s="2">
        <v>3.8100000000000002E-2</v>
      </c>
      <c r="G11729" s="2">
        <v>3.1699999999999999E-2</v>
      </c>
      <c r="H11729" s="2">
        <v>3.0800000000000001E-2</v>
      </c>
      <c r="I11729" s="2">
        <v>2.5600000000000001E-2</v>
      </c>
      <c r="J11729" s="2">
        <v>1.9E-2</v>
      </c>
      <c r="K11729" s="2">
        <v>1.49E-2</v>
      </c>
      <c r="L11729" s="2">
        <v>5.0000000000000001E-3</v>
      </c>
      <c r="M11729">
        <v>2813</v>
      </c>
    </row>
    <row r="11731" spans="1:14" x14ac:dyDescent="0.35">
      <c r="A11731" s="1" t="s">
        <v>2679</v>
      </c>
    </row>
    <row r="11732" spans="1:14" x14ac:dyDescent="0.35">
      <c r="A11732" t="s">
        <v>219</v>
      </c>
      <c r="B11732" t="s">
        <v>301</v>
      </c>
      <c r="C11732" t="s">
        <v>325</v>
      </c>
      <c r="D11732" t="s">
        <v>1846</v>
      </c>
      <c r="E11732" t="s">
        <v>2659</v>
      </c>
      <c r="F11732" t="s">
        <v>2660</v>
      </c>
      <c r="G11732" t="s">
        <v>2661</v>
      </c>
      <c r="H11732" t="s">
        <v>277</v>
      </c>
      <c r="I11732" t="s">
        <v>2662</v>
      </c>
      <c r="J11732" t="s">
        <v>2663</v>
      </c>
      <c r="K11732" t="s">
        <v>2664</v>
      </c>
      <c r="L11732" t="s">
        <v>2665</v>
      </c>
      <c r="M11732" t="s">
        <v>282</v>
      </c>
      <c r="N11732" t="s">
        <v>226</v>
      </c>
    </row>
    <row r="11733" spans="1:14" x14ac:dyDescent="0.35">
      <c r="A11733" s="3" t="s">
        <v>227</v>
      </c>
      <c r="B11733" s="3" t="s">
        <v>1335</v>
      </c>
      <c r="C11733" s="3" t="s">
        <v>1339</v>
      </c>
      <c r="D11733" s="4">
        <v>0.86980000000000002</v>
      </c>
      <c r="E11733" s="4">
        <v>0.13020000000000001</v>
      </c>
      <c r="F11733" s="4">
        <v>2.7300000000000001E-2</v>
      </c>
      <c r="G11733" s="4">
        <v>2.7300000000000001E-2</v>
      </c>
      <c r="H11733" s="5"/>
      <c r="I11733" s="4">
        <v>0.13020000000000001</v>
      </c>
      <c r="J11733" s="4">
        <v>2.7300000000000001E-2</v>
      </c>
      <c r="K11733" s="4">
        <v>2.7300000000000001E-2</v>
      </c>
      <c r="L11733" s="4">
        <v>2.7300000000000001E-2</v>
      </c>
      <c r="M11733" s="5"/>
      <c r="N11733" s="5" t="s">
        <v>427</v>
      </c>
    </row>
    <row r="11734" spans="1:14" x14ac:dyDescent="0.35">
      <c r="A11734" t="s">
        <v>227</v>
      </c>
      <c r="B11734" t="s">
        <v>1335</v>
      </c>
      <c r="C11734" t="s">
        <v>1340</v>
      </c>
      <c r="D11734" s="2">
        <v>0.76719999999999999</v>
      </c>
      <c r="E11734" s="2">
        <v>0.1384</v>
      </c>
      <c r="F11734" s="2">
        <v>9.7600000000000006E-2</v>
      </c>
      <c r="G11734" s="2">
        <v>9.9000000000000005E-2</v>
      </c>
      <c r="H11734" s="2">
        <v>4.4299999999999999E-2</v>
      </c>
      <c r="I11734" s="2">
        <v>3.9100000000000003E-2</v>
      </c>
      <c r="J11734" s="2">
        <v>5.6500000000000002E-2</v>
      </c>
      <c r="K11734" s="2">
        <v>3.9100000000000003E-2</v>
      </c>
      <c r="L11734" s="2">
        <v>4.9000000000000002E-2</v>
      </c>
      <c r="M11734" s="2">
        <v>1.1999999999999999E-3</v>
      </c>
      <c r="N11734">
        <v>252</v>
      </c>
    </row>
    <row r="11735" spans="1:14" x14ac:dyDescent="0.35">
      <c r="A11735" t="s">
        <v>227</v>
      </c>
      <c r="B11735" t="s">
        <v>1335</v>
      </c>
      <c r="C11735" t="s">
        <v>1341</v>
      </c>
      <c r="D11735" s="2">
        <v>0.87439999999999996</v>
      </c>
      <c r="E11735" s="2">
        <v>3.85E-2</v>
      </c>
      <c r="F11735" s="2">
        <v>4.6100000000000002E-2</v>
      </c>
      <c r="G11735" s="2">
        <v>2.8899999999999999E-2</v>
      </c>
      <c r="H11735" s="2">
        <v>3.6700000000000003E-2</v>
      </c>
      <c r="I11735" s="2">
        <v>3.5499999999999997E-2</v>
      </c>
      <c r="J11735" s="2">
        <v>2.2499999999999999E-2</v>
      </c>
      <c r="K11735" s="2">
        <v>7.7000000000000002E-3</v>
      </c>
      <c r="L11735" s="2">
        <v>9.7000000000000003E-3</v>
      </c>
      <c r="M11735" s="2">
        <v>8.5000000000000006E-3</v>
      </c>
      <c r="N11735">
        <v>419</v>
      </c>
    </row>
    <row r="11736" spans="1:14" x14ac:dyDescent="0.35">
      <c r="A11736" t="s">
        <v>227</v>
      </c>
      <c r="B11736" t="s">
        <v>1335</v>
      </c>
      <c r="C11736" t="s">
        <v>1342</v>
      </c>
      <c r="D11736" s="2">
        <v>0.88</v>
      </c>
      <c r="E11736" s="2">
        <v>1.95E-2</v>
      </c>
      <c r="F11736" s="2">
        <v>1.6E-2</v>
      </c>
      <c r="G11736" s="2">
        <v>1.9699999999999999E-2</v>
      </c>
      <c r="H11736" s="2">
        <v>6.2899999999999998E-2</v>
      </c>
      <c r="I11736" s="2">
        <v>1.1000000000000001E-3</v>
      </c>
      <c r="J11736" s="2">
        <v>2.3800000000000002E-2</v>
      </c>
      <c r="K11736" s="2">
        <v>1.0999999999999999E-2</v>
      </c>
      <c r="L11736" s="2">
        <v>7.9000000000000008E-3</v>
      </c>
      <c r="M11736" s="2">
        <v>4.8999999999999998E-3</v>
      </c>
      <c r="N11736">
        <v>157</v>
      </c>
    </row>
    <row r="11737" spans="1:14" x14ac:dyDescent="0.35">
      <c r="A11737" s="3" t="s">
        <v>227</v>
      </c>
      <c r="B11737" s="3" t="s">
        <v>1336</v>
      </c>
      <c r="C11737" s="3" t="s">
        <v>1341</v>
      </c>
      <c r="D11737" s="4">
        <v>1</v>
      </c>
      <c r="E11737" s="5"/>
      <c r="F11737" s="5"/>
      <c r="G11737" s="5"/>
      <c r="H11737" s="5"/>
      <c r="I11737" s="5"/>
      <c r="J11737" s="5"/>
      <c r="K11737" s="5"/>
      <c r="L11737" s="5"/>
      <c r="M11737" s="5"/>
      <c r="N11737" s="5" t="s">
        <v>434</v>
      </c>
    </row>
    <row r="11738" spans="1:14" x14ac:dyDescent="0.35">
      <c r="A11738" t="s">
        <v>227</v>
      </c>
      <c r="B11738" t="s">
        <v>1337</v>
      </c>
      <c r="C11738" t="s">
        <v>1339</v>
      </c>
      <c r="D11738" s="2">
        <v>0.83689999999999998</v>
      </c>
      <c r="E11738" s="2">
        <v>0.11650000000000001</v>
      </c>
      <c r="F11738" s="2">
        <v>4.6699999999999998E-2</v>
      </c>
      <c r="G11738" s="2">
        <v>1.8E-3</v>
      </c>
      <c r="N11738">
        <v>31</v>
      </c>
    </row>
    <row r="11739" spans="1:14" x14ac:dyDescent="0.35">
      <c r="A11739" t="s">
        <v>227</v>
      </c>
      <c r="B11739" t="s">
        <v>1337</v>
      </c>
      <c r="C11739" t="s">
        <v>1340</v>
      </c>
      <c r="D11739" s="2">
        <v>0.82830000000000004</v>
      </c>
      <c r="E11739" s="2">
        <v>6.0400000000000002E-2</v>
      </c>
      <c r="F11739" s="2">
        <v>7.1499999999999994E-2</v>
      </c>
      <c r="G11739" s="2">
        <v>4.0399999999999998E-2</v>
      </c>
      <c r="H11739" s="2">
        <v>3.61E-2</v>
      </c>
      <c r="I11739" s="2">
        <v>4.7300000000000002E-2</v>
      </c>
      <c r="J11739" s="2">
        <v>3.6999999999999998E-2</v>
      </c>
      <c r="K11739" s="2">
        <v>1.4E-2</v>
      </c>
      <c r="L11739" s="2">
        <v>2.2100000000000002E-2</v>
      </c>
      <c r="M11739" s="2">
        <v>5.5999999999999999E-3</v>
      </c>
      <c r="N11739">
        <v>477</v>
      </c>
    </row>
    <row r="11740" spans="1:14" x14ac:dyDescent="0.35">
      <c r="A11740" t="s">
        <v>227</v>
      </c>
      <c r="B11740" t="s">
        <v>1337</v>
      </c>
      <c r="C11740" t="s">
        <v>1341</v>
      </c>
      <c r="D11740" s="2">
        <v>0.87090000000000001</v>
      </c>
      <c r="E11740" s="2">
        <v>5.4100000000000002E-2</v>
      </c>
      <c r="F11740" s="2">
        <v>4.48E-2</v>
      </c>
      <c r="G11740" s="2">
        <v>3.8399999999999997E-2</v>
      </c>
      <c r="H11740" s="2">
        <v>2.3099999999999999E-2</v>
      </c>
      <c r="I11740" s="2">
        <v>3.6299999999999999E-2</v>
      </c>
      <c r="J11740" s="2">
        <v>2.3E-2</v>
      </c>
      <c r="K11740" s="2">
        <v>2.8899999999999999E-2</v>
      </c>
      <c r="L11740" s="2">
        <v>1.2200000000000001E-2</v>
      </c>
      <c r="M11740" s="2">
        <v>2.7000000000000001E-3</v>
      </c>
      <c r="N11740">
        <v>923</v>
      </c>
    </row>
    <row r="11741" spans="1:14" x14ac:dyDescent="0.35">
      <c r="A11741" t="s">
        <v>227</v>
      </c>
      <c r="B11741" t="s">
        <v>1337</v>
      </c>
      <c r="C11741" t="s">
        <v>1342</v>
      </c>
      <c r="D11741" s="2">
        <v>0.91339999999999999</v>
      </c>
      <c r="E11741" s="2">
        <v>1.7500000000000002E-2</v>
      </c>
      <c r="F11741" s="2">
        <v>2.23E-2</v>
      </c>
      <c r="G11741" s="2">
        <v>2.4899999999999999E-2</v>
      </c>
      <c r="H11741" s="2">
        <v>2.5399999999999999E-2</v>
      </c>
      <c r="I11741" s="2">
        <v>5.5999999999999999E-3</v>
      </c>
      <c r="J11741" s="2">
        <v>1.06E-2</v>
      </c>
      <c r="K11741" s="2">
        <v>1.03E-2</v>
      </c>
      <c r="L11741" s="2">
        <v>5.1000000000000004E-3</v>
      </c>
      <c r="M11741" s="2">
        <v>8.2000000000000007E-3</v>
      </c>
      <c r="N11741">
        <v>532</v>
      </c>
    </row>
    <row r="11742" spans="1:14" x14ac:dyDescent="0.35">
      <c r="A11742" t="s">
        <v>228</v>
      </c>
      <c r="B11742" t="s">
        <v>228</v>
      </c>
      <c r="C11742" t="s">
        <v>228</v>
      </c>
      <c r="D11742" s="2">
        <v>0.86360000000000003</v>
      </c>
      <c r="E11742" s="2">
        <v>5.2600000000000001E-2</v>
      </c>
      <c r="F11742" s="2">
        <v>4.7800000000000002E-2</v>
      </c>
      <c r="G11742" s="2">
        <v>3.8100000000000002E-2</v>
      </c>
      <c r="H11742" s="2">
        <v>3.1699999999999999E-2</v>
      </c>
      <c r="I11742" s="2">
        <v>3.0800000000000001E-2</v>
      </c>
      <c r="J11742" s="2">
        <v>2.5600000000000001E-2</v>
      </c>
      <c r="K11742" s="2">
        <v>1.9E-2</v>
      </c>
      <c r="L11742" s="2">
        <v>1.49E-2</v>
      </c>
      <c r="M11742" s="2">
        <v>5.0000000000000001E-3</v>
      </c>
      <c r="N11742">
        <v>2813</v>
      </c>
    </row>
    <row r="11744" spans="1:14" x14ac:dyDescent="0.35">
      <c r="A11744" s="1" t="s">
        <v>2680</v>
      </c>
    </row>
    <row r="11745" spans="1:18" x14ac:dyDescent="0.35">
      <c r="A11745" t="s">
        <v>219</v>
      </c>
      <c r="B11745" t="s">
        <v>2681</v>
      </c>
      <c r="C11745" t="s">
        <v>2682</v>
      </c>
      <c r="D11745" t="s">
        <v>2683</v>
      </c>
      <c r="E11745" t="s">
        <v>2684</v>
      </c>
      <c r="F11745" t="s">
        <v>2685</v>
      </c>
      <c r="G11745" t="s">
        <v>2686</v>
      </c>
      <c r="H11745" t="s">
        <v>2687</v>
      </c>
      <c r="I11745" t="s">
        <v>2688</v>
      </c>
      <c r="J11745" t="s">
        <v>277</v>
      </c>
      <c r="K11745" t="s">
        <v>2689</v>
      </c>
      <c r="L11745" t="s">
        <v>2690</v>
      </c>
      <c r="M11745" t="s">
        <v>2691</v>
      </c>
      <c r="N11745" t="s">
        <v>2692</v>
      </c>
      <c r="O11745" t="s">
        <v>282</v>
      </c>
      <c r="P11745" t="s">
        <v>2693</v>
      </c>
      <c r="Q11745" t="s">
        <v>226</v>
      </c>
    </row>
    <row r="11746" spans="1:18" x14ac:dyDescent="0.35">
      <c r="A11746" t="s">
        <v>227</v>
      </c>
      <c r="B11746" s="2">
        <v>0.503</v>
      </c>
      <c r="C11746" s="2">
        <v>0.24610000000000001</v>
      </c>
      <c r="D11746" s="2">
        <v>0.12909999999999999</v>
      </c>
      <c r="E11746" s="2">
        <v>6.9500000000000006E-2</v>
      </c>
      <c r="F11746" s="2">
        <v>6.6600000000000006E-2</v>
      </c>
      <c r="G11746" s="2">
        <v>5.0700000000000002E-2</v>
      </c>
      <c r="H11746" s="2">
        <v>3.5900000000000001E-2</v>
      </c>
      <c r="I11746" s="2">
        <v>3.3399999999999999E-2</v>
      </c>
      <c r="J11746" s="2">
        <v>2.8799999999999999E-2</v>
      </c>
      <c r="K11746" s="2">
        <v>2.5600000000000001E-2</v>
      </c>
      <c r="L11746" s="2">
        <v>2.35E-2</v>
      </c>
      <c r="M11746" s="2">
        <v>1.9199999999999998E-2</v>
      </c>
      <c r="N11746" s="2">
        <v>0.01</v>
      </c>
      <c r="O11746" s="2">
        <v>5.1000000000000004E-3</v>
      </c>
      <c r="P11746" s="2">
        <v>3.5000000000000001E-3</v>
      </c>
      <c r="Q11746">
        <v>2812</v>
      </c>
    </row>
    <row r="11747" spans="1:18" x14ac:dyDescent="0.35">
      <c r="A11747" t="s">
        <v>228</v>
      </c>
      <c r="B11747" s="2">
        <v>0.503</v>
      </c>
      <c r="C11747" s="2">
        <v>0.24610000000000001</v>
      </c>
      <c r="D11747" s="2">
        <v>0.12909999999999999</v>
      </c>
      <c r="E11747" s="2">
        <v>6.9500000000000006E-2</v>
      </c>
      <c r="F11747" s="2">
        <v>6.6600000000000006E-2</v>
      </c>
      <c r="G11747" s="2">
        <v>5.0700000000000002E-2</v>
      </c>
      <c r="H11747" s="2">
        <v>3.5900000000000001E-2</v>
      </c>
      <c r="I11747" s="2">
        <v>3.3399999999999999E-2</v>
      </c>
      <c r="J11747" s="2">
        <v>2.8799999999999999E-2</v>
      </c>
      <c r="K11747" s="2">
        <v>2.5600000000000001E-2</v>
      </c>
      <c r="L11747" s="2">
        <v>2.35E-2</v>
      </c>
      <c r="M11747" s="2">
        <v>1.9199999999999998E-2</v>
      </c>
      <c r="N11747" s="2">
        <v>0.01</v>
      </c>
      <c r="O11747" s="2">
        <v>5.1000000000000004E-3</v>
      </c>
      <c r="P11747" s="2">
        <v>3.5000000000000001E-3</v>
      </c>
      <c r="Q11747">
        <v>2812</v>
      </c>
    </row>
    <row r="11749" spans="1:18" x14ac:dyDescent="0.35">
      <c r="A11749" s="1" t="s">
        <v>2694</v>
      </c>
    </row>
    <row r="11750" spans="1:18" x14ac:dyDescent="0.35">
      <c r="A11750" t="s">
        <v>219</v>
      </c>
      <c r="B11750" t="s">
        <v>301</v>
      </c>
      <c r="C11750" t="s">
        <v>2681</v>
      </c>
      <c r="D11750" t="s">
        <v>2682</v>
      </c>
      <c r="E11750" t="s">
        <v>2683</v>
      </c>
      <c r="F11750" t="s">
        <v>2684</v>
      </c>
      <c r="G11750" t="s">
        <v>2685</v>
      </c>
      <c r="H11750" t="s">
        <v>2686</v>
      </c>
      <c r="I11750" t="s">
        <v>2687</v>
      </c>
      <c r="J11750" t="s">
        <v>2688</v>
      </c>
      <c r="K11750" t="s">
        <v>277</v>
      </c>
      <c r="L11750" t="s">
        <v>2689</v>
      </c>
      <c r="M11750" t="s">
        <v>2690</v>
      </c>
      <c r="N11750" t="s">
        <v>2691</v>
      </c>
      <c r="O11750" t="s">
        <v>2692</v>
      </c>
      <c r="P11750" t="s">
        <v>282</v>
      </c>
      <c r="Q11750" t="s">
        <v>2693</v>
      </c>
      <c r="R11750" t="s">
        <v>226</v>
      </c>
    </row>
    <row r="11751" spans="1:18" x14ac:dyDescent="0.35">
      <c r="A11751" t="s">
        <v>227</v>
      </c>
      <c r="B11751" t="s">
        <v>238</v>
      </c>
      <c r="C11751" s="2">
        <v>0.50539999999999996</v>
      </c>
      <c r="D11751" s="2">
        <v>0.22570000000000001</v>
      </c>
      <c r="E11751" s="2">
        <v>0.1241</v>
      </c>
      <c r="F11751" s="2">
        <v>7.1800000000000003E-2</v>
      </c>
      <c r="G11751" s="2">
        <v>6.1199999999999997E-2</v>
      </c>
      <c r="H11751" s="2">
        <v>5.4800000000000001E-2</v>
      </c>
      <c r="I11751" s="2">
        <v>3.5099999999999999E-2</v>
      </c>
      <c r="J11751" s="2">
        <v>3.27E-2</v>
      </c>
      <c r="K11751" s="2">
        <v>3.6900000000000002E-2</v>
      </c>
      <c r="L11751" s="2">
        <v>2.58E-2</v>
      </c>
      <c r="M11751" s="2">
        <v>3.15E-2</v>
      </c>
      <c r="N11751" s="2">
        <v>2.8899999999999999E-2</v>
      </c>
      <c r="O11751" s="2">
        <v>1.52E-2</v>
      </c>
      <c r="P11751" s="2">
        <v>5.5999999999999999E-3</v>
      </c>
      <c r="Q11751" s="2">
        <v>3.5999999999999999E-3</v>
      </c>
      <c r="R11751">
        <v>1005</v>
      </c>
    </row>
    <row r="11752" spans="1:18" x14ac:dyDescent="0.35">
      <c r="A11752" t="s">
        <v>227</v>
      </c>
      <c r="B11752" t="s">
        <v>237</v>
      </c>
      <c r="C11752" s="2">
        <v>0.50170000000000003</v>
      </c>
      <c r="D11752" s="2">
        <v>0.25790000000000002</v>
      </c>
      <c r="E11752" s="2">
        <v>0.13200000000000001</v>
      </c>
      <c r="F11752" s="2">
        <v>6.8099999999999994E-2</v>
      </c>
      <c r="G11752" s="2">
        <v>6.9800000000000001E-2</v>
      </c>
      <c r="H11752" s="2">
        <v>4.82E-2</v>
      </c>
      <c r="I11752" s="2">
        <v>3.6400000000000002E-2</v>
      </c>
      <c r="J11752" s="2">
        <v>3.3799999999999997E-2</v>
      </c>
      <c r="K11752" s="2">
        <v>2.4E-2</v>
      </c>
      <c r="L11752" s="2">
        <v>2.5499999999999998E-2</v>
      </c>
      <c r="M11752" s="2">
        <v>1.8800000000000001E-2</v>
      </c>
      <c r="N11752" s="2">
        <v>1.3599999999999999E-2</v>
      </c>
      <c r="O11752" s="2">
        <v>7.0000000000000001E-3</v>
      </c>
      <c r="P11752" s="2">
        <v>4.8999999999999998E-3</v>
      </c>
      <c r="Q11752" s="2">
        <v>3.5000000000000001E-3</v>
      </c>
      <c r="R11752">
        <v>1807</v>
      </c>
    </row>
    <row r="11753" spans="1:18" x14ac:dyDescent="0.35">
      <c r="A11753" t="s">
        <v>228</v>
      </c>
      <c r="B11753" t="s">
        <v>228</v>
      </c>
      <c r="C11753" s="2">
        <v>0.503</v>
      </c>
      <c r="D11753" s="2">
        <v>0.24610000000000001</v>
      </c>
      <c r="E11753" s="2">
        <v>0.12909999999999999</v>
      </c>
      <c r="F11753" s="2">
        <v>6.9500000000000006E-2</v>
      </c>
      <c r="G11753" s="2">
        <v>6.6600000000000006E-2</v>
      </c>
      <c r="H11753" s="2">
        <v>5.0700000000000002E-2</v>
      </c>
      <c r="I11753" s="2">
        <v>3.5900000000000001E-2</v>
      </c>
      <c r="J11753" s="2">
        <v>3.3399999999999999E-2</v>
      </c>
      <c r="K11753" s="2">
        <v>2.8799999999999999E-2</v>
      </c>
      <c r="L11753" s="2">
        <v>2.5600000000000001E-2</v>
      </c>
      <c r="M11753" s="2">
        <v>2.35E-2</v>
      </c>
      <c r="N11753" s="2">
        <v>1.9199999999999998E-2</v>
      </c>
      <c r="O11753" s="2">
        <v>0.01</v>
      </c>
      <c r="P11753" s="2">
        <v>5.1000000000000004E-3</v>
      </c>
      <c r="Q11753" s="2">
        <v>3.5000000000000001E-3</v>
      </c>
      <c r="R11753">
        <v>2812</v>
      </c>
    </row>
    <row r="11755" spans="1:18" x14ac:dyDescent="0.35">
      <c r="A11755" s="1" t="s">
        <v>2695</v>
      </c>
    </row>
    <row r="11756" spans="1:18" x14ac:dyDescent="0.35">
      <c r="A11756" t="s">
        <v>219</v>
      </c>
      <c r="B11756" t="s">
        <v>301</v>
      </c>
      <c r="C11756" t="s">
        <v>2681</v>
      </c>
      <c r="D11756" t="s">
        <v>2682</v>
      </c>
      <c r="E11756" t="s">
        <v>2683</v>
      </c>
      <c r="F11756" t="s">
        <v>2684</v>
      </c>
      <c r="G11756" t="s">
        <v>2685</v>
      </c>
      <c r="H11756" t="s">
        <v>2686</v>
      </c>
      <c r="I11756" t="s">
        <v>2687</v>
      </c>
      <c r="J11756" t="s">
        <v>2688</v>
      </c>
      <c r="K11756" t="s">
        <v>277</v>
      </c>
      <c r="L11756" t="s">
        <v>2689</v>
      </c>
      <c r="M11756" t="s">
        <v>2690</v>
      </c>
      <c r="N11756" t="s">
        <v>2691</v>
      </c>
      <c r="O11756" t="s">
        <v>2692</v>
      </c>
      <c r="P11756" t="s">
        <v>282</v>
      </c>
      <c r="Q11756" t="s">
        <v>2693</v>
      </c>
      <c r="R11756" t="s">
        <v>226</v>
      </c>
    </row>
    <row r="11757" spans="1:18" x14ac:dyDescent="0.35">
      <c r="A11757" t="s">
        <v>227</v>
      </c>
      <c r="B11757" t="s">
        <v>235</v>
      </c>
      <c r="C11757" s="2">
        <v>0.51980000000000004</v>
      </c>
      <c r="D11757" s="2">
        <v>0.23200000000000001</v>
      </c>
      <c r="E11757" s="2">
        <v>0.1444</v>
      </c>
      <c r="F11757" s="2">
        <v>4.3400000000000001E-2</v>
      </c>
      <c r="G11757" s="2">
        <v>4.7199999999999999E-2</v>
      </c>
      <c r="H11757" s="2">
        <v>3.2500000000000001E-2</v>
      </c>
      <c r="I11757" s="2">
        <v>1.32E-2</v>
      </c>
      <c r="J11757" s="2">
        <v>1.6299999999999999E-2</v>
      </c>
      <c r="K11757" s="2">
        <v>3.09E-2</v>
      </c>
      <c r="L11757" s="2">
        <v>1.41E-2</v>
      </c>
      <c r="M11757" s="2">
        <v>1.83E-2</v>
      </c>
      <c r="N11757" s="2">
        <v>2.2100000000000002E-2</v>
      </c>
      <c r="O11757" s="2">
        <v>1.2800000000000001E-2</v>
      </c>
      <c r="P11757" s="2">
        <v>7.1000000000000004E-3</v>
      </c>
      <c r="Q11757" s="2">
        <v>4.0000000000000001E-3</v>
      </c>
      <c r="R11757">
        <v>992</v>
      </c>
    </row>
    <row r="11758" spans="1:18" x14ac:dyDescent="0.35">
      <c r="A11758" t="s">
        <v>227</v>
      </c>
      <c r="B11758" t="s">
        <v>234</v>
      </c>
      <c r="C11758" s="2">
        <v>0.496</v>
      </c>
      <c r="D11758" s="2">
        <v>0.25190000000000001</v>
      </c>
      <c r="E11758" s="2">
        <v>0.1227</v>
      </c>
      <c r="F11758" s="2">
        <v>8.0399999999999999E-2</v>
      </c>
      <c r="G11758" s="2">
        <v>7.4700000000000003E-2</v>
      </c>
      <c r="H11758" s="2">
        <v>5.8299999999999998E-2</v>
      </c>
      <c r="I11758" s="2">
        <v>4.5400000000000003E-2</v>
      </c>
      <c r="J11758" s="2">
        <v>4.0599999999999997E-2</v>
      </c>
      <c r="K11758" s="2">
        <v>2.7900000000000001E-2</v>
      </c>
      <c r="L11758" s="2">
        <v>3.04E-2</v>
      </c>
      <c r="M11758" s="2">
        <v>2.5600000000000001E-2</v>
      </c>
      <c r="N11758" s="2">
        <v>1.7999999999999999E-2</v>
      </c>
      <c r="O11758" s="2">
        <v>8.8999999999999999E-3</v>
      </c>
      <c r="P11758" s="2">
        <v>4.4000000000000003E-3</v>
      </c>
      <c r="Q11758" s="2">
        <v>3.3E-3</v>
      </c>
      <c r="R11758">
        <v>1820</v>
      </c>
    </row>
    <row r="11759" spans="1:18" x14ac:dyDescent="0.35">
      <c r="A11759" t="s">
        <v>228</v>
      </c>
      <c r="B11759" t="s">
        <v>228</v>
      </c>
      <c r="C11759" s="2">
        <v>0.503</v>
      </c>
      <c r="D11759" s="2">
        <v>0.24610000000000001</v>
      </c>
      <c r="E11759" s="2">
        <v>0.12909999999999999</v>
      </c>
      <c r="F11759" s="2">
        <v>6.9500000000000006E-2</v>
      </c>
      <c r="G11759" s="2">
        <v>6.6600000000000006E-2</v>
      </c>
      <c r="H11759" s="2">
        <v>5.0700000000000002E-2</v>
      </c>
      <c r="I11759" s="2">
        <v>3.5900000000000001E-2</v>
      </c>
      <c r="J11759" s="2">
        <v>3.3399999999999999E-2</v>
      </c>
      <c r="K11759" s="2">
        <v>2.8799999999999999E-2</v>
      </c>
      <c r="L11759" s="2">
        <v>2.5600000000000001E-2</v>
      </c>
      <c r="M11759" s="2">
        <v>2.35E-2</v>
      </c>
      <c r="N11759" s="2">
        <v>1.9199999999999998E-2</v>
      </c>
      <c r="O11759" s="2">
        <v>0.01</v>
      </c>
      <c r="P11759" s="2">
        <v>5.1000000000000004E-3</v>
      </c>
      <c r="Q11759" s="2">
        <v>3.5000000000000001E-3</v>
      </c>
      <c r="R11759">
        <v>2812</v>
      </c>
    </row>
    <row r="11761" spans="1:18" x14ac:dyDescent="0.35">
      <c r="A11761" s="1" t="s">
        <v>2696</v>
      </c>
    </row>
    <row r="11762" spans="1:18" x14ac:dyDescent="0.35">
      <c r="A11762" t="s">
        <v>219</v>
      </c>
      <c r="B11762" t="s">
        <v>301</v>
      </c>
      <c r="C11762" t="s">
        <v>2681</v>
      </c>
      <c r="D11762" t="s">
        <v>2682</v>
      </c>
      <c r="E11762" t="s">
        <v>2683</v>
      </c>
      <c r="F11762" t="s">
        <v>2684</v>
      </c>
      <c r="G11762" t="s">
        <v>2685</v>
      </c>
      <c r="H11762" t="s">
        <v>2686</v>
      </c>
      <c r="I11762" t="s">
        <v>2687</v>
      </c>
      <c r="J11762" t="s">
        <v>2688</v>
      </c>
      <c r="K11762" t="s">
        <v>277</v>
      </c>
      <c r="L11762" t="s">
        <v>2689</v>
      </c>
      <c r="M11762" t="s">
        <v>2690</v>
      </c>
      <c r="N11762" t="s">
        <v>2691</v>
      </c>
      <c r="O11762" t="s">
        <v>2692</v>
      </c>
      <c r="P11762" t="s">
        <v>282</v>
      </c>
      <c r="Q11762" t="s">
        <v>2693</v>
      </c>
      <c r="R11762" t="s">
        <v>226</v>
      </c>
    </row>
    <row r="11763" spans="1:18" x14ac:dyDescent="0.35">
      <c r="A11763" t="s">
        <v>227</v>
      </c>
      <c r="B11763" t="s">
        <v>240</v>
      </c>
      <c r="C11763" s="2">
        <v>0.4899</v>
      </c>
      <c r="D11763" s="2">
        <v>0.23910000000000001</v>
      </c>
      <c r="E11763" s="2">
        <v>0.1452</v>
      </c>
      <c r="F11763" s="2">
        <v>8.2199999999999995E-2</v>
      </c>
      <c r="G11763" s="2">
        <v>6.83E-2</v>
      </c>
      <c r="H11763" s="2">
        <v>6.0600000000000001E-2</v>
      </c>
      <c r="I11763" s="2">
        <v>3.9399999999999998E-2</v>
      </c>
      <c r="J11763" s="2">
        <v>4.1200000000000001E-2</v>
      </c>
      <c r="K11763" s="2">
        <v>2.3400000000000001E-2</v>
      </c>
      <c r="L11763" s="2">
        <v>3.1399999999999997E-2</v>
      </c>
      <c r="M11763" s="2">
        <v>2.6700000000000002E-2</v>
      </c>
      <c r="N11763" s="2">
        <v>2.18E-2</v>
      </c>
      <c r="O11763" s="2">
        <v>9.9000000000000008E-3</v>
      </c>
      <c r="P11763" s="2">
        <v>7.1000000000000004E-3</v>
      </c>
      <c r="Q11763" s="2">
        <v>3.8999999999999998E-3</v>
      </c>
      <c r="R11763">
        <v>1756</v>
      </c>
    </row>
    <row r="11764" spans="1:18" x14ac:dyDescent="0.35">
      <c r="A11764" t="s">
        <v>227</v>
      </c>
      <c r="B11764" t="s">
        <v>241</v>
      </c>
      <c r="C11764" s="2">
        <v>0.5484</v>
      </c>
      <c r="D11764" s="2">
        <v>0.24490000000000001</v>
      </c>
      <c r="E11764" s="2">
        <v>9.0899999999999995E-2</v>
      </c>
      <c r="F11764" s="2">
        <v>4.07E-2</v>
      </c>
      <c r="G11764" s="2">
        <v>5.7799999999999997E-2</v>
      </c>
      <c r="H11764" s="2">
        <v>3.27E-2</v>
      </c>
      <c r="I11764" s="2">
        <v>2.2800000000000001E-2</v>
      </c>
      <c r="J11764" s="2">
        <v>2.06E-2</v>
      </c>
      <c r="K11764" s="2">
        <v>4.6199999999999998E-2</v>
      </c>
      <c r="L11764" s="2">
        <v>1.4E-2</v>
      </c>
      <c r="M11764" s="2">
        <v>1.8499999999999999E-2</v>
      </c>
      <c r="N11764" s="2">
        <v>1.14E-2</v>
      </c>
      <c r="O11764" s="2">
        <v>6.1000000000000004E-3</v>
      </c>
      <c r="P11764" s="2">
        <v>2E-3</v>
      </c>
      <c r="Q11764" s="2">
        <v>3.5000000000000001E-3</v>
      </c>
      <c r="R11764">
        <v>890</v>
      </c>
    </row>
    <row r="11765" spans="1:18" x14ac:dyDescent="0.35">
      <c r="A11765" t="s">
        <v>227</v>
      </c>
      <c r="B11765" t="s">
        <v>242</v>
      </c>
      <c r="C11765" s="2">
        <v>0.42809999999999998</v>
      </c>
      <c r="D11765" s="2">
        <v>0.31850000000000001</v>
      </c>
      <c r="E11765" s="2">
        <v>0.14410000000000001</v>
      </c>
      <c r="F11765" s="2">
        <v>7.3899999999999993E-2</v>
      </c>
      <c r="G11765" s="2">
        <v>8.9599999999999999E-2</v>
      </c>
      <c r="H11765" s="2">
        <v>3.4700000000000002E-2</v>
      </c>
      <c r="I11765" s="2">
        <v>6.0999999999999999E-2</v>
      </c>
      <c r="J11765" s="2">
        <v>1.46E-2</v>
      </c>
      <c r="K11765" s="2">
        <v>2.5999999999999999E-3</v>
      </c>
      <c r="L11765" s="2">
        <v>2.1600000000000001E-2</v>
      </c>
      <c r="M11765" s="2">
        <v>1.46E-2</v>
      </c>
      <c r="N11765" s="2">
        <v>2.8500000000000001E-2</v>
      </c>
      <c r="O11765" s="2">
        <v>2.86E-2</v>
      </c>
      <c r="Q11765" s="2">
        <v>4.0000000000000002E-4</v>
      </c>
      <c r="R11765">
        <v>166</v>
      </c>
    </row>
    <row r="11766" spans="1:18" x14ac:dyDescent="0.35">
      <c r="A11766" t="s">
        <v>228</v>
      </c>
      <c r="B11766" t="s">
        <v>228</v>
      </c>
      <c r="C11766" s="2">
        <v>0.503</v>
      </c>
      <c r="D11766" s="2">
        <v>0.24610000000000001</v>
      </c>
      <c r="E11766" s="2">
        <v>0.12909999999999999</v>
      </c>
      <c r="F11766" s="2">
        <v>6.9500000000000006E-2</v>
      </c>
      <c r="G11766" s="2">
        <v>6.6600000000000006E-2</v>
      </c>
      <c r="H11766" s="2">
        <v>5.0700000000000002E-2</v>
      </c>
      <c r="I11766" s="2">
        <v>3.5900000000000001E-2</v>
      </c>
      <c r="J11766" s="2">
        <v>3.3399999999999999E-2</v>
      </c>
      <c r="K11766" s="2">
        <v>2.8799999999999999E-2</v>
      </c>
      <c r="L11766" s="2">
        <v>2.5600000000000001E-2</v>
      </c>
      <c r="M11766" s="2">
        <v>2.35E-2</v>
      </c>
      <c r="N11766" s="2">
        <v>1.9199999999999998E-2</v>
      </c>
      <c r="O11766" s="2">
        <v>0.01</v>
      </c>
      <c r="P11766" s="2">
        <v>5.1000000000000004E-3</v>
      </c>
      <c r="Q11766" s="2">
        <v>3.5000000000000001E-3</v>
      </c>
      <c r="R11766">
        <v>2812</v>
      </c>
    </row>
    <row r="11768" spans="1:18" x14ac:dyDescent="0.35">
      <c r="A11768" s="1" t="s">
        <v>2697</v>
      </c>
    </row>
    <row r="11769" spans="1:18" x14ac:dyDescent="0.35">
      <c r="A11769" t="s">
        <v>219</v>
      </c>
      <c r="B11769" t="s">
        <v>301</v>
      </c>
      <c r="C11769" t="s">
        <v>2681</v>
      </c>
      <c r="D11769" t="s">
        <v>2682</v>
      </c>
      <c r="E11769" t="s">
        <v>2683</v>
      </c>
      <c r="F11769" t="s">
        <v>2684</v>
      </c>
      <c r="G11769" t="s">
        <v>2685</v>
      </c>
      <c r="H11769" t="s">
        <v>2686</v>
      </c>
      <c r="I11769" t="s">
        <v>2687</v>
      </c>
      <c r="J11769" t="s">
        <v>2688</v>
      </c>
      <c r="K11769" t="s">
        <v>277</v>
      </c>
      <c r="L11769" t="s">
        <v>2689</v>
      </c>
      <c r="M11769" t="s">
        <v>2690</v>
      </c>
      <c r="N11769" t="s">
        <v>2691</v>
      </c>
      <c r="O11769" t="s">
        <v>2692</v>
      </c>
      <c r="P11769" t="s">
        <v>282</v>
      </c>
      <c r="Q11769" t="s">
        <v>2693</v>
      </c>
      <c r="R11769" t="s">
        <v>226</v>
      </c>
    </row>
    <row r="11770" spans="1:18" x14ac:dyDescent="0.35">
      <c r="A11770" t="s">
        <v>227</v>
      </c>
      <c r="B11770" t="s">
        <v>334</v>
      </c>
      <c r="C11770" s="2">
        <v>0.51019999999999999</v>
      </c>
      <c r="D11770" s="2">
        <v>0.27989999999999998</v>
      </c>
      <c r="E11770" s="2">
        <v>0.10299999999999999</v>
      </c>
      <c r="F11770" s="2">
        <v>3.9899999999999998E-2</v>
      </c>
      <c r="G11770" s="2">
        <v>5.0299999999999997E-2</v>
      </c>
      <c r="H11770" s="2">
        <v>2.7400000000000001E-2</v>
      </c>
      <c r="I11770" s="2">
        <v>3.3300000000000003E-2</v>
      </c>
      <c r="J11770" s="2">
        <v>2.4299999999999999E-2</v>
      </c>
      <c r="K11770" s="2">
        <v>4.0800000000000003E-2</v>
      </c>
      <c r="L11770" s="2">
        <v>2.24E-2</v>
      </c>
      <c r="M11770" s="2">
        <v>3.0599999999999999E-2</v>
      </c>
      <c r="N11770" s="2">
        <v>0.02</v>
      </c>
      <c r="O11770" s="2">
        <v>1.5299999999999999E-2</v>
      </c>
      <c r="P11770" s="2">
        <v>3.3999999999999998E-3</v>
      </c>
      <c r="Q11770" s="2">
        <v>7.1999999999999998E-3</v>
      </c>
      <c r="R11770">
        <v>625</v>
      </c>
    </row>
    <row r="11771" spans="1:18" x14ac:dyDescent="0.35">
      <c r="A11771" t="s">
        <v>227</v>
      </c>
      <c r="B11771" t="s">
        <v>335</v>
      </c>
      <c r="C11771" s="2">
        <v>0.52159999999999995</v>
      </c>
      <c r="D11771" s="2">
        <v>0.2248</v>
      </c>
      <c r="E11771" s="2">
        <v>0.13600000000000001</v>
      </c>
      <c r="F11771" s="2">
        <v>7.9699999999999993E-2</v>
      </c>
      <c r="G11771" s="2">
        <v>7.8200000000000006E-2</v>
      </c>
      <c r="H11771" s="2">
        <v>6.0299999999999999E-2</v>
      </c>
      <c r="I11771" s="2">
        <v>5.04E-2</v>
      </c>
      <c r="J11771" s="2">
        <v>4.1200000000000001E-2</v>
      </c>
      <c r="K11771" s="2">
        <v>6.1999999999999998E-3</v>
      </c>
      <c r="L11771" s="2">
        <v>3.2199999999999999E-2</v>
      </c>
      <c r="M11771" s="2">
        <v>1.95E-2</v>
      </c>
      <c r="N11771" s="2">
        <v>1.4E-2</v>
      </c>
      <c r="O11771" s="2">
        <v>7.3000000000000001E-3</v>
      </c>
      <c r="P11771" s="2">
        <v>1.0500000000000001E-2</v>
      </c>
      <c r="Q11771" s="2">
        <v>1.2999999999999999E-3</v>
      </c>
      <c r="R11771">
        <v>627</v>
      </c>
    </row>
    <row r="11772" spans="1:18" x14ac:dyDescent="0.35">
      <c r="A11772" t="s">
        <v>227</v>
      </c>
      <c r="B11772" t="s">
        <v>336</v>
      </c>
      <c r="C11772" s="2">
        <v>0.53110000000000002</v>
      </c>
      <c r="D11772" s="2">
        <v>0.20699999999999999</v>
      </c>
      <c r="E11772" s="2">
        <v>0.1245</v>
      </c>
      <c r="F11772" s="2">
        <v>7.4300000000000005E-2</v>
      </c>
      <c r="G11772" s="2">
        <v>6.4899999999999999E-2</v>
      </c>
      <c r="H11772" s="2">
        <v>6.1899999999999997E-2</v>
      </c>
      <c r="I11772" s="2">
        <v>3.3700000000000001E-2</v>
      </c>
      <c r="J11772" s="2">
        <v>3.8100000000000002E-2</v>
      </c>
      <c r="K11772" s="2">
        <v>4.3700000000000003E-2</v>
      </c>
      <c r="L11772" s="2">
        <v>3.1E-2</v>
      </c>
      <c r="M11772" s="2">
        <v>2.3800000000000002E-2</v>
      </c>
      <c r="N11772" s="2">
        <v>2.7400000000000001E-2</v>
      </c>
      <c r="O11772" s="2">
        <v>8.0999999999999996E-3</v>
      </c>
      <c r="P11772" s="2">
        <v>1.6000000000000001E-3</v>
      </c>
      <c r="Q11772" s="2">
        <v>5.7000000000000002E-3</v>
      </c>
      <c r="R11772">
        <v>621</v>
      </c>
    </row>
    <row r="11773" spans="1:18" x14ac:dyDescent="0.35">
      <c r="A11773" t="s">
        <v>227</v>
      </c>
      <c r="B11773" t="s">
        <v>337</v>
      </c>
      <c r="C11773" s="2">
        <v>0.4481</v>
      </c>
      <c r="D11773" s="2">
        <v>0.25519999999999998</v>
      </c>
      <c r="E11773" s="2">
        <v>0.16389999999999999</v>
      </c>
      <c r="F11773" s="2">
        <v>8.1900000000000001E-2</v>
      </c>
      <c r="G11773" s="2">
        <v>7.17E-2</v>
      </c>
      <c r="H11773" s="2">
        <v>5.79E-2</v>
      </c>
      <c r="I11773" s="2">
        <v>1.6199999999999999E-2</v>
      </c>
      <c r="J11773" s="2">
        <v>2.8299999999999999E-2</v>
      </c>
      <c r="K11773" s="2">
        <v>3.8699999999999998E-2</v>
      </c>
      <c r="L11773" s="2">
        <v>1.6799999999999999E-2</v>
      </c>
      <c r="M11773" s="2">
        <v>2.46E-2</v>
      </c>
      <c r="N11773" s="2">
        <v>2.3699999999999999E-2</v>
      </c>
      <c r="O11773" s="2">
        <v>1.09E-2</v>
      </c>
      <c r="P11773" s="2">
        <v>3.5000000000000001E-3</v>
      </c>
      <c r="Q11773" s="2">
        <v>1.6999999999999999E-3</v>
      </c>
      <c r="R11773">
        <v>602</v>
      </c>
    </row>
    <row r="11774" spans="1:18" x14ac:dyDescent="0.35">
      <c r="A11774" t="s">
        <v>228</v>
      </c>
      <c r="B11774" t="s">
        <v>228</v>
      </c>
      <c r="C11774" s="2">
        <v>0.503</v>
      </c>
      <c r="D11774" s="2">
        <v>0.24610000000000001</v>
      </c>
      <c r="E11774" s="2">
        <v>0.12909999999999999</v>
      </c>
      <c r="F11774" s="2">
        <v>6.9500000000000006E-2</v>
      </c>
      <c r="G11774" s="2">
        <v>6.6600000000000006E-2</v>
      </c>
      <c r="H11774" s="2">
        <v>5.0700000000000002E-2</v>
      </c>
      <c r="I11774" s="2">
        <v>3.5900000000000001E-2</v>
      </c>
      <c r="J11774" s="2">
        <v>3.3399999999999999E-2</v>
      </c>
      <c r="K11774" s="2">
        <v>2.8799999999999999E-2</v>
      </c>
      <c r="L11774" s="2">
        <v>2.5600000000000001E-2</v>
      </c>
      <c r="M11774" s="2">
        <v>2.35E-2</v>
      </c>
      <c r="N11774" s="2">
        <v>1.9199999999999998E-2</v>
      </c>
      <c r="O11774" s="2">
        <v>0.01</v>
      </c>
      <c r="P11774" s="2">
        <v>5.1000000000000004E-3</v>
      </c>
      <c r="Q11774" s="2">
        <v>3.5000000000000001E-3</v>
      </c>
      <c r="R11774">
        <v>2475</v>
      </c>
    </row>
    <row r="11776" spans="1:18" x14ac:dyDescent="0.35">
      <c r="A11776" s="1" t="s">
        <v>2698</v>
      </c>
    </row>
    <row r="11777" spans="1:18" x14ac:dyDescent="0.35">
      <c r="A11777" t="s">
        <v>219</v>
      </c>
      <c r="B11777" t="s">
        <v>301</v>
      </c>
      <c r="C11777" t="s">
        <v>2681</v>
      </c>
      <c r="D11777" t="s">
        <v>2682</v>
      </c>
      <c r="E11777" t="s">
        <v>2683</v>
      </c>
      <c r="F11777" t="s">
        <v>2684</v>
      </c>
      <c r="G11777" t="s">
        <v>2685</v>
      </c>
      <c r="H11777" t="s">
        <v>2686</v>
      </c>
      <c r="I11777" t="s">
        <v>2687</v>
      </c>
      <c r="J11777" t="s">
        <v>2688</v>
      </c>
      <c r="K11777" t="s">
        <v>277</v>
      </c>
      <c r="L11777" t="s">
        <v>2689</v>
      </c>
      <c r="M11777" t="s">
        <v>2690</v>
      </c>
      <c r="N11777" t="s">
        <v>2691</v>
      </c>
      <c r="O11777" t="s">
        <v>2692</v>
      </c>
      <c r="P11777" t="s">
        <v>282</v>
      </c>
      <c r="Q11777" t="s">
        <v>2693</v>
      </c>
      <c r="R11777" t="s">
        <v>226</v>
      </c>
    </row>
    <row r="11778" spans="1:18" x14ac:dyDescent="0.35">
      <c r="A11778" t="s">
        <v>227</v>
      </c>
      <c r="B11778" t="s">
        <v>263</v>
      </c>
      <c r="C11778" s="2">
        <v>0.48509999999999998</v>
      </c>
      <c r="D11778" s="2">
        <v>0.28989999999999999</v>
      </c>
      <c r="E11778" s="2">
        <v>0.1169</v>
      </c>
      <c r="F11778" s="2">
        <v>6.9099999999999995E-2</v>
      </c>
      <c r="G11778" s="2">
        <v>6.8000000000000005E-2</v>
      </c>
      <c r="H11778" s="2">
        <v>5.5599999999999997E-2</v>
      </c>
      <c r="I11778" s="2">
        <v>4.1099999999999998E-2</v>
      </c>
      <c r="J11778" s="2">
        <v>3.6499999999999998E-2</v>
      </c>
      <c r="K11778" s="2">
        <v>3.1600000000000003E-2</v>
      </c>
      <c r="L11778" s="2">
        <v>3.2500000000000001E-2</v>
      </c>
      <c r="M11778" s="2">
        <v>3.1300000000000001E-2</v>
      </c>
      <c r="N11778" s="2">
        <v>1.5299999999999999E-2</v>
      </c>
      <c r="O11778" s="2">
        <v>9.5999999999999992E-3</v>
      </c>
      <c r="P11778" s="2">
        <v>4.8999999999999998E-3</v>
      </c>
      <c r="Q11778" s="2">
        <v>2.2000000000000001E-3</v>
      </c>
      <c r="R11778">
        <v>588</v>
      </c>
    </row>
    <row r="11779" spans="1:18" x14ac:dyDescent="0.35">
      <c r="A11779" t="s">
        <v>227</v>
      </c>
      <c r="B11779" t="s">
        <v>262</v>
      </c>
      <c r="C11779" s="2">
        <v>0.51990000000000003</v>
      </c>
      <c r="D11779" s="2">
        <v>0.23119999999999999</v>
      </c>
      <c r="E11779" s="2">
        <v>0.1168</v>
      </c>
      <c r="F11779" s="2">
        <v>5.8200000000000002E-2</v>
      </c>
      <c r="G11779" s="2">
        <v>6.4000000000000001E-2</v>
      </c>
      <c r="H11779" s="2">
        <v>4.5199999999999997E-2</v>
      </c>
      <c r="I11779" s="2">
        <v>4.0500000000000001E-2</v>
      </c>
      <c r="J11779" s="2">
        <v>3.5299999999999998E-2</v>
      </c>
      <c r="K11779" s="2">
        <v>3.8899999999999997E-2</v>
      </c>
      <c r="L11779" s="2">
        <v>1.8800000000000001E-2</v>
      </c>
      <c r="M11779" s="2">
        <v>2.29E-2</v>
      </c>
      <c r="N11779" s="2">
        <v>2.2800000000000001E-2</v>
      </c>
      <c r="O11779" s="2">
        <v>1.43E-2</v>
      </c>
      <c r="P11779" s="2">
        <v>3.7000000000000002E-3</v>
      </c>
      <c r="Q11779" s="2">
        <v>4.7000000000000002E-3</v>
      </c>
      <c r="R11779">
        <v>1160</v>
      </c>
    </row>
    <row r="11780" spans="1:18" x14ac:dyDescent="0.35">
      <c r="A11780" t="s">
        <v>227</v>
      </c>
      <c r="B11780" t="s">
        <v>261</v>
      </c>
      <c r="C11780" s="2">
        <v>0.49730000000000002</v>
      </c>
      <c r="D11780" s="2">
        <v>0.2382</v>
      </c>
      <c r="E11780" s="2">
        <v>0.1462</v>
      </c>
      <c r="F11780" s="2">
        <v>7.8E-2</v>
      </c>
      <c r="G11780" s="2">
        <v>6.8400000000000002E-2</v>
      </c>
      <c r="H11780" s="2">
        <v>5.16E-2</v>
      </c>
      <c r="I11780" s="2">
        <v>2.9499999999999998E-2</v>
      </c>
      <c r="J11780" s="2">
        <v>3.04E-2</v>
      </c>
      <c r="K11780" s="2">
        <v>1.8700000000000001E-2</v>
      </c>
      <c r="L11780" s="2">
        <v>2.81E-2</v>
      </c>
      <c r="M11780" s="2">
        <v>2.0199999999999999E-2</v>
      </c>
      <c r="N11780" s="2">
        <v>1.8100000000000002E-2</v>
      </c>
      <c r="O11780" s="2">
        <v>6.6E-3</v>
      </c>
      <c r="P11780" s="2">
        <v>6.4999999999999997E-3</v>
      </c>
      <c r="Q11780" s="2">
        <v>3.2000000000000002E-3</v>
      </c>
      <c r="R11780">
        <v>1062</v>
      </c>
    </row>
    <row r="11781" spans="1:18" x14ac:dyDescent="0.35">
      <c r="A11781" s="3" t="s">
        <v>227</v>
      </c>
      <c r="B11781" s="3" t="s">
        <v>232</v>
      </c>
      <c r="C11781" s="4">
        <v>0.5</v>
      </c>
      <c r="D11781" s="5"/>
      <c r="E11781" s="5"/>
      <c r="F11781" s="4">
        <v>0.5</v>
      </c>
      <c r="G11781" s="5"/>
      <c r="H11781" s="4">
        <v>0.5</v>
      </c>
      <c r="I11781" s="5"/>
      <c r="J11781" s="5"/>
      <c r="K11781" s="5"/>
      <c r="L11781" s="5"/>
      <c r="M11781" s="5"/>
      <c r="N11781" s="5"/>
      <c r="O11781" s="5"/>
      <c r="P11781" s="5"/>
      <c r="Q11781" s="5"/>
      <c r="R11781" s="5" t="s">
        <v>434</v>
      </c>
    </row>
    <row r="11782" spans="1:18" x14ac:dyDescent="0.35">
      <c r="A11782" t="s">
        <v>228</v>
      </c>
      <c r="B11782" t="s">
        <v>228</v>
      </c>
      <c r="C11782" s="2">
        <v>0.503</v>
      </c>
      <c r="D11782" s="2">
        <v>0.24610000000000001</v>
      </c>
      <c r="E11782" s="2">
        <v>0.12909999999999999</v>
      </c>
      <c r="F11782" s="2">
        <v>6.9500000000000006E-2</v>
      </c>
      <c r="G11782" s="2">
        <v>6.6600000000000006E-2</v>
      </c>
      <c r="H11782" s="2">
        <v>5.0700000000000002E-2</v>
      </c>
      <c r="I11782" s="2">
        <v>3.5900000000000001E-2</v>
      </c>
      <c r="J11782" s="2">
        <v>3.3399999999999999E-2</v>
      </c>
      <c r="K11782" s="2">
        <v>2.8799999999999999E-2</v>
      </c>
      <c r="L11782" s="2">
        <v>2.5600000000000001E-2</v>
      </c>
      <c r="M11782" s="2">
        <v>2.35E-2</v>
      </c>
      <c r="N11782" s="2">
        <v>1.9199999999999998E-2</v>
      </c>
      <c r="O11782" s="2">
        <v>0.01</v>
      </c>
      <c r="P11782" s="2">
        <v>5.1000000000000004E-3</v>
      </c>
      <c r="Q11782" s="2">
        <v>3.5000000000000001E-3</v>
      </c>
      <c r="R11782">
        <v>2812</v>
      </c>
    </row>
    <row r="11784" spans="1:18" x14ac:dyDescent="0.35">
      <c r="A11784" s="1" t="s">
        <v>2699</v>
      </c>
    </row>
    <row r="11785" spans="1:18" x14ac:dyDescent="0.35">
      <c r="A11785" t="s">
        <v>219</v>
      </c>
      <c r="B11785" t="s">
        <v>301</v>
      </c>
      <c r="C11785" t="s">
        <v>2681</v>
      </c>
      <c r="D11785" t="s">
        <v>2682</v>
      </c>
      <c r="E11785" t="s">
        <v>2683</v>
      </c>
      <c r="F11785" t="s">
        <v>2684</v>
      </c>
      <c r="G11785" t="s">
        <v>2685</v>
      </c>
      <c r="H11785" t="s">
        <v>2686</v>
      </c>
      <c r="I11785" t="s">
        <v>2687</v>
      </c>
      <c r="J11785" t="s">
        <v>2688</v>
      </c>
      <c r="K11785" t="s">
        <v>277</v>
      </c>
      <c r="L11785" t="s">
        <v>2689</v>
      </c>
      <c r="M11785" t="s">
        <v>2690</v>
      </c>
      <c r="N11785" t="s">
        <v>2691</v>
      </c>
      <c r="O11785" t="s">
        <v>2692</v>
      </c>
      <c r="P11785" t="s">
        <v>282</v>
      </c>
      <c r="Q11785" t="s">
        <v>2693</v>
      </c>
      <c r="R11785" t="s">
        <v>226</v>
      </c>
    </row>
    <row r="11786" spans="1:18" x14ac:dyDescent="0.35">
      <c r="A11786" t="s">
        <v>227</v>
      </c>
      <c r="B11786" t="s">
        <v>248</v>
      </c>
      <c r="C11786" s="2">
        <v>0.54139999999999999</v>
      </c>
      <c r="D11786" s="2">
        <v>0.25230000000000002</v>
      </c>
      <c r="E11786" s="2">
        <v>7.22E-2</v>
      </c>
      <c r="F11786" s="2">
        <v>2.93E-2</v>
      </c>
      <c r="G11786" s="2">
        <v>3.1699999999999999E-2</v>
      </c>
      <c r="H11786" s="2">
        <v>2.4500000000000001E-2</v>
      </c>
      <c r="I11786" s="2">
        <v>1.0500000000000001E-2</v>
      </c>
      <c r="J11786" s="2">
        <v>8.8999999999999999E-3</v>
      </c>
      <c r="K11786" s="2">
        <v>6.9599999999999995E-2</v>
      </c>
      <c r="L11786" s="2">
        <v>1.04E-2</v>
      </c>
      <c r="M11786" s="2">
        <v>2.8000000000000001E-2</v>
      </c>
      <c r="N11786" s="2">
        <v>1.2E-2</v>
      </c>
      <c r="O11786" s="2">
        <v>5.7000000000000002E-3</v>
      </c>
      <c r="P11786" s="2">
        <v>5.1000000000000004E-3</v>
      </c>
      <c r="Q11786" s="2">
        <v>8.0000000000000004E-4</v>
      </c>
      <c r="R11786">
        <v>796</v>
      </c>
    </row>
    <row r="11787" spans="1:18" x14ac:dyDescent="0.35">
      <c r="A11787" t="s">
        <v>227</v>
      </c>
      <c r="B11787" t="s">
        <v>249</v>
      </c>
      <c r="C11787" s="2">
        <v>0.43149999999999999</v>
      </c>
      <c r="D11787" s="2">
        <v>0.25090000000000001</v>
      </c>
      <c r="E11787" s="2">
        <v>0.1875</v>
      </c>
      <c r="F11787" s="2">
        <v>0.10009999999999999</v>
      </c>
      <c r="G11787" s="2">
        <v>7.17E-2</v>
      </c>
      <c r="H11787" s="2">
        <v>7.17E-2</v>
      </c>
      <c r="I11787" s="2">
        <v>6.3299999999999995E-2</v>
      </c>
      <c r="J11787" s="2">
        <v>6.0100000000000001E-2</v>
      </c>
      <c r="K11787" s="2">
        <v>1.2200000000000001E-2</v>
      </c>
      <c r="L11787" s="2">
        <v>3.4000000000000002E-2</v>
      </c>
      <c r="M11787" s="2">
        <v>2.1999999999999999E-2</v>
      </c>
      <c r="N11787" s="2">
        <v>2.5700000000000001E-2</v>
      </c>
      <c r="O11787" s="2">
        <v>1.7399999999999999E-2</v>
      </c>
      <c r="P11787" s="2">
        <v>5.1000000000000004E-3</v>
      </c>
      <c r="Q11787" s="2">
        <v>6.7000000000000002E-3</v>
      </c>
      <c r="R11787">
        <v>541</v>
      </c>
    </row>
    <row r="11788" spans="1:18" x14ac:dyDescent="0.35">
      <c r="A11788" t="s">
        <v>227</v>
      </c>
      <c r="B11788" t="s">
        <v>247</v>
      </c>
      <c r="C11788" s="2">
        <v>0.50929999999999997</v>
      </c>
      <c r="D11788" s="2">
        <v>0.24099999999999999</v>
      </c>
      <c r="E11788" s="2">
        <v>0.13730000000000001</v>
      </c>
      <c r="F11788" s="2">
        <v>7.9000000000000001E-2</v>
      </c>
      <c r="G11788" s="2">
        <v>8.2799999999999999E-2</v>
      </c>
      <c r="H11788" s="2">
        <v>5.6500000000000002E-2</v>
      </c>
      <c r="I11788" s="2">
        <v>3.9100000000000003E-2</v>
      </c>
      <c r="J11788" s="2">
        <v>3.6299999999999999E-2</v>
      </c>
      <c r="K11788" s="2">
        <v>1.37E-2</v>
      </c>
      <c r="L11788" s="2">
        <v>3.04E-2</v>
      </c>
      <c r="M11788" s="2">
        <v>2.1700000000000001E-2</v>
      </c>
      <c r="N11788" s="2">
        <v>2.06E-2</v>
      </c>
      <c r="O11788" s="2">
        <v>9.5999999999999992E-3</v>
      </c>
      <c r="P11788" s="2">
        <v>5.1999999999999998E-3</v>
      </c>
      <c r="Q11788" s="2">
        <v>3.8E-3</v>
      </c>
      <c r="R11788">
        <v>1475</v>
      </c>
    </row>
    <row r="11789" spans="1:18" x14ac:dyDescent="0.35">
      <c r="A11789" t="s">
        <v>228</v>
      </c>
      <c r="B11789" t="s">
        <v>228</v>
      </c>
      <c r="C11789" s="2">
        <v>0.503</v>
      </c>
      <c r="D11789" s="2">
        <v>0.24610000000000001</v>
      </c>
      <c r="E11789" s="2">
        <v>0.12909999999999999</v>
      </c>
      <c r="F11789" s="2">
        <v>6.9500000000000006E-2</v>
      </c>
      <c r="G11789" s="2">
        <v>6.6600000000000006E-2</v>
      </c>
      <c r="H11789" s="2">
        <v>5.0700000000000002E-2</v>
      </c>
      <c r="I11789" s="2">
        <v>3.5900000000000001E-2</v>
      </c>
      <c r="J11789" s="2">
        <v>3.3399999999999999E-2</v>
      </c>
      <c r="K11789" s="2">
        <v>2.8799999999999999E-2</v>
      </c>
      <c r="L11789" s="2">
        <v>2.5600000000000001E-2</v>
      </c>
      <c r="M11789" s="2">
        <v>2.35E-2</v>
      </c>
      <c r="N11789" s="2">
        <v>1.9199999999999998E-2</v>
      </c>
      <c r="O11789" s="2">
        <v>0.01</v>
      </c>
      <c r="P11789" s="2">
        <v>5.1000000000000004E-3</v>
      </c>
      <c r="Q11789" s="2">
        <v>3.5000000000000001E-3</v>
      </c>
      <c r="R11789">
        <v>2812</v>
      </c>
    </row>
    <row r="11791" spans="1:18" x14ac:dyDescent="0.35">
      <c r="A11791" s="1" t="s">
        <v>2700</v>
      </c>
    </row>
    <row r="11792" spans="1:18" x14ac:dyDescent="0.35">
      <c r="A11792" t="s">
        <v>219</v>
      </c>
      <c r="B11792" t="s">
        <v>301</v>
      </c>
      <c r="C11792" t="s">
        <v>2681</v>
      </c>
      <c r="D11792" t="s">
        <v>2682</v>
      </c>
      <c r="E11792" t="s">
        <v>2683</v>
      </c>
      <c r="F11792" t="s">
        <v>2684</v>
      </c>
      <c r="G11792" t="s">
        <v>2685</v>
      </c>
      <c r="H11792" t="s">
        <v>2686</v>
      </c>
      <c r="I11792" t="s">
        <v>2687</v>
      </c>
      <c r="J11792" t="s">
        <v>2688</v>
      </c>
      <c r="K11792" t="s">
        <v>277</v>
      </c>
      <c r="L11792" t="s">
        <v>2689</v>
      </c>
      <c r="M11792" t="s">
        <v>2690</v>
      </c>
      <c r="N11792" t="s">
        <v>2691</v>
      </c>
      <c r="O11792" t="s">
        <v>2692</v>
      </c>
      <c r="P11792" t="s">
        <v>282</v>
      </c>
      <c r="Q11792" t="s">
        <v>2693</v>
      </c>
      <c r="R11792" t="s">
        <v>226</v>
      </c>
    </row>
    <row r="11793" spans="1:18" x14ac:dyDescent="0.35">
      <c r="A11793" t="s">
        <v>227</v>
      </c>
      <c r="B11793" t="s">
        <v>245</v>
      </c>
      <c r="C11793" s="2">
        <v>0.4632</v>
      </c>
      <c r="D11793" s="2">
        <v>0.2306</v>
      </c>
      <c r="E11793" s="2">
        <v>0.1709</v>
      </c>
      <c r="F11793" s="2">
        <v>0.1069</v>
      </c>
      <c r="G11793" s="2">
        <v>0.1115</v>
      </c>
      <c r="H11793" s="2">
        <v>7.3300000000000004E-2</v>
      </c>
      <c r="I11793" s="2">
        <v>6.4899999999999999E-2</v>
      </c>
      <c r="J11793" s="2">
        <v>5.6500000000000002E-2</v>
      </c>
      <c r="K11793" s="2">
        <v>1.41E-2</v>
      </c>
      <c r="L11793" s="2">
        <v>3.8199999999999998E-2</v>
      </c>
      <c r="M11793" s="2">
        <v>2.8799999999999999E-2</v>
      </c>
      <c r="N11793" s="2">
        <v>3.1699999999999999E-2</v>
      </c>
      <c r="O11793" s="2">
        <v>1.1900000000000001E-2</v>
      </c>
      <c r="P11793" s="2">
        <v>5.7999999999999996E-3</v>
      </c>
      <c r="Q11793" s="2">
        <v>4.0000000000000001E-3</v>
      </c>
      <c r="R11793">
        <v>783</v>
      </c>
    </row>
    <row r="11794" spans="1:18" x14ac:dyDescent="0.35">
      <c r="A11794" t="s">
        <v>227</v>
      </c>
      <c r="B11794" t="s">
        <v>244</v>
      </c>
      <c r="C11794" s="2">
        <v>0.51880000000000004</v>
      </c>
      <c r="D11794" s="2">
        <v>0.25219999999999998</v>
      </c>
      <c r="E11794" s="2">
        <v>0.11260000000000001</v>
      </c>
      <c r="F11794" s="2">
        <v>5.4600000000000003E-2</v>
      </c>
      <c r="G11794" s="2">
        <v>4.8899999999999999E-2</v>
      </c>
      <c r="H11794" s="2">
        <v>4.1700000000000001E-2</v>
      </c>
      <c r="I11794" s="2">
        <v>2.4500000000000001E-2</v>
      </c>
      <c r="J11794" s="2">
        <v>2.4299999999999999E-2</v>
      </c>
      <c r="K11794" s="2">
        <v>3.4599999999999999E-2</v>
      </c>
      <c r="L11794" s="2">
        <v>2.06E-2</v>
      </c>
      <c r="M11794" s="2">
        <v>2.1399999999999999E-2</v>
      </c>
      <c r="N11794" s="2">
        <v>1.43E-2</v>
      </c>
      <c r="O11794" s="2">
        <v>9.2999999999999992E-3</v>
      </c>
      <c r="P11794" s="2">
        <v>4.8999999999999998E-3</v>
      </c>
      <c r="Q11794" s="2">
        <v>3.3E-3</v>
      </c>
      <c r="R11794">
        <v>2029</v>
      </c>
    </row>
    <row r="11795" spans="1:18" x14ac:dyDescent="0.35">
      <c r="A11795" t="s">
        <v>228</v>
      </c>
      <c r="B11795" t="s">
        <v>228</v>
      </c>
      <c r="C11795" s="2">
        <v>0.503</v>
      </c>
      <c r="D11795" s="2">
        <v>0.24610000000000001</v>
      </c>
      <c r="E11795" s="2">
        <v>0.12909999999999999</v>
      </c>
      <c r="F11795" s="2">
        <v>6.9500000000000006E-2</v>
      </c>
      <c r="G11795" s="2">
        <v>6.6600000000000006E-2</v>
      </c>
      <c r="H11795" s="2">
        <v>5.0700000000000002E-2</v>
      </c>
      <c r="I11795" s="2">
        <v>3.5900000000000001E-2</v>
      </c>
      <c r="J11795" s="2">
        <v>3.3399999999999999E-2</v>
      </c>
      <c r="K11795" s="2">
        <v>2.8799999999999999E-2</v>
      </c>
      <c r="L11795" s="2">
        <v>2.5600000000000001E-2</v>
      </c>
      <c r="M11795" s="2">
        <v>2.35E-2</v>
      </c>
      <c r="N11795" s="2">
        <v>1.9199999999999998E-2</v>
      </c>
      <c r="O11795" s="2">
        <v>0.01</v>
      </c>
      <c r="P11795" s="2">
        <v>5.1000000000000004E-3</v>
      </c>
      <c r="Q11795" s="2">
        <v>3.5000000000000001E-3</v>
      </c>
      <c r="R11795">
        <v>2812</v>
      </c>
    </row>
    <row r="11797" spans="1:18" x14ac:dyDescent="0.35">
      <c r="A11797" s="1" t="s">
        <v>2701</v>
      </c>
    </row>
    <row r="11798" spans="1:18" x14ac:dyDescent="0.35">
      <c r="A11798" t="s">
        <v>219</v>
      </c>
      <c r="B11798" t="s">
        <v>301</v>
      </c>
      <c r="C11798" t="s">
        <v>2681</v>
      </c>
      <c r="D11798" t="s">
        <v>2682</v>
      </c>
      <c r="E11798" t="s">
        <v>2683</v>
      </c>
      <c r="F11798" t="s">
        <v>2684</v>
      </c>
      <c r="G11798" t="s">
        <v>2685</v>
      </c>
      <c r="H11798" t="s">
        <v>2686</v>
      </c>
      <c r="I11798" t="s">
        <v>2687</v>
      </c>
      <c r="J11798" t="s">
        <v>2688</v>
      </c>
      <c r="K11798" t="s">
        <v>277</v>
      </c>
      <c r="L11798" t="s">
        <v>2689</v>
      </c>
      <c r="M11798" t="s">
        <v>2690</v>
      </c>
      <c r="N11798" t="s">
        <v>2691</v>
      </c>
      <c r="O11798" t="s">
        <v>2692</v>
      </c>
      <c r="P11798" t="s">
        <v>282</v>
      </c>
      <c r="Q11798" t="s">
        <v>2693</v>
      </c>
      <c r="R11798" t="s">
        <v>226</v>
      </c>
    </row>
    <row r="11799" spans="1:18" x14ac:dyDescent="0.35">
      <c r="A11799" t="s">
        <v>227</v>
      </c>
      <c r="B11799" t="s">
        <v>259</v>
      </c>
      <c r="C11799" s="2">
        <v>0.51290000000000002</v>
      </c>
      <c r="D11799" s="2">
        <v>0.20549999999999999</v>
      </c>
      <c r="E11799" s="2">
        <v>0.14199999999999999</v>
      </c>
      <c r="F11799" s="2">
        <v>8.9499999999999996E-2</v>
      </c>
      <c r="G11799" s="2">
        <v>0.14269999999999999</v>
      </c>
      <c r="H11799" s="2">
        <v>2.23E-2</v>
      </c>
      <c r="I11799" s="2">
        <v>3.5700000000000003E-2</v>
      </c>
      <c r="J11799" s="2">
        <v>3.1E-2</v>
      </c>
      <c r="K11799" s="2">
        <v>3.9800000000000002E-2</v>
      </c>
      <c r="L11799" s="2">
        <v>3.4099999999999998E-2</v>
      </c>
      <c r="M11799" s="2">
        <v>2.3800000000000002E-2</v>
      </c>
      <c r="N11799" s="2">
        <v>1.6E-2</v>
      </c>
      <c r="O11799" s="2">
        <v>1.44E-2</v>
      </c>
      <c r="Q11799" s="2">
        <v>2.0899999999999998E-2</v>
      </c>
      <c r="R11799">
        <v>69</v>
      </c>
    </row>
    <row r="11800" spans="1:18" x14ac:dyDescent="0.35">
      <c r="A11800" t="s">
        <v>227</v>
      </c>
      <c r="B11800" t="s">
        <v>257</v>
      </c>
      <c r="C11800" s="2">
        <v>0.58620000000000005</v>
      </c>
      <c r="D11800" s="2">
        <v>0.22750000000000001</v>
      </c>
      <c r="E11800" s="2">
        <v>9.06E-2</v>
      </c>
      <c r="F11800" s="2">
        <v>4.02E-2</v>
      </c>
      <c r="G11800" s="2">
        <v>3.4000000000000002E-2</v>
      </c>
      <c r="H11800" s="2">
        <v>2.3699999999999999E-2</v>
      </c>
      <c r="I11800" s="2">
        <v>1.52E-2</v>
      </c>
      <c r="J11800" s="2">
        <v>6.4999999999999997E-3</v>
      </c>
      <c r="K11800" s="2">
        <v>2.4400000000000002E-2</v>
      </c>
      <c r="L11800" s="2">
        <v>2.64E-2</v>
      </c>
      <c r="M11800" s="2">
        <v>3.2000000000000001E-2</v>
      </c>
      <c r="N11800" s="2">
        <v>1.9800000000000002E-2</v>
      </c>
      <c r="O11800" s="2">
        <v>5.7999999999999996E-3</v>
      </c>
      <c r="P11800" s="2">
        <v>9.7000000000000003E-3</v>
      </c>
      <c r="Q11800" s="2">
        <v>5.9999999999999995E-4</v>
      </c>
      <c r="R11800">
        <v>405</v>
      </c>
    </row>
    <row r="11801" spans="1:18" x14ac:dyDescent="0.35">
      <c r="A11801" t="s">
        <v>227</v>
      </c>
      <c r="B11801" t="s">
        <v>256</v>
      </c>
      <c r="C11801" s="2">
        <v>0.51070000000000004</v>
      </c>
      <c r="D11801" s="2">
        <v>0.23849999999999999</v>
      </c>
      <c r="E11801" s="2">
        <v>0.1429</v>
      </c>
      <c r="F11801" s="2">
        <v>6.2E-2</v>
      </c>
      <c r="G11801" s="2">
        <v>6.2E-2</v>
      </c>
      <c r="H11801" s="2">
        <v>4.8899999999999999E-2</v>
      </c>
      <c r="I11801" s="2">
        <v>3.2899999999999999E-2</v>
      </c>
      <c r="J11801" s="2">
        <v>3.5900000000000001E-2</v>
      </c>
      <c r="K11801" s="2">
        <v>3.4200000000000001E-2</v>
      </c>
      <c r="L11801" s="2">
        <v>1.7600000000000001E-2</v>
      </c>
      <c r="M11801" s="2">
        <v>1.9699999999999999E-2</v>
      </c>
      <c r="N11801" s="2">
        <v>1.7000000000000001E-2</v>
      </c>
      <c r="O11801" s="2">
        <v>8.8000000000000005E-3</v>
      </c>
      <c r="P11801" s="2">
        <v>3.3E-3</v>
      </c>
      <c r="Q11801" s="2">
        <v>2.5999999999999999E-3</v>
      </c>
      <c r="R11801">
        <v>1802</v>
      </c>
    </row>
    <row r="11802" spans="1:18" x14ac:dyDescent="0.35">
      <c r="A11802" s="3" t="s">
        <v>227</v>
      </c>
      <c r="B11802" s="3" t="s">
        <v>232</v>
      </c>
      <c r="C11802" s="4">
        <v>2.4400000000000002E-2</v>
      </c>
      <c r="D11802" s="4">
        <v>0.82330000000000003</v>
      </c>
      <c r="E11802" s="5"/>
      <c r="F11802" s="4">
        <v>0.11509999999999999</v>
      </c>
      <c r="G11802" s="4">
        <v>0.11509999999999999</v>
      </c>
      <c r="H11802" s="4">
        <v>0.11509999999999999</v>
      </c>
      <c r="I11802" s="5"/>
      <c r="J11802" s="5"/>
      <c r="K11802" s="4">
        <v>1.3299999999999999E-2</v>
      </c>
      <c r="L11802" s="5"/>
      <c r="M11802" s="5"/>
      <c r="N11802" s="5"/>
      <c r="O11802" s="5"/>
      <c r="P11802" s="4">
        <v>2.3900000000000001E-2</v>
      </c>
      <c r="Q11802" s="5"/>
      <c r="R11802" s="5" t="s">
        <v>307</v>
      </c>
    </row>
    <row r="11803" spans="1:18" x14ac:dyDescent="0.35">
      <c r="A11803" t="s">
        <v>227</v>
      </c>
      <c r="B11803" t="s">
        <v>258</v>
      </c>
      <c r="C11803" s="2">
        <v>0.37819999999999998</v>
      </c>
      <c r="D11803" s="2">
        <v>0.29849999999999999</v>
      </c>
      <c r="E11803" s="2">
        <v>0.1114</v>
      </c>
      <c r="F11803" s="2">
        <v>0.13350000000000001</v>
      </c>
      <c r="G11803" s="2">
        <v>0.11559999999999999</v>
      </c>
      <c r="H11803" s="2">
        <v>9.1899999999999996E-2</v>
      </c>
      <c r="I11803" s="2">
        <v>7.3700000000000002E-2</v>
      </c>
      <c r="J11803" s="2">
        <v>5.3600000000000002E-2</v>
      </c>
      <c r="K11803" s="2">
        <v>8.2000000000000007E-3</v>
      </c>
      <c r="L11803" s="2">
        <v>6.0299999999999999E-2</v>
      </c>
      <c r="M11803" s="2">
        <v>3.1099999999999999E-2</v>
      </c>
      <c r="N11803" s="2">
        <v>2.9100000000000001E-2</v>
      </c>
      <c r="O11803" s="2">
        <v>2.01E-2</v>
      </c>
      <c r="P11803" s="2">
        <v>8.6E-3</v>
      </c>
      <c r="Q11803" s="2">
        <v>9.1999999999999998E-3</v>
      </c>
      <c r="R11803">
        <v>525</v>
      </c>
    </row>
    <row r="11804" spans="1:18" x14ac:dyDescent="0.35">
      <c r="A11804" t="s">
        <v>228</v>
      </c>
      <c r="B11804" t="s">
        <v>228</v>
      </c>
      <c r="C11804" s="2">
        <v>0.503</v>
      </c>
      <c r="D11804" s="2">
        <v>0.24610000000000001</v>
      </c>
      <c r="E11804" s="2">
        <v>0.12909999999999999</v>
      </c>
      <c r="F11804" s="2">
        <v>6.9500000000000006E-2</v>
      </c>
      <c r="G11804" s="2">
        <v>6.6600000000000006E-2</v>
      </c>
      <c r="H11804" s="2">
        <v>5.0700000000000002E-2</v>
      </c>
      <c r="I11804" s="2">
        <v>3.5900000000000001E-2</v>
      </c>
      <c r="J11804" s="2">
        <v>3.3399999999999999E-2</v>
      </c>
      <c r="K11804" s="2">
        <v>2.8799999999999999E-2</v>
      </c>
      <c r="L11804" s="2">
        <v>2.5600000000000001E-2</v>
      </c>
      <c r="M11804" s="2">
        <v>2.35E-2</v>
      </c>
      <c r="N11804" s="2">
        <v>1.9199999999999998E-2</v>
      </c>
      <c r="O11804" s="2">
        <v>0.01</v>
      </c>
      <c r="P11804" s="2">
        <v>5.1000000000000004E-3</v>
      </c>
      <c r="Q11804" s="2">
        <v>3.5000000000000001E-3</v>
      </c>
      <c r="R11804">
        <v>2812</v>
      </c>
    </row>
    <row r="11806" spans="1:18" x14ac:dyDescent="0.35">
      <c r="A11806" s="1" t="s">
        <v>2702</v>
      </c>
    </row>
    <row r="11807" spans="1:18" x14ac:dyDescent="0.35">
      <c r="A11807" t="s">
        <v>219</v>
      </c>
      <c r="B11807" t="s">
        <v>301</v>
      </c>
      <c r="C11807" t="s">
        <v>2681</v>
      </c>
      <c r="D11807" t="s">
        <v>2682</v>
      </c>
      <c r="E11807" t="s">
        <v>2683</v>
      </c>
      <c r="F11807" t="s">
        <v>2684</v>
      </c>
      <c r="G11807" t="s">
        <v>2685</v>
      </c>
      <c r="H11807" t="s">
        <v>2686</v>
      </c>
      <c r="I11807" t="s">
        <v>2687</v>
      </c>
      <c r="J11807" t="s">
        <v>2688</v>
      </c>
      <c r="K11807" t="s">
        <v>277</v>
      </c>
      <c r="L11807" t="s">
        <v>2689</v>
      </c>
      <c r="M11807" t="s">
        <v>2690</v>
      </c>
      <c r="N11807" t="s">
        <v>2691</v>
      </c>
      <c r="O11807" t="s">
        <v>2692</v>
      </c>
      <c r="P11807" t="s">
        <v>282</v>
      </c>
      <c r="Q11807" t="s">
        <v>2693</v>
      </c>
      <c r="R11807" t="s">
        <v>226</v>
      </c>
    </row>
    <row r="11808" spans="1:18" x14ac:dyDescent="0.35">
      <c r="A11808" t="s">
        <v>227</v>
      </c>
      <c r="B11808" t="s">
        <v>343</v>
      </c>
      <c r="C11808" s="2">
        <v>0.58620000000000005</v>
      </c>
      <c r="D11808" s="2">
        <v>0.22750000000000001</v>
      </c>
      <c r="E11808" s="2">
        <v>9.06E-2</v>
      </c>
      <c r="F11808" s="2">
        <v>4.02E-2</v>
      </c>
      <c r="G11808" s="2">
        <v>3.4000000000000002E-2</v>
      </c>
      <c r="H11808" s="2">
        <v>2.3699999999999999E-2</v>
      </c>
      <c r="I11808" s="2">
        <v>1.52E-2</v>
      </c>
      <c r="J11808" s="2">
        <v>6.4999999999999997E-3</v>
      </c>
      <c r="K11808" s="2">
        <v>2.4400000000000002E-2</v>
      </c>
      <c r="L11808" s="2">
        <v>2.64E-2</v>
      </c>
      <c r="M11808" s="2">
        <v>3.2000000000000001E-2</v>
      </c>
      <c r="N11808" s="2">
        <v>1.9800000000000002E-2</v>
      </c>
      <c r="O11808" s="2">
        <v>5.7999999999999996E-3</v>
      </c>
      <c r="P11808" s="2">
        <v>9.7000000000000003E-3</v>
      </c>
      <c r="Q11808" s="2">
        <v>5.9999999999999995E-4</v>
      </c>
      <c r="R11808">
        <v>405</v>
      </c>
    </row>
    <row r="11809" spans="1:18" x14ac:dyDescent="0.35">
      <c r="A11809" t="s">
        <v>227</v>
      </c>
      <c r="B11809" t="s">
        <v>344</v>
      </c>
      <c r="C11809" s="2">
        <v>0.48609999999999998</v>
      </c>
      <c r="D11809" s="2">
        <v>0.24979999999999999</v>
      </c>
      <c r="E11809" s="2">
        <v>0.13700000000000001</v>
      </c>
      <c r="F11809" s="2">
        <v>7.5399999999999995E-2</v>
      </c>
      <c r="G11809" s="2">
        <v>7.3300000000000004E-2</v>
      </c>
      <c r="H11809" s="2">
        <v>5.62E-2</v>
      </c>
      <c r="I11809" s="2">
        <v>4.0099999999999997E-2</v>
      </c>
      <c r="J11809" s="2">
        <v>3.8899999999999997E-2</v>
      </c>
      <c r="K11809" s="2">
        <v>2.9600000000000001E-2</v>
      </c>
      <c r="L11809" s="2">
        <v>2.5499999999999998E-2</v>
      </c>
      <c r="M11809" s="2">
        <v>2.1700000000000001E-2</v>
      </c>
      <c r="N11809" s="2">
        <v>1.9099999999999999E-2</v>
      </c>
      <c r="O11809" s="2">
        <v>1.09E-2</v>
      </c>
      <c r="P11809" s="2">
        <v>4.1999999999999997E-3</v>
      </c>
      <c r="Q11809" s="2">
        <v>4.1000000000000003E-3</v>
      </c>
      <c r="R11809">
        <v>2407</v>
      </c>
    </row>
    <row r="11810" spans="1:18" x14ac:dyDescent="0.35">
      <c r="A11810" t="s">
        <v>228</v>
      </c>
      <c r="B11810" t="s">
        <v>228</v>
      </c>
      <c r="C11810" s="2">
        <v>0.503</v>
      </c>
      <c r="D11810" s="2">
        <v>0.24610000000000001</v>
      </c>
      <c r="E11810" s="2">
        <v>0.12909999999999999</v>
      </c>
      <c r="F11810" s="2">
        <v>6.9500000000000006E-2</v>
      </c>
      <c r="G11810" s="2">
        <v>6.6600000000000006E-2</v>
      </c>
      <c r="H11810" s="2">
        <v>5.0700000000000002E-2</v>
      </c>
      <c r="I11810" s="2">
        <v>3.5900000000000001E-2</v>
      </c>
      <c r="J11810" s="2">
        <v>3.3399999999999999E-2</v>
      </c>
      <c r="K11810" s="2">
        <v>2.8799999999999999E-2</v>
      </c>
      <c r="L11810" s="2">
        <v>2.5600000000000001E-2</v>
      </c>
      <c r="M11810" s="2">
        <v>2.35E-2</v>
      </c>
      <c r="N11810" s="2">
        <v>1.9199999999999998E-2</v>
      </c>
      <c r="O11810" s="2">
        <v>0.01</v>
      </c>
      <c r="P11810" s="2">
        <v>5.1000000000000004E-3</v>
      </c>
      <c r="Q11810" s="2">
        <v>3.5000000000000001E-3</v>
      </c>
      <c r="R11810">
        <v>2812</v>
      </c>
    </row>
    <row r="11812" spans="1:18" x14ac:dyDescent="0.35">
      <c r="A11812" s="1" t="s">
        <v>2703</v>
      </c>
    </row>
    <row r="11813" spans="1:18" x14ac:dyDescent="0.35">
      <c r="A11813" t="s">
        <v>219</v>
      </c>
      <c r="B11813" t="s">
        <v>301</v>
      </c>
      <c r="C11813" t="s">
        <v>2681</v>
      </c>
      <c r="D11813" t="s">
        <v>2682</v>
      </c>
      <c r="E11813" t="s">
        <v>2683</v>
      </c>
      <c r="F11813" t="s">
        <v>2684</v>
      </c>
      <c r="G11813" t="s">
        <v>2685</v>
      </c>
      <c r="H11813" t="s">
        <v>2686</v>
      </c>
      <c r="I11813" t="s">
        <v>2687</v>
      </c>
      <c r="J11813" t="s">
        <v>2688</v>
      </c>
      <c r="K11813" t="s">
        <v>277</v>
      </c>
      <c r="L11813" t="s">
        <v>2689</v>
      </c>
      <c r="M11813" t="s">
        <v>2690</v>
      </c>
      <c r="N11813" t="s">
        <v>2691</v>
      </c>
      <c r="O11813" t="s">
        <v>2692</v>
      </c>
      <c r="P11813" t="s">
        <v>282</v>
      </c>
      <c r="Q11813" t="s">
        <v>2693</v>
      </c>
      <c r="R11813" t="s">
        <v>226</v>
      </c>
    </row>
    <row r="11814" spans="1:18" x14ac:dyDescent="0.35">
      <c r="A11814" t="s">
        <v>227</v>
      </c>
      <c r="B11814" t="s">
        <v>346</v>
      </c>
      <c r="C11814" s="2">
        <v>0.53769999999999996</v>
      </c>
      <c r="D11814" s="2">
        <v>0.22</v>
      </c>
      <c r="E11814" s="2">
        <v>0.1288</v>
      </c>
      <c r="F11814" s="2">
        <v>6.7199999999999996E-2</v>
      </c>
      <c r="G11814" s="2">
        <v>6.0100000000000001E-2</v>
      </c>
      <c r="H11814" s="2">
        <v>4.8500000000000001E-2</v>
      </c>
      <c r="I11814" s="2">
        <v>3.0499999999999999E-2</v>
      </c>
      <c r="J11814" s="2">
        <v>2.9700000000000001E-2</v>
      </c>
      <c r="K11814" s="2">
        <v>2.86E-2</v>
      </c>
      <c r="L11814" s="2">
        <v>1.9199999999999998E-2</v>
      </c>
      <c r="M11814" s="2">
        <v>1.8700000000000001E-2</v>
      </c>
      <c r="N11814" s="2">
        <v>1.6500000000000001E-2</v>
      </c>
      <c r="O11814" s="2">
        <v>7.1999999999999998E-3</v>
      </c>
      <c r="P11814" s="2">
        <v>4.5999999999999999E-3</v>
      </c>
      <c r="Q11814" s="2">
        <v>2.3E-3</v>
      </c>
      <c r="R11814">
        <v>1463</v>
      </c>
    </row>
    <row r="11815" spans="1:18" x14ac:dyDescent="0.35">
      <c r="A11815" t="s">
        <v>227</v>
      </c>
      <c r="B11815" t="s">
        <v>347</v>
      </c>
      <c r="C11815" s="2">
        <v>0.21790000000000001</v>
      </c>
      <c r="D11815" s="2">
        <v>0.42949999999999999</v>
      </c>
      <c r="E11815" s="2">
        <v>0.12039999999999999</v>
      </c>
      <c r="F11815" s="2">
        <v>0.1022</v>
      </c>
      <c r="G11815" s="2">
        <v>0.1457</v>
      </c>
      <c r="H11815" s="2">
        <v>7.4399999999999994E-2</v>
      </c>
      <c r="I11815" s="2">
        <v>8.4599999999999995E-2</v>
      </c>
      <c r="J11815" s="2">
        <v>6.1600000000000002E-2</v>
      </c>
      <c r="K11815" s="2">
        <v>3.5999999999999997E-2</v>
      </c>
      <c r="L11815" s="2">
        <v>9.6699999999999994E-2</v>
      </c>
      <c r="M11815" s="2">
        <v>7.9600000000000004E-2</v>
      </c>
      <c r="N11815" s="2">
        <v>6.6699999999999995E-2</v>
      </c>
      <c r="O11815" s="2">
        <v>5.5399999999999998E-2</v>
      </c>
      <c r="P11815" s="2">
        <v>1.43E-2</v>
      </c>
      <c r="Q11815" s="2">
        <v>1.7899999999999999E-2</v>
      </c>
      <c r="R11815">
        <v>585</v>
      </c>
    </row>
    <row r="11816" spans="1:18" x14ac:dyDescent="0.35">
      <c r="A11816" t="s">
        <v>227</v>
      </c>
      <c r="B11816" t="s">
        <v>348</v>
      </c>
      <c r="C11816" s="2">
        <v>0.29670000000000002</v>
      </c>
      <c r="D11816" s="2">
        <v>0.41239999999999999</v>
      </c>
      <c r="E11816" s="2">
        <v>0.1353</v>
      </c>
      <c r="F11816" s="2">
        <v>7.7600000000000002E-2</v>
      </c>
      <c r="G11816" s="2">
        <v>9.6199999999999994E-2</v>
      </c>
      <c r="H11816" s="2">
        <v>6.1499999999999999E-2</v>
      </c>
      <c r="I11816" s="2">
        <v>6.6299999999999998E-2</v>
      </c>
      <c r="J11816" s="2">
        <v>5.6599999999999998E-2</v>
      </c>
      <c r="K11816" s="2">
        <v>2.7E-2</v>
      </c>
      <c r="L11816" s="2">
        <v>5.6800000000000003E-2</v>
      </c>
      <c r="M11816" s="2">
        <v>4.5999999999999999E-2</v>
      </c>
      <c r="N11816" s="2">
        <v>2.6200000000000001E-2</v>
      </c>
      <c r="O11816" s="2">
        <v>1.89E-2</v>
      </c>
      <c r="P11816" s="2">
        <v>6.7000000000000002E-3</v>
      </c>
      <c r="Q11816" s="2">
        <v>9.1999999999999998E-3</v>
      </c>
      <c r="R11816">
        <v>764</v>
      </c>
    </row>
    <row r="11817" spans="1:18" x14ac:dyDescent="0.35">
      <c r="A11817" t="s">
        <v>228</v>
      </c>
      <c r="B11817" t="s">
        <v>228</v>
      </c>
      <c r="C11817" s="2">
        <v>0.503</v>
      </c>
      <c r="D11817" s="2">
        <v>0.24610000000000001</v>
      </c>
      <c r="E11817" s="2">
        <v>0.12909999999999999</v>
      </c>
      <c r="F11817" s="2">
        <v>6.9500000000000006E-2</v>
      </c>
      <c r="G11817" s="2">
        <v>6.6600000000000006E-2</v>
      </c>
      <c r="H11817" s="2">
        <v>5.0700000000000002E-2</v>
      </c>
      <c r="I11817" s="2">
        <v>3.5900000000000001E-2</v>
      </c>
      <c r="J11817" s="2">
        <v>3.3399999999999999E-2</v>
      </c>
      <c r="K11817" s="2">
        <v>2.8799999999999999E-2</v>
      </c>
      <c r="L11817" s="2">
        <v>2.5600000000000001E-2</v>
      </c>
      <c r="M11817" s="2">
        <v>2.35E-2</v>
      </c>
      <c r="N11817" s="2">
        <v>1.9199999999999998E-2</v>
      </c>
      <c r="O11817" s="2">
        <v>0.01</v>
      </c>
      <c r="P11817" s="2">
        <v>5.1000000000000004E-3</v>
      </c>
      <c r="Q11817" s="2">
        <v>3.5000000000000001E-3</v>
      </c>
      <c r="R11817">
        <v>2812</v>
      </c>
    </row>
    <row r="11819" spans="1:18" x14ac:dyDescent="0.35">
      <c r="A11819" s="1" t="s">
        <v>2704</v>
      </c>
    </row>
    <row r="11820" spans="1:18" x14ac:dyDescent="0.35">
      <c r="A11820" t="s">
        <v>219</v>
      </c>
      <c r="B11820" t="s">
        <v>301</v>
      </c>
      <c r="C11820" t="s">
        <v>2681</v>
      </c>
      <c r="D11820" t="s">
        <v>2682</v>
      </c>
      <c r="E11820" t="s">
        <v>2683</v>
      </c>
      <c r="F11820" t="s">
        <v>2684</v>
      </c>
      <c r="G11820" t="s">
        <v>2685</v>
      </c>
      <c r="H11820" t="s">
        <v>2686</v>
      </c>
      <c r="I11820" t="s">
        <v>2687</v>
      </c>
      <c r="J11820" t="s">
        <v>2688</v>
      </c>
      <c r="K11820" t="s">
        <v>277</v>
      </c>
      <c r="L11820" t="s">
        <v>2689</v>
      </c>
      <c r="M11820" t="s">
        <v>2690</v>
      </c>
      <c r="N11820" t="s">
        <v>2691</v>
      </c>
      <c r="O11820" t="s">
        <v>2692</v>
      </c>
      <c r="P11820" t="s">
        <v>282</v>
      </c>
      <c r="Q11820" t="s">
        <v>2693</v>
      </c>
      <c r="R11820" t="s">
        <v>226</v>
      </c>
    </row>
    <row r="11821" spans="1:18" x14ac:dyDescent="0.35">
      <c r="A11821" t="s">
        <v>227</v>
      </c>
      <c r="B11821" t="s">
        <v>251</v>
      </c>
      <c r="C11821" s="2">
        <v>0.51880000000000004</v>
      </c>
      <c r="D11821" s="2">
        <v>0.25219999999999998</v>
      </c>
      <c r="E11821" s="2">
        <v>0.11260000000000001</v>
      </c>
      <c r="F11821" s="2">
        <v>5.4600000000000003E-2</v>
      </c>
      <c r="G11821" s="2">
        <v>4.8899999999999999E-2</v>
      </c>
      <c r="H11821" s="2">
        <v>4.1700000000000001E-2</v>
      </c>
      <c r="I11821" s="2">
        <v>2.4500000000000001E-2</v>
      </c>
      <c r="J11821" s="2">
        <v>2.4299999999999999E-2</v>
      </c>
      <c r="K11821" s="2">
        <v>3.4599999999999999E-2</v>
      </c>
      <c r="L11821" s="2">
        <v>2.06E-2</v>
      </c>
      <c r="M11821" s="2">
        <v>2.1399999999999999E-2</v>
      </c>
      <c r="N11821" s="2">
        <v>1.43E-2</v>
      </c>
      <c r="O11821" s="2">
        <v>9.2999999999999992E-3</v>
      </c>
      <c r="P11821" s="2">
        <v>4.8999999999999998E-3</v>
      </c>
      <c r="Q11821" s="2">
        <v>3.3E-3</v>
      </c>
      <c r="R11821">
        <v>2029</v>
      </c>
    </row>
    <row r="11822" spans="1:18" x14ac:dyDescent="0.35">
      <c r="A11822" t="s">
        <v>227</v>
      </c>
      <c r="B11822" t="s">
        <v>252</v>
      </c>
      <c r="C11822" s="2">
        <v>0.44479999999999997</v>
      </c>
      <c r="D11822" s="2">
        <v>0.24740000000000001</v>
      </c>
      <c r="E11822" s="2">
        <v>0.17780000000000001</v>
      </c>
      <c r="F11822" s="2">
        <v>0.1016</v>
      </c>
      <c r="G11822" s="2">
        <v>0.1173</v>
      </c>
      <c r="H11822" s="2">
        <v>7.2300000000000003E-2</v>
      </c>
      <c r="I11822" s="2">
        <v>6.6500000000000004E-2</v>
      </c>
      <c r="J11822" s="2">
        <v>5.6899999999999999E-2</v>
      </c>
      <c r="K11822" s="2">
        <v>9.7000000000000003E-3</v>
      </c>
      <c r="L11822" s="2">
        <v>4.1200000000000001E-2</v>
      </c>
      <c r="M11822" s="2">
        <v>2.7900000000000001E-2</v>
      </c>
      <c r="N11822" s="2">
        <v>0.03</v>
      </c>
      <c r="O11822" s="2">
        <v>1.0500000000000001E-2</v>
      </c>
      <c r="P11822" s="2">
        <v>6.4000000000000003E-3</v>
      </c>
      <c r="Q11822" s="2">
        <v>2.2000000000000001E-3</v>
      </c>
      <c r="R11822">
        <v>621</v>
      </c>
    </row>
    <row r="11823" spans="1:18" x14ac:dyDescent="0.35">
      <c r="A11823" t="s">
        <v>227</v>
      </c>
      <c r="B11823" t="s">
        <v>253</v>
      </c>
      <c r="C11823" s="2">
        <v>0.55769999999999997</v>
      </c>
      <c r="D11823" s="2">
        <v>0.1608</v>
      </c>
      <c r="E11823" s="2">
        <v>0.1368</v>
      </c>
      <c r="F11823" s="2">
        <v>0.13420000000000001</v>
      </c>
      <c r="G11823" s="2">
        <v>8.5500000000000007E-2</v>
      </c>
      <c r="H11823" s="2">
        <v>0.08</v>
      </c>
      <c r="I11823" s="2">
        <v>0.06</v>
      </c>
      <c r="J11823" s="2">
        <v>5.2200000000000003E-2</v>
      </c>
      <c r="K11823" s="2">
        <v>2.1499999999999998E-2</v>
      </c>
      <c r="L11823" s="2">
        <v>2.6599999999999999E-2</v>
      </c>
      <c r="M11823" s="2">
        <v>3.3500000000000002E-2</v>
      </c>
      <c r="N11823" s="2">
        <v>4.02E-2</v>
      </c>
      <c r="O11823" s="2">
        <v>1.8599999999999998E-2</v>
      </c>
      <c r="P11823" s="2">
        <v>1.6999999999999999E-3</v>
      </c>
      <c r="Q11823" s="2">
        <v>1.24E-2</v>
      </c>
      <c r="R11823">
        <v>153</v>
      </c>
    </row>
    <row r="11824" spans="1:18" x14ac:dyDescent="0.35">
      <c r="A11824" s="3" t="s">
        <v>227</v>
      </c>
      <c r="B11824" s="3" t="s">
        <v>254</v>
      </c>
      <c r="C11824" s="4">
        <v>6.0699999999999997E-2</v>
      </c>
      <c r="D11824" s="4">
        <v>0.124</v>
      </c>
      <c r="E11824" s="4">
        <v>0.28179999999999999</v>
      </c>
      <c r="F11824" s="5"/>
      <c r="G11824" s="4">
        <v>0.1237</v>
      </c>
      <c r="H11824" s="5"/>
      <c r="I11824" s="5"/>
      <c r="J11824" s="4">
        <v>0.1237</v>
      </c>
      <c r="K11824" s="4">
        <v>0.35170000000000001</v>
      </c>
      <c r="L11824" s="5"/>
      <c r="M11824" s="5"/>
      <c r="N11824" s="5"/>
      <c r="O11824" s="5"/>
      <c r="P11824" s="4">
        <v>5.8000000000000003E-2</v>
      </c>
      <c r="Q11824" s="5"/>
      <c r="R11824" s="5" t="s">
        <v>515</v>
      </c>
    </row>
    <row r="11825" spans="1:18" x14ac:dyDescent="0.35">
      <c r="A11825" t="s">
        <v>228</v>
      </c>
      <c r="B11825" t="s">
        <v>228</v>
      </c>
      <c r="C11825" s="2">
        <v>0.503</v>
      </c>
      <c r="D11825" s="2">
        <v>0.24610000000000001</v>
      </c>
      <c r="E11825" s="2">
        <v>0.12909999999999999</v>
      </c>
      <c r="F11825" s="2">
        <v>6.9500000000000006E-2</v>
      </c>
      <c r="G11825" s="2">
        <v>6.6600000000000006E-2</v>
      </c>
      <c r="H11825" s="2">
        <v>5.0700000000000002E-2</v>
      </c>
      <c r="I11825" s="2">
        <v>3.5900000000000001E-2</v>
      </c>
      <c r="J11825" s="2">
        <v>3.3399999999999999E-2</v>
      </c>
      <c r="K11825" s="2">
        <v>2.8799999999999999E-2</v>
      </c>
      <c r="L11825" s="2">
        <v>2.5600000000000001E-2</v>
      </c>
      <c r="M11825" s="2">
        <v>2.35E-2</v>
      </c>
      <c r="N11825" s="2">
        <v>1.9199999999999998E-2</v>
      </c>
      <c r="O11825" s="2">
        <v>0.01</v>
      </c>
      <c r="P11825" s="2">
        <v>5.1000000000000004E-3</v>
      </c>
      <c r="Q11825" s="2">
        <v>3.5000000000000001E-3</v>
      </c>
      <c r="R11825">
        <v>2812</v>
      </c>
    </row>
    <row r="11827" spans="1:18" x14ac:dyDescent="0.35">
      <c r="A11827" s="1" t="s">
        <v>2705</v>
      </c>
    </row>
    <row r="11828" spans="1:18" x14ac:dyDescent="0.35">
      <c r="A11828" t="s">
        <v>219</v>
      </c>
      <c r="B11828" t="s">
        <v>301</v>
      </c>
      <c r="C11828" t="s">
        <v>2681</v>
      </c>
      <c r="D11828" t="s">
        <v>2682</v>
      </c>
      <c r="E11828" t="s">
        <v>2683</v>
      </c>
      <c r="F11828" t="s">
        <v>2684</v>
      </c>
      <c r="G11828" t="s">
        <v>2685</v>
      </c>
      <c r="H11828" t="s">
        <v>2686</v>
      </c>
      <c r="I11828" t="s">
        <v>2687</v>
      </c>
      <c r="J11828" t="s">
        <v>2688</v>
      </c>
      <c r="K11828" t="s">
        <v>277</v>
      </c>
      <c r="L11828" t="s">
        <v>2689</v>
      </c>
      <c r="M11828" t="s">
        <v>2690</v>
      </c>
      <c r="N11828" t="s">
        <v>2691</v>
      </c>
      <c r="O11828" t="s">
        <v>2692</v>
      </c>
      <c r="P11828" t="s">
        <v>282</v>
      </c>
      <c r="Q11828" t="s">
        <v>2693</v>
      </c>
      <c r="R11828" t="s">
        <v>226</v>
      </c>
    </row>
    <row r="11829" spans="1:18" x14ac:dyDescent="0.35">
      <c r="A11829" t="s">
        <v>227</v>
      </c>
      <c r="B11829" t="s">
        <v>1335</v>
      </c>
      <c r="C11829" s="2">
        <v>0.52010000000000001</v>
      </c>
      <c r="D11829" s="2">
        <v>0.2392</v>
      </c>
      <c r="E11829" s="2">
        <v>0.14219999999999999</v>
      </c>
      <c r="F11829" s="2">
        <v>5.79E-2</v>
      </c>
      <c r="G11829" s="2">
        <v>4.5499999999999999E-2</v>
      </c>
      <c r="H11829" s="2">
        <v>3.7900000000000003E-2</v>
      </c>
      <c r="I11829" s="2">
        <v>3.3099999999999997E-2</v>
      </c>
      <c r="J11829" s="2">
        <v>2.8500000000000001E-2</v>
      </c>
      <c r="K11829" s="2">
        <v>3.2099999999999997E-2</v>
      </c>
      <c r="L11829" s="2">
        <v>2.6499999999999999E-2</v>
      </c>
      <c r="M11829" s="2">
        <v>1.2500000000000001E-2</v>
      </c>
      <c r="N11829" s="2">
        <v>1.37E-2</v>
      </c>
      <c r="O11829" s="2">
        <v>7.4999999999999997E-3</v>
      </c>
      <c r="P11829" s="2">
        <v>8.8000000000000005E-3</v>
      </c>
      <c r="Q11829" s="2">
        <v>1.6999999999999999E-3</v>
      </c>
      <c r="R11829">
        <v>847</v>
      </c>
    </row>
    <row r="11830" spans="1:18" x14ac:dyDescent="0.35">
      <c r="A11830" s="3" t="s">
        <v>227</v>
      </c>
      <c r="B11830" s="3" t="s">
        <v>1336</v>
      </c>
      <c r="C11830" s="4">
        <v>0.40660000000000002</v>
      </c>
      <c r="D11830" s="5"/>
      <c r="E11830" s="4">
        <v>0.59340000000000004</v>
      </c>
      <c r="F11830" s="5"/>
      <c r="G11830" s="5"/>
      <c r="H11830" s="5"/>
      <c r="I11830" s="5"/>
      <c r="J11830" s="5"/>
      <c r="K11830" s="5"/>
      <c r="L11830" s="4">
        <v>0.59340000000000004</v>
      </c>
      <c r="M11830" s="5"/>
      <c r="N11830" s="5"/>
      <c r="O11830" s="5"/>
      <c r="P11830" s="5"/>
      <c r="Q11830" s="5"/>
      <c r="R11830" s="5" t="s">
        <v>434</v>
      </c>
    </row>
    <row r="11831" spans="1:18" x14ac:dyDescent="0.35">
      <c r="A11831" t="s">
        <v>227</v>
      </c>
      <c r="B11831" t="s">
        <v>1337</v>
      </c>
      <c r="C11831" s="2">
        <v>0.49469999999999997</v>
      </c>
      <c r="D11831" s="2">
        <v>0.25009999999999999</v>
      </c>
      <c r="E11831" s="2">
        <v>0.1215</v>
      </c>
      <c r="F11831" s="2">
        <v>7.5399999999999995E-2</v>
      </c>
      <c r="G11831" s="2">
        <v>7.7399999999999997E-2</v>
      </c>
      <c r="H11831" s="2">
        <v>5.7200000000000001E-2</v>
      </c>
      <c r="I11831" s="2">
        <v>3.7400000000000003E-2</v>
      </c>
      <c r="J11831" s="2">
        <v>3.5900000000000001E-2</v>
      </c>
      <c r="K11831" s="2">
        <v>2.7099999999999999E-2</v>
      </c>
      <c r="L11831" s="2">
        <v>2.3800000000000002E-2</v>
      </c>
      <c r="M11831" s="2">
        <v>2.9100000000000001E-2</v>
      </c>
      <c r="N11831" s="2">
        <v>2.2100000000000002E-2</v>
      </c>
      <c r="O11831" s="2">
        <v>1.14E-2</v>
      </c>
      <c r="P11831" s="2">
        <v>3.3E-3</v>
      </c>
      <c r="Q11831" s="2">
        <v>4.4999999999999997E-3</v>
      </c>
      <c r="R11831">
        <v>1963</v>
      </c>
    </row>
    <row r="11832" spans="1:18" x14ac:dyDescent="0.35">
      <c r="A11832" t="s">
        <v>228</v>
      </c>
      <c r="B11832" t="s">
        <v>228</v>
      </c>
      <c r="C11832" s="2">
        <v>0.503</v>
      </c>
      <c r="D11832" s="2">
        <v>0.24610000000000001</v>
      </c>
      <c r="E11832" s="2">
        <v>0.12909999999999999</v>
      </c>
      <c r="F11832" s="2">
        <v>6.9500000000000006E-2</v>
      </c>
      <c r="G11832" s="2">
        <v>6.6600000000000006E-2</v>
      </c>
      <c r="H11832" s="2">
        <v>5.0700000000000002E-2</v>
      </c>
      <c r="I11832" s="2">
        <v>3.5900000000000001E-2</v>
      </c>
      <c r="J11832" s="2">
        <v>3.3399999999999999E-2</v>
      </c>
      <c r="K11832" s="2">
        <v>2.8799999999999999E-2</v>
      </c>
      <c r="L11832" s="2">
        <v>2.5600000000000001E-2</v>
      </c>
      <c r="M11832" s="2">
        <v>2.35E-2</v>
      </c>
      <c r="N11832" s="2">
        <v>1.9199999999999998E-2</v>
      </c>
      <c r="O11832" s="2">
        <v>0.01</v>
      </c>
      <c r="P11832" s="2">
        <v>5.1000000000000004E-3</v>
      </c>
      <c r="Q11832" s="2">
        <v>3.5000000000000001E-3</v>
      </c>
      <c r="R11832">
        <v>2812</v>
      </c>
    </row>
    <row r="11834" spans="1:18" x14ac:dyDescent="0.35">
      <c r="A11834" s="1" t="s">
        <v>2706</v>
      </c>
    </row>
    <row r="11835" spans="1:18" x14ac:dyDescent="0.35">
      <c r="A11835" t="s">
        <v>219</v>
      </c>
      <c r="B11835" t="s">
        <v>301</v>
      </c>
      <c r="C11835" t="s">
        <v>2681</v>
      </c>
      <c r="D11835" t="s">
        <v>2682</v>
      </c>
      <c r="E11835" t="s">
        <v>2683</v>
      </c>
      <c r="F11835" t="s">
        <v>2684</v>
      </c>
      <c r="G11835" t="s">
        <v>2685</v>
      </c>
      <c r="H11835" t="s">
        <v>2686</v>
      </c>
      <c r="I11835" t="s">
        <v>2687</v>
      </c>
      <c r="J11835" t="s">
        <v>2688</v>
      </c>
      <c r="K11835" t="s">
        <v>277</v>
      </c>
      <c r="L11835" t="s">
        <v>2689</v>
      </c>
      <c r="M11835" t="s">
        <v>2690</v>
      </c>
      <c r="N11835" t="s">
        <v>2691</v>
      </c>
      <c r="O11835" t="s">
        <v>2692</v>
      </c>
      <c r="P11835" t="s">
        <v>282</v>
      </c>
      <c r="Q11835" t="s">
        <v>2693</v>
      </c>
      <c r="R11835" t="s">
        <v>226</v>
      </c>
    </row>
    <row r="11836" spans="1:18" x14ac:dyDescent="0.35">
      <c r="A11836" t="s">
        <v>227</v>
      </c>
      <c r="B11836" t="s">
        <v>1339</v>
      </c>
      <c r="C11836" s="2">
        <v>0.74080000000000001</v>
      </c>
      <c r="D11836" s="2">
        <v>9.9900000000000003E-2</v>
      </c>
      <c r="E11836" s="2">
        <v>8.0100000000000005E-2</v>
      </c>
      <c r="F11836" s="2">
        <v>7.9200000000000007E-2</v>
      </c>
      <c r="G11836" s="2">
        <v>4.1799999999999997E-2</v>
      </c>
      <c r="H11836" s="2">
        <v>6.9199999999999998E-2</v>
      </c>
      <c r="I11836" s="2">
        <v>1.12E-2</v>
      </c>
      <c r="J11836" s="2">
        <v>0.01</v>
      </c>
      <c r="K11836" s="2">
        <v>3.8E-3</v>
      </c>
      <c r="R11836">
        <v>51</v>
      </c>
    </row>
    <row r="11837" spans="1:18" x14ac:dyDescent="0.35">
      <c r="A11837" t="s">
        <v>227</v>
      </c>
      <c r="B11837" t="s">
        <v>1340</v>
      </c>
      <c r="C11837" s="2">
        <v>0.47510000000000002</v>
      </c>
      <c r="D11837" s="2">
        <v>0.26319999999999999</v>
      </c>
      <c r="E11837" s="2">
        <v>0.15909999999999999</v>
      </c>
      <c r="F11837" s="2">
        <v>0.1091</v>
      </c>
      <c r="G11837" s="2">
        <v>8.7800000000000003E-2</v>
      </c>
      <c r="H11837" s="2">
        <v>6.9900000000000004E-2</v>
      </c>
      <c r="I11837" s="2">
        <v>6.9000000000000006E-2</v>
      </c>
      <c r="J11837" s="2">
        <v>5.5899999999999998E-2</v>
      </c>
      <c r="K11837" s="2">
        <v>2.7000000000000001E-3</v>
      </c>
      <c r="L11837" s="2">
        <v>4.48E-2</v>
      </c>
      <c r="M11837" s="2">
        <v>3.5400000000000001E-2</v>
      </c>
      <c r="N11837" s="2">
        <v>3.8899999999999997E-2</v>
      </c>
      <c r="O11837" s="2">
        <v>2.1000000000000001E-2</v>
      </c>
      <c r="P11837" s="2">
        <v>6.6E-3</v>
      </c>
      <c r="Q11837" s="2">
        <v>4.7000000000000002E-3</v>
      </c>
      <c r="R11837">
        <v>729</v>
      </c>
    </row>
    <row r="11838" spans="1:18" x14ac:dyDescent="0.35">
      <c r="A11838" t="s">
        <v>227</v>
      </c>
      <c r="B11838" t="s">
        <v>1341</v>
      </c>
      <c r="C11838" s="2">
        <v>0.48449999999999999</v>
      </c>
      <c r="D11838" s="2">
        <v>0.24640000000000001</v>
      </c>
      <c r="E11838" s="2">
        <v>0.1472</v>
      </c>
      <c r="F11838" s="2">
        <v>6.8699999999999997E-2</v>
      </c>
      <c r="G11838" s="2">
        <v>7.5800000000000006E-2</v>
      </c>
      <c r="H11838" s="2">
        <v>5.2999999999999999E-2</v>
      </c>
      <c r="I11838" s="2">
        <v>3.2000000000000001E-2</v>
      </c>
      <c r="J11838" s="2">
        <v>3.5499999999999997E-2</v>
      </c>
      <c r="K11838" s="2">
        <v>2.18E-2</v>
      </c>
      <c r="L11838" s="2">
        <v>2.3300000000000001E-2</v>
      </c>
      <c r="M11838" s="2">
        <v>1.7500000000000002E-2</v>
      </c>
      <c r="N11838" s="2">
        <v>1.47E-2</v>
      </c>
      <c r="O11838" s="2">
        <v>8.3000000000000001E-3</v>
      </c>
      <c r="P11838" s="2">
        <v>5.1999999999999998E-3</v>
      </c>
      <c r="Q11838" s="2">
        <v>4.1999999999999997E-3</v>
      </c>
      <c r="R11838">
        <v>1343</v>
      </c>
    </row>
    <row r="11839" spans="1:18" x14ac:dyDescent="0.35">
      <c r="A11839" t="s">
        <v>227</v>
      </c>
      <c r="B11839" t="s">
        <v>1342</v>
      </c>
      <c r="C11839" s="2">
        <v>0.54849999999999999</v>
      </c>
      <c r="D11839" s="2">
        <v>0.24210000000000001</v>
      </c>
      <c r="E11839" s="2">
        <v>6.4299999999999996E-2</v>
      </c>
      <c r="F11839" s="2">
        <v>2.9700000000000001E-2</v>
      </c>
      <c r="G11839" s="2">
        <v>2.7699999999999999E-2</v>
      </c>
      <c r="H11839" s="2">
        <v>2.4299999999999999E-2</v>
      </c>
      <c r="I11839" s="2">
        <v>1.2999999999999999E-2</v>
      </c>
      <c r="J11839" s="2">
        <v>8.2000000000000007E-3</v>
      </c>
      <c r="K11839" s="2">
        <v>7.2800000000000004E-2</v>
      </c>
      <c r="L11839" s="2">
        <v>1.34E-2</v>
      </c>
      <c r="M11839" s="2">
        <v>2.6599999999999999E-2</v>
      </c>
      <c r="N11839" s="2">
        <v>1.0800000000000001E-2</v>
      </c>
      <c r="O11839" s="2">
        <v>3.5999999999999999E-3</v>
      </c>
      <c r="P11839" s="2">
        <v>4.0000000000000001E-3</v>
      </c>
      <c r="Q11839" s="2">
        <v>1.1999999999999999E-3</v>
      </c>
      <c r="R11839">
        <v>689</v>
      </c>
    </row>
    <row r="11840" spans="1:18" x14ac:dyDescent="0.35">
      <c r="A11840" t="s">
        <v>228</v>
      </c>
      <c r="B11840" t="s">
        <v>228</v>
      </c>
      <c r="C11840" s="2">
        <v>0.503</v>
      </c>
      <c r="D11840" s="2">
        <v>0.24610000000000001</v>
      </c>
      <c r="E11840" s="2">
        <v>0.12909999999999999</v>
      </c>
      <c r="F11840" s="2">
        <v>6.9500000000000006E-2</v>
      </c>
      <c r="G11840" s="2">
        <v>6.6600000000000006E-2</v>
      </c>
      <c r="H11840" s="2">
        <v>5.0700000000000002E-2</v>
      </c>
      <c r="I11840" s="2">
        <v>3.5900000000000001E-2</v>
      </c>
      <c r="J11840" s="2">
        <v>3.3399999999999999E-2</v>
      </c>
      <c r="K11840" s="2">
        <v>2.8799999999999999E-2</v>
      </c>
      <c r="L11840" s="2">
        <v>2.5600000000000001E-2</v>
      </c>
      <c r="M11840" s="2">
        <v>2.35E-2</v>
      </c>
      <c r="N11840" s="2">
        <v>1.9199999999999998E-2</v>
      </c>
      <c r="O11840" s="2">
        <v>0.01</v>
      </c>
      <c r="P11840" s="2">
        <v>5.1000000000000004E-3</v>
      </c>
      <c r="Q11840" s="2">
        <v>3.5000000000000001E-3</v>
      </c>
      <c r="R11840">
        <v>2812</v>
      </c>
    </row>
    <row r="11842" spans="1:19" x14ac:dyDescent="0.35">
      <c r="A11842" s="1" t="s">
        <v>2707</v>
      </c>
    </row>
    <row r="11843" spans="1:19" x14ac:dyDescent="0.35">
      <c r="A11843" t="s">
        <v>219</v>
      </c>
      <c r="B11843" t="s">
        <v>301</v>
      </c>
      <c r="C11843" t="s">
        <v>325</v>
      </c>
      <c r="D11843" t="s">
        <v>2681</v>
      </c>
      <c r="E11843" t="s">
        <v>2682</v>
      </c>
      <c r="F11843" t="s">
        <v>2683</v>
      </c>
      <c r="G11843" t="s">
        <v>2684</v>
      </c>
      <c r="H11843" t="s">
        <v>2685</v>
      </c>
      <c r="I11843" t="s">
        <v>2686</v>
      </c>
      <c r="J11843" t="s">
        <v>2687</v>
      </c>
      <c r="K11843" t="s">
        <v>2688</v>
      </c>
      <c r="L11843" t="s">
        <v>277</v>
      </c>
      <c r="M11843" t="s">
        <v>2689</v>
      </c>
      <c r="N11843" t="s">
        <v>2690</v>
      </c>
      <c r="O11843" t="s">
        <v>2691</v>
      </c>
      <c r="P11843" t="s">
        <v>2692</v>
      </c>
      <c r="Q11843" t="s">
        <v>282</v>
      </c>
      <c r="R11843" t="s">
        <v>2693</v>
      </c>
      <c r="S11843" t="s">
        <v>226</v>
      </c>
    </row>
    <row r="11844" spans="1:19" x14ac:dyDescent="0.35">
      <c r="A11844" s="3" t="s">
        <v>227</v>
      </c>
      <c r="B11844" s="3" t="s">
        <v>1335</v>
      </c>
      <c r="C11844" s="3" t="s">
        <v>1339</v>
      </c>
      <c r="D11844" s="4">
        <v>0.68920000000000003</v>
      </c>
      <c r="E11844" s="4">
        <v>9.11E-2</v>
      </c>
      <c r="F11844" s="4">
        <v>0.1168</v>
      </c>
      <c r="G11844" s="4">
        <v>2.7300000000000001E-2</v>
      </c>
      <c r="H11844" s="4">
        <v>0.10290000000000001</v>
      </c>
      <c r="I11844" s="5"/>
      <c r="J11844" s="4">
        <v>2.7300000000000001E-2</v>
      </c>
      <c r="K11844" s="4">
        <v>2.7300000000000001E-2</v>
      </c>
      <c r="L11844" s="5"/>
      <c r="M11844" s="5"/>
      <c r="N11844" s="5"/>
      <c r="O11844" s="5"/>
      <c r="P11844" s="5"/>
      <c r="Q11844" s="5"/>
      <c r="R11844" s="5"/>
      <c r="S11844" s="5" t="s">
        <v>427</v>
      </c>
    </row>
    <row r="11845" spans="1:19" x14ac:dyDescent="0.35">
      <c r="A11845" t="s">
        <v>227</v>
      </c>
      <c r="B11845" t="s">
        <v>1335</v>
      </c>
      <c r="C11845" t="s">
        <v>1340</v>
      </c>
      <c r="D11845" s="2">
        <v>0.47839999999999999</v>
      </c>
      <c r="E11845" s="2">
        <v>0.27529999999999999</v>
      </c>
      <c r="F11845" s="2">
        <v>0.15409999999999999</v>
      </c>
      <c r="G11845" s="2">
        <v>9.1899999999999996E-2</v>
      </c>
      <c r="H11845" s="2">
        <v>7.6300000000000007E-2</v>
      </c>
      <c r="I11845" s="2">
        <v>7.4999999999999997E-2</v>
      </c>
      <c r="J11845" s="2">
        <v>6.4500000000000002E-2</v>
      </c>
      <c r="K11845" s="2">
        <v>5.0799999999999998E-2</v>
      </c>
      <c r="L11845" s="2">
        <v>2.2000000000000001E-3</v>
      </c>
      <c r="M11845" s="2">
        <v>3.95E-2</v>
      </c>
      <c r="N11845" s="2">
        <v>2.0299999999999999E-2</v>
      </c>
      <c r="O11845" s="2">
        <v>2.4899999999999999E-2</v>
      </c>
      <c r="P11845" s="2">
        <v>1.43E-2</v>
      </c>
      <c r="Q11845" s="2">
        <v>1.7100000000000001E-2</v>
      </c>
      <c r="R11845" s="2">
        <v>3.5999999999999999E-3</v>
      </c>
      <c r="S11845">
        <v>252</v>
      </c>
    </row>
    <row r="11846" spans="1:19" x14ac:dyDescent="0.35">
      <c r="A11846" t="s">
        <v>227</v>
      </c>
      <c r="B11846" t="s">
        <v>1335</v>
      </c>
      <c r="C11846" t="s">
        <v>1341</v>
      </c>
      <c r="D11846" s="2">
        <v>0.50770000000000004</v>
      </c>
      <c r="E11846" s="2">
        <v>0.22689999999999999</v>
      </c>
      <c r="F11846" s="2">
        <v>0.16739999999999999</v>
      </c>
      <c r="G11846" s="2">
        <v>6.3E-2</v>
      </c>
      <c r="H11846" s="2">
        <v>3.78E-2</v>
      </c>
      <c r="I11846" s="2">
        <v>3.4799999999999998E-2</v>
      </c>
      <c r="J11846" s="2">
        <v>2.1499999999999998E-2</v>
      </c>
      <c r="K11846" s="2">
        <v>2.3300000000000001E-2</v>
      </c>
      <c r="L11846" s="2">
        <v>3.6999999999999998E-2</v>
      </c>
      <c r="M11846" s="2">
        <v>2.5100000000000001E-2</v>
      </c>
      <c r="N11846" s="2">
        <v>8.6E-3</v>
      </c>
      <c r="O11846" s="2">
        <v>1.32E-2</v>
      </c>
      <c r="P11846" s="2">
        <v>6.6E-3</v>
      </c>
      <c r="Q11846" s="2">
        <v>7.4000000000000003E-3</v>
      </c>
      <c r="R11846" s="2">
        <v>1.2999999999999999E-3</v>
      </c>
      <c r="S11846">
        <v>418</v>
      </c>
    </row>
    <row r="11847" spans="1:19" x14ac:dyDescent="0.35">
      <c r="A11847" t="s">
        <v>227</v>
      </c>
      <c r="B11847" t="s">
        <v>1335</v>
      </c>
      <c r="C11847" t="s">
        <v>1342</v>
      </c>
      <c r="D11847" s="2">
        <v>0.58730000000000004</v>
      </c>
      <c r="E11847" s="2">
        <v>0.24299999999999999</v>
      </c>
      <c r="F11847" s="2">
        <v>6.1699999999999998E-2</v>
      </c>
      <c r="G11847" s="2">
        <v>3.0999999999999999E-3</v>
      </c>
      <c r="H11847" s="2">
        <v>1.7899999999999999E-2</v>
      </c>
      <c r="I11847" s="2">
        <v>1.6000000000000001E-3</v>
      </c>
      <c r="J11847" s="2">
        <v>2.29E-2</v>
      </c>
      <c r="K11847" s="2">
        <v>1.2999999999999999E-2</v>
      </c>
      <c r="L11847" s="2">
        <v>6.3E-2</v>
      </c>
      <c r="M11847" s="2">
        <v>1.6500000000000001E-2</v>
      </c>
      <c r="N11847" s="2">
        <v>1.41E-2</v>
      </c>
      <c r="O11847" s="2">
        <v>1.6000000000000001E-3</v>
      </c>
      <c r="P11847" s="2">
        <v>1.6000000000000001E-3</v>
      </c>
      <c r="Q11847" s="2">
        <v>2.7000000000000001E-3</v>
      </c>
      <c r="R11847" s="2">
        <v>4.0000000000000002E-4</v>
      </c>
      <c r="S11847">
        <v>157</v>
      </c>
    </row>
    <row r="11848" spans="1:19" x14ac:dyDescent="0.35">
      <c r="A11848" s="3" t="s">
        <v>227</v>
      </c>
      <c r="B11848" s="3" t="s">
        <v>1336</v>
      </c>
      <c r="C11848" s="3" t="s">
        <v>1341</v>
      </c>
      <c r="D11848" s="4">
        <v>0.40660000000000002</v>
      </c>
      <c r="E11848" s="5"/>
      <c r="F11848" s="4">
        <v>0.59340000000000004</v>
      </c>
      <c r="G11848" s="5"/>
      <c r="H11848" s="5"/>
      <c r="I11848" s="5"/>
      <c r="J11848" s="5"/>
      <c r="K11848" s="5"/>
      <c r="L11848" s="5"/>
      <c r="M11848" s="4">
        <v>0.59340000000000004</v>
      </c>
      <c r="N11848" s="5"/>
      <c r="O11848" s="5"/>
      <c r="P11848" s="5"/>
      <c r="Q11848" s="5"/>
      <c r="R11848" s="5"/>
      <c r="S11848" s="5" t="s">
        <v>434</v>
      </c>
    </row>
    <row r="11849" spans="1:19" x14ac:dyDescent="0.35">
      <c r="A11849" t="s">
        <v>227</v>
      </c>
      <c r="B11849" t="s">
        <v>1337</v>
      </c>
      <c r="C11849" t="s">
        <v>1339</v>
      </c>
      <c r="D11849" s="2">
        <v>0.77070000000000005</v>
      </c>
      <c r="E11849" s="2">
        <v>0.105</v>
      </c>
      <c r="F11849" s="2">
        <v>5.8900000000000001E-2</v>
      </c>
      <c r="G11849" s="2">
        <v>0.10929999999999999</v>
      </c>
      <c r="H11849" s="2">
        <v>6.4999999999999997E-3</v>
      </c>
      <c r="I11849" s="2">
        <v>0.10929999999999999</v>
      </c>
      <c r="J11849" s="2">
        <v>1.8E-3</v>
      </c>
      <c r="L11849" s="2">
        <v>5.8999999999999999E-3</v>
      </c>
      <c r="S11849">
        <v>31</v>
      </c>
    </row>
    <row r="11850" spans="1:19" x14ac:dyDescent="0.35">
      <c r="A11850" t="s">
        <v>227</v>
      </c>
      <c r="B11850" t="s">
        <v>1337</v>
      </c>
      <c r="C11850" t="s">
        <v>1340</v>
      </c>
      <c r="D11850" s="2">
        <v>0.47320000000000001</v>
      </c>
      <c r="E11850" s="2">
        <v>0.25640000000000002</v>
      </c>
      <c r="F11850" s="2">
        <v>0.16189999999999999</v>
      </c>
      <c r="G11850" s="2">
        <v>0.11890000000000001</v>
      </c>
      <c r="H11850" s="2">
        <v>9.4299999999999995E-2</v>
      </c>
      <c r="I11850" s="2">
        <v>6.7100000000000007E-2</v>
      </c>
      <c r="J11850" s="2">
        <v>7.1499999999999994E-2</v>
      </c>
      <c r="K11850" s="2">
        <v>5.8799999999999998E-2</v>
      </c>
      <c r="L11850" s="2">
        <v>2.8999999999999998E-3</v>
      </c>
      <c r="M11850" s="2">
        <v>4.7800000000000002E-2</v>
      </c>
      <c r="N11850" s="2">
        <v>4.3900000000000002E-2</v>
      </c>
      <c r="O11850" s="2">
        <v>4.6899999999999997E-2</v>
      </c>
      <c r="P11850" s="2">
        <v>2.4799999999999999E-2</v>
      </c>
      <c r="Q11850" s="2">
        <v>5.9999999999999995E-4</v>
      </c>
      <c r="R11850" s="2">
        <v>5.3E-3</v>
      </c>
      <c r="S11850">
        <v>477</v>
      </c>
    </row>
    <row r="11851" spans="1:19" x14ac:dyDescent="0.35">
      <c r="A11851" t="s">
        <v>227</v>
      </c>
      <c r="B11851" t="s">
        <v>1337</v>
      </c>
      <c r="C11851" t="s">
        <v>1341</v>
      </c>
      <c r="D11851" s="2">
        <v>0.47249999999999998</v>
      </c>
      <c r="E11851" s="2">
        <v>0.25790000000000002</v>
      </c>
      <c r="F11851" s="2">
        <v>0.13439999999999999</v>
      </c>
      <c r="G11851" s="2">
        <v>7.2099999999999997E-2</v>
      </c>
      <c r="H11851" s="2">
        <v>9.6199999999999994E-2</v>
      </c>
      <c r="I11851" s="2">
        <v>6.2899999999999998E-2</v>
      </c>
      <c r="J11851" s="2">
        <v>3.78E-2</v>
      </c>
      <c r="K11851" s="2">
        <v>4.2200000000000001E-2</v>
      </c>
      <c r="L11851" s="2">
        <v>1.38E-2</v>
      </c>
      <c r="M11851" s="2">
        <v>1.9699999999999999E-2</v>
      </c>
      <c r="N11851" s="2">
        <v>2.23E-2</v>
      </c>
      <c r="O11851" s="2">
        <v>1.55E-2</v>
      </c>
      <c r="P11851" s="2">
        <v>9.1999999999999998E-3</v>
      </c>
      <c r="Q11851" s="2">
        <v>4.1000000000000003E-3</v>
      </c>
      <c r="R11851" s="2">
        <v>5.7999999999999996E-3</v>
      </c>
      <c r="S11851">
        <v>923</v>
      </c>
    </row>
    <row r="11852" spans="1:19" x14ac:dyDescent="0.35">
      <c r="A11852" t="s">
        <v>227</v>
      </c>
      <c r="B11852" t="s">
        <v>1337</v>
      </c>
      <c r="C11852" t="s">
        <v>1342</v>
      </c>
      <c r="D11852" s="2">
        <v>0.53369999999999995</v>
      </c>
      <c r="E11852" s="2">
        <v>0.2417</v>
      </c>
      <c r="F11852" s="2">
        <v>6.5299999999999997E-2</v>
      </c>
      <c r="G11852" s="2">
        <v>3.9899999999999998E-2</v>
      </c>
      <c r="H11852" s="2">
        <v>3.15E-2</v>
      </c>
      <c r="I11852" s="2">
        <v>3.2899999999999999E-2</v>
      </c>
      <c r="J11852" s="2">
        <v>9.1999999999999998E-3</v>
      </c>
      <c r="K11852" s="2">
        <v>6.3E-3</v>
      </c>
      <c r="L11852" s="2">
        <v>7.6600000000000001E-2</v>
      </c>
      <c r="M11852" s="2">
        <v>1.23E-2</v>
      </c>
      <c r="N11852" s="2">
        <v>3.15E-2</v>
      </c>
      <c r="O11852" s="2">
        <v>1.43E-2</v>
      </c>
      <c r="P11852" s="2">
        <v>4.4000000000000003E-3</v>
      </c>
      <c r="Q11852" s="2">
        <v>4.4999999999999997E-3</v>
      </c>
      <c r="R11852" s="2">
        <v>1.6000000000000001E-3</v>
      </c>
      <c r="S11852">
        <v>532</v>
      </c>
    </row>
    <row r="11853" spans="1:19" x14ac:dyDescent="0.35">
      <c r="A11853" t="s">
        <v>228</v>
      </c>
      <c r="B11853" t="s">
        <v>228</v>
      </c>
      <c r="C11853" t="s">
        <v>228</v>
      </c>
      <c r="D11853" s="2">
        <v>0.503</v>
      </c>
      <c r="E11853" s="2">
        <v>0.24610000000000001</v>
      </c>
      <c r="F11853" s="2">
        <v>0.12909999999999999</v>
      </c>
      <c r="G11853" s="2">
        <v>6.9500000000000006E-2</v>
      </c>
      <c r="H11853" s="2">
        <v>6.6600000000000006E-2</v>
      </c>
      <c r="I11853" s="2">
        <v>5.0700000000000002E-2</v>
      </c>
      <c r="J11853" s="2">
        <v>3.5900000000000001E-2</v>
      </c>
      <c r="K11853" s="2">
        <v>3.3399999999999999E-2</v>
      </c>
      <c r="L11853" s="2">
        <v>2.8799999999999999E-2</v>
      </c>
      <c r="M11853" s="2">
        <v>2.5600000000000001E-2</v>
      </c>
      <c r="N11853" s="2">
        <v>2.35E-2</v>
      </c>
      <c r="O11853" s="2">
        <v>1.9199999999999998E-2</v>
      </c>
      <c r="P11853" s="2">
        <v>0.01</v>
      </c>
      <c r="Q11853" s="2">
        <v>5.1000000000000004E-3</v>
      </c>
      <c r="R11853" s="2">
        <v>3.5000000000000001E-3</v>
      </c>
      <c r="S11853">
        <v>2812</v>
      </c>
    </row>
    <row r="11855" spans="1:19" x14ac:dyDescent="0.35">
      <c r="A11855" s="1" t="s">
        <v>2708</v>
      </c>
    </row>
    <row r="11856" spans="1:19" x14ac:dyDescent="0.35">
      <c r="A11856" t="s">
        <v>219</v>
      </c>
      <c r="B11856" t="s">
        <v>298</v>
      </c>
      <c r="C11856" t="s">
        <v>299</v>
      </c>
      <c r="D11856" t="s">
        <v>277</v>
      </c>
      <c r="E11856" t="s">
        <v>282</v>
      </c>
      <c r="F11856" t="s">
        <v>226</v>
      </c>
    </row>
    <row r="11857" spans="1:7" x14ac:dyDescent="0.35">
      <c r="A11857" t="s">
        <v>227</v>
      </c>
      <c r="B11857" s="2">
        <v>0.94979999999999998</v>
      </c>
      <c r="C11857" s="2">
        <v>2.8500000000000001E-2</v>
      </c>
      <c r="D11857" s="2">
        <v>1.43E-2</v>
      </c>
      <c r="E11857" s="2">
        <v>7.4000000000000003E-3</v>
      </c>
      <c r="F11857">
        <v>2813</v>
      </c>
    </row>
    <row r="11858" spans="1:7" x14ac:dyDescent="0.35">
      <c r="A11858" t="s">
        <v>228</v>
      </c>
      <c r="B11858" s="2">
        <v>0.94979999999999998</v>
      </c>
      <c r="C11858" s="2">
        <v>2.8500000000000001E-2</v>
      </c>
      <c r="D11858" s="2">
        <v>1.43E-2</v>
      </c>
      <c r="E11858" s="2">
        <v>7.4000000000000003E-3</v>
      </c>
      <c r="F11858">
        <v>2813</v>
      </c>
    </row>
    <row r="11860" spans="1:7" x14ac:dyDescent="0.35">
      <c r="A11860" s="1" t="s">
        <v>2709</v>
      </c>
    </row>
    <row r="11861" spans="1:7" x14ac:dyDescent="0.35">
      <c r="A11861" t="s">
        <v>219</v>
      </c>
      <c r="B11861" t="s">
        <v>301</v>
      </c>
      <c r="C11861" t="s">
        <v>298</v>
      </c>
      <c r="D11861" t="s">
        <v>299</v>
      </c>
      <c r="E11861" t="s">
        <v>277</v>
      </c>
      <c r="F11861" t="s">
        <v>282</v>
      </c>
      <c r="G11861" t="s">
        <v>226</v>
      </c>
    </row>
    <row r="11862" spans="1:7" x14ac:dyDescent="0.35">
      <c r="A11862" t="s">
        <v>227</v>
      </c>
      <c r="B11862" t="s">
        <v>343</v>
      </c>
      <c r="C11862" s="2">
        <v>0.97770000000000001</v>
      </c>
      <c r="D11862" s="2">
        <v>3.2000000000000002E-3</v>
      </c>
      <c r="E11862" s="2">
        <v>8.6999999999999994E-3</v>
      </c>
      <c r="F11862" s="2">
        <v>1.03E-2</v>
      </c>
      <c r="G11862">
        <v>405</v>
      </c>
    </row>
    <row r="11863" spans="1:7" x14ac:dyDescent="0.35">
      <c r="A11863" t="s">
        <v>227</v>
      </c>
      <c r="B11863" t="s">
        <v>344</v>
      </c>
      <c r="C11863" s="2">
        <v>0.94410000000000005</v>
      </c>
      <c r="D11863" s="2">
        <v>3.3599999999999998E-2</v>
      </c>
      <c r="E11863" s="2">
        <v>1.55E-2</v>
      </c>
      <c r="F11863" s="2">
        <v>6.7999999999999996E-3</v>
      </c>
      <c r="G11863">
        <v>2408</v>
      </c>
    </row>
    <row r="11864" spans="1:7" x14ac:dyDescent="0.35">
      <c r="A11864" t="s">
        <v>228</v>
      </c>
      <c r="B11864" t="s">
        <v>228</v>
      </c>
      <c r="C11864" s="2">
        <v>0.94979999999999998</v>
      </c>
      <c r="D11864" s="2">
        <v>2.8500000000000001E-2</v>
      </c>
      <c r="E11864" s="2">
        <v>1.43E-2</v>
      </c>
      <c r="F11864" s="2">
        <v>7.4000000000000003E-3</v>
      </c>
      <c r="G11864">
        <v>2813</v>
      </c>
    </row>
    <row r="11866" spans="1:7" x14ac:dyDescent="0.35">
      <c r="A11866" s="1" t="s">
        <v>2710</v>
      </c>
    </row>
    <row r="11867" spans="1:7" x14ac:dyDescent="0.35">
      <c r="A11867" t="s">
        <v>219</v>
      </c>
      <c r="B11867" t="s">
        <v>301</v>
      </c>
      <c r="C11867" t="s">
        <v>298</v>
      </c>
      <c r="D11867" t="s">
        <v>299</v>
      </c>
      <c r="E11867" t="s">
        <v>277</v>
      </c>
      <c r="F11867" t="s">
        <v>282</v>
      </c>
      <c r="G11867" t="s">
        <v>226</v>
      </c>
    </row>
    <row r="11868" spans="1:7" x14ac:dyDescent="0.35">
      <c r="A11868" t="s">
        <v>227</v>
      </c>
      <c r="B11868" t="s">
        <v>346</v>
      </c>
      <c r="C11868" s="2">
        <v>0.9526</v>
      </c>
      <c r="D11868" s="2">
        <v>2.5600000000000001E-2</v>
      </c>
      <c r="E11868" s="2">
        <v>1.47E-2</v>
      </c>
      <c r="F11868" s="2">
        <v>7.1000000000000004E-3</v>
      </c>
      <c r="G11868">
        <v>1463</v>
      </c>
    </row>
    <row r="11869" spans="1:7" x14ac:dyDescent="0.35">
      <c r="A11869" t="s">
        <v>227</v>
      </c>
      <c r="B11869" t="s">
        <v>347</v>
      </c>
      <c r="C11869" s="2">
        <v>0.93069999999999997</v>
      </c>
      <c r="D11869" s="2">
        <v>5.9799999999999999E-2</v>
      </c>
      <c r="E11869" s="2">
        <v>5.1999999999999998E-3</v>
      </c>
      <c r="F11869" s="2">
        <v>4.4000000000000003E-3</v>
      </c>
      <c r="G11869">
        <v>585</v>
      </c>
    </row>
    <row r="11870" spans="1:7" x14ac:dyDescent="0.35">
      <c r="A11870" t="s">
        <v>227</v>
      </c>
      <c r="B11870" t="s">
        <v>348</v>
      </c>
      <c r="C11870" s="2">
        <v>0.93169999999999997</v>
      </c>
      <c r="D11870" s="2">
        <v>4.2200000000000001E-2</v>
      </c>
      <c r="E11870" s="2">
        <v>1.4500000000000001E-2</v>
      </c>
      <c r="F11870" s="2">
        <v>1.1599999999999999E-2</v>
      </c>
      <c r="G11870">
        <v>765</v>
      </c>
    </row>
    <row r="11871" spans="1:7" x14ac:dyDescent="0.35">
      <c r="A11871" t="s">
        <v>228</v>
      </c>
      <c r="B11871" t="s">
        <v>228</v>
      </c>
      <c r="C11871" s="2">
        <v>0.94979999999999998</v>
      </c>
      <c r="D11871" s="2">
        <v>2.8500000000000001E-2</v>
      </c>
      <c r="E11871" s="2">
        <v>1.43E-2</v>
      </c>
      <c r="F11871" s="2">
        <v>7.4000000000000003E-3</v>
      </c>
      <c r="G11871">
        <v>2813</v>
      </c>
    </row>
    <row r="11873" spans="1:16" x14ac:dyDescent="0.35">
      <c r="A11873" s="1" t="s">
        <v>2711</v>
      </c>
    </row>
    <row r="11874" spans="1:16" x14ac:dyDescent="0.35">
      <c r="A11874" t="s">
        <v>219</v>
      </c>
      <c r="B11874" t="s">
        <v>2712</v>
      </c>
      <c r="C11874" t="s">
        <v>2713</v>
      </c>
      <c r="D11874" t="s">
        <v>2714</v>
      </c>
      <c r="E11874" t="s">
        <v>318</v>
      </c>
      <c r="F11874" t="s">
        <v>2715</v>
      </c>
      <c r="G11874" t="s">
        <v>2716</v>
      </c>
      <c r="H11874" t="s">
        <v>2717</v>
      </c>
      <c r="I11874" t="s">
        <v>2718</v>
      </c>
      <c r="J11874" t="s">
        <v>2719</v>
      </c>
      <c r="K11874" t="s">
        <v>2720</v>
      </c>
      <c r="L11874" t="s">
        <v>2721</v>
      </c>
      <c r="M11874" t="s">
        <v>282</v>
      </c>
      <c r="N11874" t="s">
        <v>277</v>
      </c>
      <c r="O11874" t="s">
        <v>226</v>
      </c>
    </row>
    <row r="11875" spans="1:16" x14ac:dyDescent="0.35">
      <c r="A11875" t="s">
        <v>227</v>
      </c>
      <c r="B11875" s="2">
        <v>0.3473</v>
      </c>
      <c r="C11875" s="2">
        <v>0.2029</v>
      </c>
      <c r="D11875" s="2">
        <v>0.15210000000000001</v>
      </c>
      <c r="E11875" s="2">
        <v>0.13550000000000001</v>
      </c>
      <c r="F11875" s="2">
        <v>7.3700000000000002E-2</v>
      </c>
      <c r="G11875" s="2">
        <v>7.0099999999999996E-2</v>
      </c>
      <c r="H11875" s="2">
        <v>3.6499999999999998E-2</v>
      </c>
      <c r="I11875" s="2">
        <v>3.1800000000000002E-2</v>
      </c>
      <c r="J11875" s="2">
        <v>7.0000000000000001E-3</v>
      </c>
      <c r="K11875" s="2">
        <v>7.0000000000000001E-3</v>
      </c>
      <c r="L11875" s="2">
        <v>3.5000000000000001E-3</v>
      </c>
      <c r="M11875" s="2">
        <v>3.3999999999999998E-3</v>
      </c>
      <c r="N11875" s="2">
        <v>2.5999999999999999E-3</v>
      </c>
      <c r="O11875">
        <v>90</v>
      </c>
    </row>
    <row r="11876" spans="1:16" x14ac:dyDescent="0.35">
      <c r="A11876" t="s">
        <v>228</v>
      </c>
      <c r="B11876" s="2">
        <v>0.3473</v>
      </c>
      <c r="C11876" s="2">
        <v>0.2029</v>
      </c>
      <c r="D11876" s="2">
        <v>0.15210000000000001</v>
      </c>
      <c r="E11876" s="2">
        <v>0.13550000000000001</v>
      </c>
      <c r="F11876" s="2">
        <v>7.3700000000000002E-2</v>
      </c>
      <c r="G11876" s="2">
        <v>7.0099999999999996E-2</v>
      </c>
      <c r="H11876" s="2">
        <v>3.6499999999999998E-2</v>
      </c>
      <c r="I11876" s="2">
        <v>3.1800000000000002E-2</v>
      </c>
      <c r="J11876" s="2">
        <v>7.0000000000000001E-3</v>
      </c>
      <c r="K11876" s="2">
        <v>7.0000000000000001E-3</v>
      </c>
      <c r="L11876" s="2">
        <v>3.5000000000000001E-3</v>
      </c>
      <c r="M11876" s="2">
        <v>3.3999999999999998E-3</v>
      </c>
      <c r="N11876" s="2">
        <v>2.5999999999999999E-3</v>
      </c>
      <c r="O11876">
        <v>90</v>
      </c>
    </row>
    <row r="11878" spans="1:16" x14ac:dyDescent="0.35">
      <c r="A11878" s="1" t="s">
        <v>2722</v>
      </c>
    </row>
    <row r="11879" spans="1:16" x14ac:dyDescent="0.35">
      <c r="A11879" t="s">
        <v>219</v>
      </c>
      <c r="B11879" t="s">
        <v>301</v>
      </c>
      <c r="C11879" t="s">
        <v>2712</v>
      </c>
      <c r="D11879" t="s">
        <v>2713</v>
      </c>
      <c r="E11879" t="s">
        <v>2714</v>
      </c>
      <c r="F11879" t="s">
        <v>318</v>
      </c>
      <c r="G11879" t="s">
        <v>2715</v>
      </c>
      <c r="H11879" t="s">
        <v>2716</v>
      </c>
      <c r="I11879" t="s">
        <v>2717</v>
      </c>
      <c r="J11879" t="s">
        <v>2718</v>
      </c>
      <c r="K11879" t="s">
        <v>2719</v>
      </c>
      <c r="L11879" t="s">
        <v>2720</v>
      </c>
      <c r="M11879" t="s">
        <v>2721</v>
      </c>
      <c r="N11879" t="s">
        <v>282</v>
      </c>
      <c r="O11879" t="s">
        <v>277</v>
      </c>
      <c r="P11879" t="s">
        <v>226</v>
      </c>
    </row>
    <row r="11880" spans="1:16" x14ac:dyDescent="0.35">
      <c r="A11880" s="3" t="s">
        <v>227</v>
      </c>
      <c r="B11880" s="3" t="s">
        <v>343</v>
      </c>
      <c r="C11880" s="4">
        <v>0.4269</v>
      </c>
      <c r="D11880" s="4">
        <v>0.21379999999999999</v>
      </c>
      <c r="E11880" s="5"/>
      <c r="F11880" s="4">
        <v>0.1709</v>
      </c>
      <c r="G11880" s="5"/>
      <c r="H11880" s="5"/>
      <c r="I11880" s="5"/>
      <c r="J11880" s="5"/>
      <c r="K11880" s="5"/>
      <c r="L11880" s="5"/>
      <c r="M11880" s="5"/>
      <c r="N11880" s="4">
        <v>0.18840000000000001</v>
      </c>
      <c r="O11880" s="5"/>
      <c r="P11880" s="5" t="s">
        <v>437</v>
      </c>
    </row>
    <row r="11881" spans="1:16" x14ac:dyDescent="0.35">
      <c r="A11881" t="s">
        <v>227</v>
      </c>
      <c r="B11881" t="s">
        <v>344</v>
      </c>
      <c r="C11881" s="2">
        <v>0.34589999999999999</v>
      </c>
      <c r="D11881" s="2">
        <v>0.2026</v>
      </c>
      <c r="E11881" s="2">
        <v>0.15490000000000001</v>
      </c>
      <c r="F11881" s="2">
        <v>0.13489999999999999</v>
      </c>
      <c r="G11881" s="2">
        <v>7.51E-2</v>
      </c>
      <c r="H11881" s="2">
        <v>7.1400000000000005E-2</v>
      </c>
      <c r="I11881" s="2">
        <v>3.7199999999999997E-2</v>
      </c>
      <c r="J11881" s="2">
        <v>3.2399999999999998E-2</v>
      </c>
      <c r="K11881" s="2">
        <v>7.1000000000000004E-3</v>
      </c>
      <c r="L11881" s="2">
        <v>7.1000000000000004E-3</v>
      </c>
      <c r="M11881" s="2">
        <v>3.5999999999999999E-3</v>
      </c>
      <c r="O11881" s="2">
        <v>2.5999999999999999E-3</v>
      </c>
      <c r="P11881">
        <v>84</v>
      </c>
    </row>
    <row r="11882" spans="1:16" x14ac:dyDescent="0.35">
      <c r="A11882" t="s">
        <v>228</v>
      </c>
      <c r="B11882" t="s">
        <v>228</v>
      </c>
      <c r="C11882" s="2">
        <v>0.3473</v>
      </c>
      <c r="D11882" s="2">
        <v>0.2029</v>
      </c>
      <c r="E11882" s="2">
        <v>0.15210000000000001</v>
      </c>
      <c r="F11882" s="2">
        <v>0.13550000000000001</v>
      </c>
      <c r="G11882" s="2">
        <v>7.3700000000000002E-2</v>
      </c>
      <c r="H11882" s="2">
        <v>7.0099999999999996E-2</v>
      </c>
      <c r="I11882" s="2">
        <v>3.6499999999999998E-2</v>
      </c>
      <c r="J11882" s="2">
        <v>3.1800000000000002E-2</v>
      </c>
      <c r="K11882" s="2">
        <v>7.0000000000000001E-3</v>
      </c>
      <c r="L11882" s="2">
        <v>7.0000000000000001E-3</v>
      </c>
      <c r="M11882" s="2">
        <v>3.5000000000000001E-3</v>
      </c>
      <c r="N11882" s="2">
        <v>3.3999999999999998E-3</v>
      </c>
      <c r="O11882" s="2">
        <v>2.5999999999999999E-3</v>
      </c>
      <c r="P11882">
        <v>90</v>
      </c>
    </row>
    <row r="11884" spans="1:16" x14ac:dyDescent="0.35">
      <c r="A11884" s="1" t="s">
        <v>2723</v>
      </c>
    </row>
    <row r="11885" spans="1:16" x14ac:dyDescent="0.35">
      <c r="A11885" t="s">
        <v>219</v>
      </c>
      <c r="B11885" t="s">
        <v>301</v>
      </c>
      <c r="C11885" t="s">
        <v>2712</v>
      </c>
      <c r="D11885" t="s">
        <v>2713</v>
      </c>
      <c r="E11885" t="s">
        <v>2714</v>
      </c>
      <c r="F11885" t="s">
        <v>318</v>
      </c>
      <c r="G11885" t="s">
        <v>2715</v>
      </c>
      <c r="H11885" t="s">
        <v>2716</v>
      </c>
      <c r="I11885" t="s">
        <v>2717</v>
      </c>
      <c r="J11885" t="s">
        <v>2718</v>
      </c>
      <c r="K11885" t="s">
        <v>2719</v>
      </c>
      <c r="L11885" t="s">
        <v>2720</v>
      </c>
      <c r="M11885" t="s">
        <v>2721</v>
      </c>
      <c r="N11885" t="s">
        <v>282</v>
      </c>
      <c r="O11885" t="s">
        <v>277</v>
      </c>
      <c r="P11885" t="s">
        <v>226</v>
      </c>
    </row>
    <row r="11886" spans="1:16" x14ac:dyDescent="0.35">
      <c r="A11886" t="s">
        <v>227</v>
      </c>
      <c r="B11886" t="s">
        <v>346</v>
      </c>
      <c r="C11886" s="2">
        <v>0.35880000000000001</v>
      </c>
      <c r="D11886" s="2">
        <v>0.20499999999999999</v>
      </c>
      <c r="E11886" s="2">
        <v>0.13020000000000001</v>
      </c>
      <c r="F11886" s="2">
        <v>0.1535</v>
      </c>
      <c r="G11886" s="2">
        <v>7.1900000000000006E-2</v>
      </c>
      <c r="H11886" s="2">
        <v>4.7899999999999998E-2</v>
      </c>
      <c r="I11886" s="2">
        <v>3.32E-2</v>
      </c>
      <c r="J11886" s="2">
        <v>3.2800000000000003E-2</v>
      </c>
      <c r="K11886" s="2">
        <v>8.8000000000000005E-3</v>
      </c>
      <c r="L11886" s="2">
        <v>8.8000000000000005E-3</v>
      </c>
      <c r="M11886" s="2">
        <v>2.2000000000000001E-3</v>
      </c>
      <c r="O11886" s="2">
        <v>3.2000000000000002E-3</v>
      </c>
      <c r="P11886">
        <v>33</v>
      </c>
    </row>
    <row r="11887" spans="1:16" x14ac:dyDescent="0.35">
      <c r="A11887" s="3" t="s">
        <v>227</v>
      </c>
      <c r="B11887" s="3" t="s">
        <v>347</v>
      </c>
      <c r="C11887" s="4">
        <v>0.27339999999999998</v>
      </c>
      <c r="D11887" s="4">
        <v>0.20250000000000001</v>
      </c>
      <c r="E11887" s="4">
        <v>0.1835</v>
      </c>
      <c r="F11887" s="4">
        <v>5.3900000000000003E-2</v>
      </c>
      <c r="G11887" s="4">
        <v>0.15090000000000001</v>
      </c>
      <c r="H11887" s="4">
        <v>5.3900000000000003E-2</v>
      </c>
      <c r="I11887" s="4">
        <v>5.4399999999999997E-2</v>
      </c>
      <c r="J11887" s="4">
        <v>8.14E-2</v>
      </c>
      <c r="K11887" s="5"/>
      <c r="L11887" s="5"/>
      <c r="M11887" s="5"/>
      <c r="N11887" s="5"/>
      <c r="O11887" s="5"/>
      <c r="P11887" s="5" t="s">
        <v>851</v>
      </c>
    </row>
    <row r="11888" spans="1:16" x14ac:dyDescent="0.35">
      <c r="A11888" s="3" t="s">
        <v>227</v>
      </c>
      <c r="B11888" s="3" t="s">
        <v>348</v>
      </c>
      <c r="C11888" s="4">
        <v>0.32069999999999999</v>
      </c>
      <c r="D11888" s="4">
        <v>0.1908</v>
      </c>
      <c r="E11888" s="4">
        <v>0.2606</v>
      </c>
      <c r="F11888" s="4">
        <v>7.5499999999999998E-2</v>
      </c>
      <c r="G11888" s="4">
        <v>4.3799999999999999E-2</v>
      </c>
      <c r="H11888" s="4">
        <v>0.20480000000000001</v>
      </c>
      <c r="I11888" s="4">
        <v>4.6600000000000003E-2</v>
      </c>
      <c r="J11888" s="5"/>
      <c r="K11888" s="5"/>
      <c r="L11888" s="5"/>
      <c r="M11888" s="4">
        <v>1.24E-2</v>
      </c>
      <c r="N11888" s="4">
        <v>2.4799999999999999E-2</v>
      </c>
      <c r="O11888" s="5"/>
      <c r="P11888" s="5" t="s">
        <v>2724</v>
      </c>
    </row>
    <row r="11889" spans="1:19" x14ac:dyDescent="0.35">
      <c r="A11889" t="s">
        <v>228</v>
      </c>
      <c r="B11889" t="s">
        <v>228</v>
      </c>
      <c r="C11889" s="2">
        <v>0.3473</v>
      </c>
      <c r="D11889" s="2">
        <v>0.2029</v>
      </c>
      <c r="E11889" s="2">
        <v>0.15210000000000001</v>
      </c>
      <c r="F11889" s="2">
        <v>0.13550000000000001</v>
      </c>
      <c r="G11889" s="2">
        <v>7.3700000000000002E-2</v>
      </c>
      <c r="H11889" s="2">
        <v>7.0099999999999996E-2</v>
      </c>
      <c r="I11889" s="2">
        <v>3.6499999999999998E-2</v>
      </c>
      <c r="J11889" s="2">
        <v>3.1800000000000002E-2</v>
      </c>
      <c r="K11889" s="2">
        <v>7.0000000000000001E-3</v>
      </c>
      <c r="L11889" s="2">
        <v>7.0000000000000001E-3</v>
      </c>
      <c r="M11889" s="2">
        <v>3.5000000000000001E-3</v>
      </c>
      <c r="N11889" s="2">
        <v>3.3999999999999998E-3</v>
      </c>
      <c r="O11889" s="2">
        <v>2.5999999999999999E-3</v>
      </c>
      <c r="P11889">
        <v>90</v>
      </c>
    </row>
    <row r="11891" spans="1:19" x14ac:dyDescent="0.35">
      <c r="A11891" s="1" t="s">
        <v>2725</v>
      </c>
    </row>
    <row r="11892" spans="1:19" x14ac:dyDescent="0.35">
      <c r="A11892" t="s">
        <v>219</v>
      </c>
      <c r="B11892" t="s">
        <v>301</v>
      </c>
      <c r="C11892" t="s">
        <v>524</v>
      </c>
      <c r="D11892" t="s">
        <v>525</v>
      </c>
      <c r="E11892" t="s">
        <v>526</v>
      </c>
      <c r="F11892" t="s">
        <v>527</v>
      </c>
      <c r="G11892" t="s">
        <v>226</v>
      </c>
    </row>
    <row r="11893" spans="1:19" x14ac:dyDescent="0.35">
      <c r="A11893" t="s">
        <v>227</v>
      </c>
      <c r="B11893" t="s">
        <v>2726</v>
      </c>
      <c r="C11893">
        <v>23.01</v>
      </c>
      <c r="D11893">
        <v>15</v>
      </c>
      <c r="E11893">
        <v>1</v>
      </c>
      <c r="F11893">
        <v>180</v>
      </c>
      <c r="G11893">
        <v>908</v>
      </c>
    </row>
    <row r="11894" spans="1:19" x14ac:dyDescent="0.35">
      <c r="A11894" t="s">
        <v>227</v>
      </c>
      <c r="B11894" t="s">
        <v>2727</v>
      </c>
      <c r="C11894">
        <v>24.09</v>
      </c>
      <c r="D11894">
        <v>20</v>
      </c>
      <c r="E11894">
        <v>1</v>
      </c>
      <c r="F11894">
        <v>190</v>
      </c>
      <c r="G11894">
        <v>261</v>
      </c>
    </row>
    <row r="11895" spans="1:19" x14ac:dyDescent="0.35">
      <c r="A11895" t="s">
        <v>227</v>
      </c>
      <c r="B11895" t="s">
        <v>2728</v>
      </c>
      <c r="C11895">
        <v>21.58</v>
      </c>
      <c r="D11895">
        <v>15</v>
      </c>
      <c r="E11895">
        <v>1</v>
      </c>
      <c r="F11895">
        <v>240</v>
      </c>
      <c r="G11895">
        <v>1534</v>
      </c>
    </row>
    <row r="11896" spans="1:19" x14ac:dyDescent="0.35">
      <c r="A11896" t="s">
        <v>228</v>
      </c>
      <c r="B11896" t="s">
        <v>228</v>
      </c>
      <c r="C11896">
        <v>22.25</v>
      </c>
      <c r="D11896">
        <v>15</v>
      </c>
      <c r="E11896">
        <v>1</v>
      </c>
      <c r="F11896">
        <v>240</v>
      </c>
      <c r="G11896">
        <v>2704</v>
      </c>
    </row>
    <row r="11898" spans="1:19" x14ac:dyDescent="0.35">
      <c r="A11898" s="1" t="s">
        <v>2729</v>
      </c>
    </row>
    <row r="11899" spans="1:19" x14ac:dyDescent="0.35">
      <c r="A11899" t="s">
        <v>219</v>
      </c>
      <c r="B11899" t="s">
        <v>301</v>
      </c>
      <c r="C11899" t="s">
        <v>540</v>
      </c>
      <c r="D11899" t="s">
        <v>541</v>
      </c>
      <c r="E11899" t="s">
        <v>542</v>
      </c>
      <c r="F11899" t="s">
        <v>543</v>
      </c>
      <c r="G11899" t="s">
        <v>544</v>
      </c>
      <c r="H11899" t="s">
        <v>545</v>
      </c>
      <c r="I11899" t="s">
        <v>546</v>
      </c>
      <c r="J11899" t="s">
        <v>547</v>
      </c>
      <c r="K11899" t="s">
        <v>548</v>
      </c>
      <c r="L11899" t="s">
        <v>549</v>
      </c>
      <c r="M11899" t="s">
        <v>550</v>
      </c>
      <c r="N11899" t="s">
        <v>551</v>
      </c>
      <c r="O11899" t="s">
        <v>552</v>
      </c>
      <c r="P11899" t="s">
        <v>553</v>
      </c>
      <c r="Q11899" t="s">
        <v>282</v>
      </c>
      <c r="R11899" t="s">
        <v>277</v>
      </c>
      <c r="S11899" t="s">
        <v>226</v>
      </c>
    </row>
    <row r="11900" spans="1:19" x14ac:dyDescent="0.35">
      <c r="A11900" t="s">
        <v>227</v>
      </c>
      <c r="B11900" t="s">
        <v>2726</v>
      </c>
      <c r="C11900" s="2">
        <v>0.41699999999999998</v>
      </c>
      <c r="D11900" s="2">
        <v>0.38540000000000002</v>
      </c>
      <c r="E11900" s="2">
        <v>0.19009999999999999</v>
      </c>
      <c r="F11900" s="2">
        <v>0.1002</v>
      </c>
      <c r="G11900" s="2">
        <v>0.1454</v>
      </c>
      <c r="H11900" s="2">
        <v>7.3700000000000002E-2</v>
      </c>
      <c r="I11900" s="2">
        <v>6.6500000000000004E-2</v>
      </c>
      <c r="J11900" s="2">
        <v>2.1899999999999999E-2</v>
      </c>
      <c r="K11900" s="2">
        <v>7.6399999999999996E-2</v>
      </c>
      <c r="L11900" s="2">
        <v>0.03</v>
      </c>
      <c r="M11900" s="2">
        <v>2.1600000000000001E-2</v>
      </c>
      <c r="N11900" s="2">
        <v>3.0499999999999999E-2</v>
      </c>
      <c r="O11900" s="2">
        <v>6.0000000000000001E-3</v>
      </c>
      <c r="P11900" s="2">
        <v>1.21E-2</v>
      </c>
      <c r="Q11900" s="2">
        <v>5.1000000000000004E-3</v>
      </c>
      <c r="R11900" s="2">
        <v>2.0000000000000001E-4</v>
      </c>
      <c r="S11900">
        <v>949</v>
      </c>
    </row>
    <row r="11901" spans="1:19" x14ac:dyDescent="0.35">
      <c r="A11901" t="s">
        <v>227</v>
      </c>
      <c r="B11901" t="s">
        <v>2727</v>
      </c>
      <c r="C11901" s="2">
        <v>0.65759999999999996</v>
      </c>
      <c r="D11901" s="2">
        <v>0.20269999999999999</v>
      </c>
      <c r="E11901" s="2">
        <v>0.1153</v>
      </c>
      <c r="F11901" s="2">
        <v>3.5999999999999997E-2</v>
      </c>
      <c r="G11901" s="2">
        <v>1.38E-2</v>
      </c>
      <c r="H11901" s="2">
        <v>3.04E-2</v>
      </c>
      <c r="I11901" s="2">
        <v>9.5999999999999992E-3</v>
      </c>
      <c r="J11901" s="2">
        <v>3.5000000000000001E-3</v>
      </c>
      <c r="K11901" s="2">
        <v>1.37E-2</v>
      </c>
      <c r="L11901" s="2">
        <v>7.6E-3</v>
      </c>
      <c r="M11901" s="2">
        <v>3.7000000000000002E-3</v>
      </c>
      <c r="N11901" s="2">
        <v>1.26E-2</v>
      </c>
      <c r="O11901" s="2">
        <v>2.2000000000000001E-3</v>
      </c>
      <c r="P11901" s="2">
        <v>8.5000000000000006E-3</v>
      </c>
      <c r="Q11901" s="2">
        <v>1.6999999999999999E-3</v>
      </c>
      <c r="S11901">
        <v>269</v>
      </c>
    </row>
    <row r="11902" spans="1:19" x14ac:dyDescent="0.35">
      <c r="A11902" t="s">
        <v>227</v>
      </c>
      <c r="B11902" t="s">
        <v>2728</v>
      </c>
      <c r="C11902" s="2">
        <v>0.35070000000000001</v>
      </c>
      <c r="D11902" s="2">
        <v>0.35499999999999998</v>
      </c>
      <c r="E11902" s="2">
        <v>0.2319</v>
      </c>
      <c r="F11902" s="2">
        <v>0.1215</v>
      </c>
      <c r="G11902" s="2">
        <v>9.5600000000000004E-2</v>
      </c>
      <c r="H11902" s="2">
        <v>0.1023</v>
      </c>
      <c r="I11902" s="2">
        <v>8.5400000000000004E-2</v>
      </c>
      <c r="J11902" s="2">
        <v>9.4500000000000001E-2</v>
      </c>
      <c r="K11902" s="2">
        <v>4.6300000000000001E-2</v>
      </c>
      <c r="L11902" s="2">
        <v>6.3600000000000004E-2</v>
      </c>
      <c r="M11902" s="2">
        <v>5.4699999999999999E-2</v>
      </c>
      <c r="N11902" s="2">
        <v>4.4600000000000001E-2</v>
      </c>
      <c r="O11902" s="2">
        <v>2.1700000000000001E-2</v>
      </c>
      <c r="P11902" s="2">
        <v>1.4800000000000001E-2</v>
      </c>
      <c r="Q11902" s="2">
        <v>8.0000000000000004E-4</v>
      </c>
      <c r="R11902" s="2">
        <v>3.2000000000000002E-3</v>
      </c>
      <c r="S11902">
        <v>1570</v>
      </c>
    </row>
    <row r="11903" spans="1:19" x14ac:dyDescent="0.35">
      <c r="A11903" t="s">
        <v>228</v>
      </c>
      <c r="B11903" t="s">
        <v>228</v>
      </c>
      <c r="C11903" s="2">
        <v>0.40010000000000001</v>
      </c>
      <c r="D11903" s="2">
        <v>0.35039999999999999</v>
      </c>
      <c r="E11903" s="2">
        <v>0.2084</v>
      </c>
      <c r="F11903" s="2">
        <v>0.1074</v>
      </c>
      <c r="G11903" s="2">
        <v>0.10390000000000001</v>
      </c>
      <c r="H11903" s="2">
        <v>8.6499999999999994E-2</v>
      </c>
      <c r="I11903" s="2">
        <v>7.2300000000000003E-2</v>
      </c>
      <c r="J11903" s="2">
        <v>6.3399999999999998E-2</v>
      </c>
      <c r="K11903" s="2">
        <v>5.2499999999999998E-2</v>
      </c>
      <c r="L11903" s="2">
        <v>4.7899999999999998E-2</v>
      </c>
      <c r="M11903" s="2">
        <v>3.9600000000000003E-2</v>
      </c>
      <c r="N11903" s="2">
        <v>3.7199999999999997E-2</v>
      </c>
      <c r="O11903" s="2">
        <v>1.4999999999999999E-2</v>
      </c>
      <c r="P11903" s="2">
        <v>1.34E-2</v>
      </c>
      <c r="Q11903" s="2">
        <v>2.2000000000000001E-3</v>
      </c>
      <c r="R11903" s="2">
        <v>1.9E-3</v>
      </c>
      <c r="S11903">
        <v>2788</v>
      </c>
    </row>
    <row r="11905" spans="1:21" x14ac:dyDescent="0.35">
      <c r="A11905" s="1" t="s">
        <v>2730</v>
      </c>
    </row>
    <row r="11906" spans="1:21" x14ac:dyDescent="0.35">
      <c r="A11906" t="s">
        <v>219</v>
      </c>
      <c r="B11906" t="s">
        <v>301</v>
      </c>
      <c r="C11906" t="s">
        <v>566</v>
      </c>
      <c r="D11906" t="s">
        <v>567</v>
      </c>
      <c r="E11906" t="s">
        <v>568</v>
      </c>
      <c r="F11906" t="s">
        <v>569</v>
      </c>
      <c r="G11906" t="s">
        <v>570</v>
      </c>
      <c r="H11906" t="s">
        <v>277</v>
      </c>
      <c r="I11906" t="s">
        <v>282</v>
      </c>
      <c r="J11906" t="s">
        <v>226</v>
      </c>
    </row>
    <row r="11907" spans="1:21" x14ac:dyDescent="0.35">
      <c r="A11907" t="s">
        <v>227</v>
      </c>
      <c r="B11907" t="s">
        <v>2726</v>
      </c>
      <c r="C11907" s="2">
        <v>0.75029999999999997</v>
      </c>
      <c r="D11907" s="2">
        <v>9.2999999999999999E-2</v>
      </c>
      <c r="E11907" s="2">
        <v>5.2900000000000003E-2</v>
      </c>
      <c r="F11907" s="2">
        <v>3.9199999999999999E-2</v>
      </c>
      <c r="G11907" s="2">
        <v>3.61E-2</v>
      </c>
      <c r="H11907" s="2">
        <v>2.58E-2</v>
      </c>
      <c r="I11907" s="2">
        <v>2.8E-3</v>
      </c>
      <c r="J11907">
        <v>549</v>
      </c>
    </row>
    <row r="11908" spans="1:21" x14ac:dyDescent="0.35">
      <c r="A11908" t="s">
        <v>227</v>
      </c>
      <c r="B11908" t="s">
        <v>2727</v>
      </c>
      <c r="C11908" s="2">
        <v>0.77569999999999995</v>
      </c>
      <c r="D11908" s="2">
        <v>0.1729</v>
      </c>
      <c r="E11908" s="2">
        <v>3.3099999999999997E-2</v>
      </c>
      <c r="F11908" s="2">
        <v>7.1000000000000004E-3</v>
      </c>
      <c r="G11908" s="2">
        <v>8.9999999999999993E-3</v>
      </c>
      <c r="H11908" s="2">
        <v>2.3E-3</v>
      </c>
      <c r="J11908">
        <v>111</v>
      </c>
    </row>
    <row r="11909" spans="1:21" x14ac:dyDescent="0.35">
      <c r="A11909" t="s">
        <v>227</v>
      </c>
      <c r="B11909" t="s">
        <v>2728</v>
      </c>
      <c r="C11909" s="2">
        <v>0.75949999999999995</v>
      </c>
      <c r="D11909" s="2">
        <v>7.1999999999999995E-2</v>
      </c>
      <c r="E11909" s="2">
        <v>7.5999999999999998E-2</v>
      </c>
      <c r="F11909" s="2">
        <v>4.5199999999999997E-2</v>
      </c>
      <c r="G11909" s="2">
        <v>3.8300000000000001E-2</v>
      </c>
      <c r="H11909" s="2">
        <v>8.8999999999999999E-3</v>
      </c>
      <c r="J11909">
        <v>1010</v>
      </c>
    </row>
    <row r="11910" spans="1:21" x14ac:dyDescent="0.35">
      <c r="A11910" t="s">
        <v>228</v>
      </c>
      <c r="B11910" t="s">
        <v>228</v>
      </c>
      <c r="C11910" s="2">
        <v>0.75780000000000003</v>
      </c>
      <c r="D11910" s="2">
        <v>8.3699999999999997E-2</v>
      </c>
      <c r="E11910" s="2">
        <v>6.6600000000000006E-2</v>
      </c>
      <c r="F11910" s="2">
        <v>4.1300000000000003E-2</v>
      </c>
      <c r="G11910" s="2">
        <v>3.5999999999999997E-2</v>
      </c>
      <c r="H11910" s="2">
        <v>1.37E-2</v>
      </c>
      <c r="I11910" s="2">
        <v>8.9999999999999998E-4</v>
      </c>
      <c r="J11910">
        <v>1670</v>
      </c>
    </row>
    <row r="11912" spans="1:21" x14ac:dyDescent="0.35">
      <c r="A11912" s="1" t="s">
        <v>2731</v>
      </c>
    </row>
    <row r="11913" spans="1:21" x14ac:dyDescent="0.35">
      <c r="A11913" t="s">
        <v>219</v>
      </c>
      <c r="B11913" t="s">
        <v>301</v>
      </c>
      <c r="C11913" t="s">
        <v>312</v>
      </c>
      <c r="D11913" t="s">
        <v>583</v>
      </c>
      <c r="E11913" t="s">
        <v>584</v>
      </c>
      <c r="F11913" t="s">
        <v>585</v>
      </c>
      <c r="G11913" t="s">
        <v>586</v>
      </c>
      <c r="H11913" t="s">
        <v>587</v>
      </c>
      <c r="I11913" t="s">
        <v>588</v>
      </c>
      <c r="J11913" t="s">
        <v>589</v>
      </c>
      <c r="K11913" t="s">
        <v>590</v>
      </c>
      <c r="L11913" t="s">
        <v>591</v>
      </c>
      <c r="M11913" t="s">
        <v>592</v>
      </c>
      <c r="N11913" t="s">
        <v>593</v>
      </c>
      <c r="O11913" t="s">
        <v>594</v>
      </c>
      <c r="P11913" t="s">
        <v>595</v>
      </c>
      <c r="Q11913" t="s">
        <v>596</v>
      </c>
      <c r="R11913" t="s">
        <v>597</v>
      </c>
      <c r="S11913" t="s">
        <v>277</v>
      </c>
      <c r="T11913" t="s">
        <v>282</v>
      </c>
      <c r="U11913" t="s">
        <v>226</v>
      </c>
    </row>
    <row r="11914" spans="1:21" x14ac:dyDescent="0.35">
      <c r="A11914" t="s">
        <v>227</v>
      </c>
      <c r="B11914" t="s">
        <v>2726</v>
      </c>
      <c r="C11914" s="2">
        <v>0.53310000000000002</v>
      </c>
      <c r="D11914" s="2">
        <v>0.2361</v>
      </c>
      <c r="E11914" s="2">
        <v>0.15690000000000001</v>
      </c>
      <c r="F11914" s="2">
        <v>6.4600000000000005E-2</v>
      </c>
      <c r="G11914" s="2">
        <v>9.0800000000000006E-2</v>
      </c>
      <c r="H11914" s="2">
        <v>6.5799999999999997E-2</v>
      </c>
      <c r="I11914" s="2">
        <v>5.57E-2</v>
      </c>
      <c r="J11914" s="2">
        <v>1.43E-2</v>
      </c>
      <c r="K11914" s="2">
        <v>1.29E-2</v>
      </c>
      <c r="L11914" s="2">
        <v>6.8999999999999999E-3</v>
      </c>
      <c r="M11914" s="2">
        <v>1.6E-2</v>
      </c>
      <c r="N11914" s="2">
        <v>1.7600000000000001E-2</v>
      </c>
      <c r="O11914" s="2">
        <v>1.3100000000000001E-2</v>
      </c>
      <c r="P11914" s="2">
        <v>8.3999999999999995E-3</v>
      </c>
      <c r="Q11914" s="2">
        <v>8.6999999999999994E-3</v>
      </c>
      <c r="R11914" s="2">
        <v>2.8E-3</v>
      </c>
      <c r="S11914" s="2">
        <v>4.1000000000000003E-3</v>
      </c>
      <c r="U11914">
        <v>665</v>
      </c>
    </row>
    <row r="11915" spans="1:21" x14ac:dyDescent="0.35">
      <c r="A11915" t="s">
        <v>227</v>
      </c>
      <c r="B11915" t="s">
        <v>2727</v>
      </c>
      <c r="C11915" s="2">
        <v>0.57320000000000004</v>
      </c>
      <c r="D11915" s="2">
        <v>0.21859999999999999</v>
      </c>
      <c r="E11915" s="2">
        <v>9.7600000000000006E-2</v>
      </c>
      <c r="F11915" s="2">
        <v>5.4399999999999997E-2</v>
      </c>
      <c r="G11915" s="2">
        <v>2.29E-2</v>
      </c>
      <c r="H11915" s="2">
        <v>3.8699999999999998E-2</v>
      </c>
      <c r="I11915" s="2">
        <v>4.07E-2</v>
      </c>
      <c r="K11915" s="2">
        <v>3.7600000000000001E-2</v>
      </c>
      <c r="L11915" s="2">
        <v>3.4099999999999998E-2</v>
      </c>
      <c r="M11915" s="2">
        <v>7.1000000000000004E-3</v>
      </c>
      <c r="N11915" s="2">
        <v>2.5100000000000001E-2</v>
      </c>
      <c r="O11915" s="2">
        <v>3.8999999999999998E-3</v>
      </c>
      <c r="P11915" s="2">
        <v>1.4500000000000001E-2</v>
      </c>
      <c r="Q11915" s="2">
        <v>3.6299999999999999E-2</v>
      </c>
      <c r="R11915" s="2">
        <v>1.41E-2</v>
      </c>
      <c r="S11915" s="2">
        <v>4.5999999999999999E-3</v>
      </c>
      <c r="U11915">
        <v>143</v>
      </c>
    </row>
    <row r="11916" spans="1:21" x14ac:dyDescent="0.35">
      <c r="A11916" t="s">
        <v>227</v>
      </c>
      <c r="B11916" t="s">
        <v>2728</v>
      </c>
      <c r="C11916" s="2">
        <v>0.59570000000000001</v>
      </c>
      <c r="D11916" s="2">
        <v>0.19869999999999999</v>
      </c>
      <c r="E11916" s="2">
        <v>0.1255</v>
      </c>
      <c r="F11916" s="2">
        <v>7.5200000000000003E-2</v>
      </c>
      <c r="G11916" s="2">
        <v>5.0599999999999999E-2</v>
      </c>
      <c r="H11916" s="2">
        <v>5.5500000000000001E-2</v>
      </c>
      <c r="I11916" s="2">
        <v>3.1399999999999997E-2</v>
      </c>
      <c r="J11916" s="2">
        <v>2.5899999999999999E-2</v>
      </c>
      <c r="K11916" s="2">
        <v>2.0299999999999999E-2</v>
      </c>
      <c r="L11916" s="2">
        <v>1.4800000000000001E-2</v>
      </c>
      <c r="M11916" s="2">
        <v>1.0999999999999999E-2</v>
      </c>
      <c r="N11916" s="2">
        <v>8.0999999999999996E-3</v>
      </c>
      <c r="O11916" s="2">
        <v>1.18E-2</v>
      </c>
      <c r="P11916" s="2">
        <v>1.21E-2</v>
      </c>
      <c r="Q11916" s="2">
        <v>8.0000000000000002E-3</v>
      </c>
      <c r="R11916" s="2">
        <v>1.6999999999999999E-3</v>
      </c>
      <c r="S11916" s="2">
        <v>2.9999999999999997E-4</v>
      </c>
      <c r="T11916" s="2">
        <v>4.0000000000000002E-4</v>
      </c>
      <c r="U11916">
        <v>1274</v>
      </c>
    </row>
    <row r="11917" spans="1:21" x14ac:dyDescent="0.35">
      <c r="A11917" t="s">
        <v>228</v>
      </c>
      <c r="B11917" t="s">
        <v>228</v>
      </c>
      <c r="C11917" s="2">
        <v>0.57579999999999998</v>
      </c>
      <c r="D11917" s="2">
        <v>0.21099999999999999</v>
      </c>
      <c r="E11917" s="2">
        <v>0.13300000000000001</v>
      </c>
      <c r="F11917" s="2">
        <v>7.0599999999999996E-2</v>
      </c>
      <c r="G11917" s="2">
        <v>6.08E-2</v>
      </c>
      <c r="H11917" s="2">
        <v>5.74E-2</v>
      </c>
      <c r="I11917" s="2">
        <v>3.9300000000000002E-2</v>
      </c>
      <c r="J11917" s="2">
        <v>2.07E-2</v>
      </c>
      <c r="K11917" s="2">
        <v>1.9199999999999998E-2</v>
      </c>
      <c r="L11917" s="2">
        <v>1.37E-2</v>
      </c>
      <c r="M11917" s="2">
        <v>1.23E-2</v>
      </c>
      <c r="N11917" s="2">
        <v>1.2E-2</v>
      </c>
      <c r="O11917" s="2">
        <v>1.17E-2</v>
      </c>
      <c r="P11917" s="2">
        <v>1.12E-2</v>
      </c>
      <c r="Q11917" s="2">
        <v>1.01E-2</v>
      </c>
      <c r="R11917" s="2">
        <v>2.8999999999999998E-3</v>
      </c>
      <c r="S11917" s="2">
        <v>1.8E-3</v>
      </c>
      <c r="T11917" s="2">
        <v>2.9999999999999997E-4</v>
      </c>
      <c r="U11917">
        <v>2082</v>
      </c>
    </row>
    <row r="11919" spans="1:21" x14ac:dyDescent="0.35">
      <c r="A11919" s="1" t="s">
        <v>2732</v>
      </c>
    </row>
    <row r="11920" spans="1:21" x14ac:dyDescent="0.35">
      <c r="A11920" t="s">
        <v>219</v>
      </c>
      <c r="B11920" t="s">
        <v>301</v>
      </c>
      <c r="C11920" t="s">
        <v>299</v>
      </c>
      <c r="D11920" t="s">
        <v>298</v>
      </c>
      <c r="E11920" t="s">
        <v>277</v>
      </c>
      <c r="F11920" t="s">
        <v>282</v>
      </c>
      <c r="G11920" t="s">
        <v>226</v>
      </c>
    </row>
    <row r="11921" spans="1:10" x14ac:dyDescent="0.35">
      <c r="A11921" t="s">
        <v>227</v>
      </c>
      <c r="B11921" t="s">
        <v>2726</v>
      </c>
      <c r="C11921" s="2">
        <v>0.65980000000000005</v>
      </c>
      <c r="D11921" s="2">
        <v>0.3347</v>
      </c>
      <c r="E11921" s="2">
        <v>3.0999999999999999E-3</v>
      </c>
      <c r="F11921" s="2">
        <v>2.3E-3</v>
      </c>
      <c r="G11921">
        <v>961</v>
      </c>
    </row>
    <row r="11922" spans="1:10" x14ac:dyDescent="0.35">
      <c r="A11922" t="s">
        <v>227</v>
      </c>
      <c r="B11922" t="s">
        <v>2727</v>
      </c>
      <c r="C11922" s="2">
        <v>0.38369999999999999</v>
      </c>
      <c r="D11922" s="2">
        <v>0.60589999999999999</v>
      </c>
      <c r="E11922" s="2">
        <v>9.1999999999999998E-3</v>
      </c>
      <c r="F11922" s="2">
        <v>1.1000000000000001E-3</v>
      </c>
      <c r="G11922">
        <v>270</v>
      </c>
    </row>
    <row r="11923" spans="1:10" x14ac:dyDescent="0.35">
      <c r="A11923" t="s">
        <v>227</v>
      </c>
      <c r="B11923" t="s">
        <v>2728</v>
      </c>
      <c r="C11923" s="2">
        <v>0.64800000000000002</v>
      </c>
      <c r="D11923" s="2">
        <v>0.34379999999999999</v>
      </c>
      <c r="E11923" s="2">
        <v>7.7000000000000002E-3</v>
      </c>
      <c r="F11923" s="2">
        <v>5.0000000000000001E-4</v>
      </c>
      <c r="G11923">
        <v>1581</v>
      </c>
    </row>
    <row r="11924" spans="1:10" x14ac:dyDescent="0.35">
      <c r="A11924" t="s">
        <v>228</v>
      </c>
      <c r="B11924" t="s">
        <v>228</v>
      </c>
      <c r="C11924" s="2">
        <v>0.627</v>
      </c>
      <c r="D11924" s="2">
        <v>0.3654</v>
      </c>
      <c r="E11924" s="2">
        <v>6.4000000000000003E-3</v>
      </c>
      <c r="F11924" s="2">
        <v>1.1000000000000001E-3</v>
      </c>
      <c r="G11924">
        <v>2812</v>
      </c>
    </row>
    <row r="11926" spans="1:10" x14ac:dyDescent="0.35">
      <c r="A11926" s="1" t="s">
        <v>2733</v>
      </c>
    </row>
    <row r="11927" spans="1:10" x14ac:dyDescent="0.35">
      <c r="A11927" t="s">
        <v>219</v>
      </c>
      <c r="B11927" t="s">
        <v>301</v>
      </c>
      <c r="C11927" t="s">
        <v>623</v>
      </c>
      <c r="D11927" t="s">
        <v>624</v>
      </c>
      <c r="E11927" t="s">
        <v>625</v>
      </c>
      <c r="F11927" t="s">
        <v>626</v>
      </c>
      <c r="G11927" t="s">
        <v>277</v>
      </c>
      <c r="H11927" t="s">
        <v>226</v>
      </c>
    </row>
    <row r="11928" spans="1:10" x14ac:dyDescent="0.35">
      <c r="A11928" t="s">
        <v>227</v>
      </c>
      <c r="B11928" t="s">
        <v>2726</v>
      </c>
      <c r="C11928" s="2">
        <v>0.314</v>
      </c>
      <c r="D11928" s="2">
        <v>0.25700000000000001</v>
      </c>
      <c r="E11928" s="2">
        <v>0.22989999999999999</v>
      </c>
      <c r="F11928" s="2">
        <v>0.18459999999999999</v>
      </c>
      <c r="G11928" s="2">
        <v>1.4500000000000001E-2</v>
      </c>
      <c r="H11928">
        <v>635</v>
      </c>
    </row>
    <row r="11929" spans="1:10" x14ac:dyDescent="0.35">
      <c r="A11929" t="s">
        <v>227</v>
      </c>
      <c r="B11929" t="s">
        <v>2727</v>
      </c>
      <c r="C11929" s="2">
        <v>0.36180000000000001</v>
      </c>
      <c r="D11929" s="2">
        <v>0.1293</v>
      </c>
      <c r="E11929" s="2">
        <v>0.29020000000000001</v>
      </c>
      <c r="F11929" s="2">
        <v>0.16689999999999999</v>
      </c>
      <c r="G11929" s="2">
        <v>5.1799999999999999E-2</v>
      </c>
      <c r="H11929">
        <v>120</v>
      </c>
    </row>
    <row r="11930" spans="1:10" x14ac:dyDescent="0.35">
      <c r="A11930" t="s">
        <v>227</v>
      </c>
      <c r="B11930" t="s">
        <v>2728</v>
      </c>
      <c r="C11930" s="2">
        <v>0.33650000000000002</v>
      </c>
      <c r="D11930" s="2">
        <v>0.2387</v>
      </c>
      <c r="E11930" s="2">
        <v>0.22439999999999999</v>
      </c>
      <c r="F11930" s="2">
        <v>0.1845</v>
      </c>
      <c r="G11930" s="2">
        <v>1.5800000000000002E-2</v>
      </c>
      <c r="H11930">
        <v>1021</v>
      </c>
    </row>
    <row r="11931" spans="1:10" x14ac:dyDescent="0.35">
      <c r="A11931" t="s">
        <v>228</v>
      </c>
      <c r="B11931" t="s">
        <v>228</v>
      </c>
      <c r="C11931" s="2">
        <v>0.33129999999999998</v>
      </c>
      <c r="D11931" s="2">
        <v>0.2382</v>
      </c>
      <c r="E11931" s="2">
        <v>0.2298</v>
      </c>
      <c r="F11931" s="2">
        <v>0.18329999999999999</v>
      </c>
      <c r="G11931" s="2">
        <v>1.7399999999999999E-2</v>
      </c>
      <c r="H11931">
        <v>1776</v>
      </c>
    </row>
    <row r="11933" spans="1:10" x14ac:dyDescent="0.35">
      <c r="A11933" s="1" t="s">
        <v>2734</v>
      </c>
    </row>
    <row r="11934" spans="1:10" x14ac:dyDescent="0.35">
      <c r="A11934" t="s">
        <v>219</v>
      </c>
      <c r="B11934" t="s">
        <v>301</v>
      </c>
      <c r="C11934" t="s">
        <v>298</v>
      </c>
      <c r="D11934" t="s">
        <v>639</v>
      </c>
      <c r="E11934" t="s">
        <v>640</v>
      </c>
      <c r="F11934" t="s">
        <v>641</v>
      </c>
      <c r="G11934" t="s">
        <v>642</v>
      </c>
      <c r="H11934" t="s">
        <v>643</v>
      </c>
      <c r="I11934" t="s">
        <v>277</v>
      </c>
      <c r="J11934" t="s">
        <v>226</v>
      </c>
    </row>
    <row r="11935" spans="1:10" x14ac:dyDescent="0.35">
      <c r="A11935" t="s">
        <v>227</v>
      </c>
      <c r="B11935" t="s">
        <v>2726</v>
      </c>
      <c r="C11935" s="2">
        <v>0.84450000000000003</v>
      </c>
      <c r="D11935" s="2">
        <v>5.11E-2</v>
      </c>
      <c r="E11935" s="2">
        <v>6.7000000000000004E-2</v>
      </c>
      <c r="F11935" s="2">
        <v>1.9400000000000001E-2</v>
      </c>
      <c r="G11935" s="2">
        <v>1.26E-2</v>
      </c>
      <c r="H11935" s="2">
        <v>1.84E-2</v>
      </c>
      <c r="I11935" s="2">
        <v>5.0000000000000001E-4</v>
      </c>
      <c r="J11935">
        <v>634</v>
      </c>
    </row>
    <row r="11936" spans="1:10" x14ac:dyDescent="0.35">
      <c r="A11936" t="s">
        <v>227</v>
      </c>
      <c r="B11936" t="s">
        <v>2727</v>
      </c>
      <c r="C11936" s="2">
        <v>0.88329999999999997</v>
      </c>
      <c r="D11936" s="2">
        <v>1.2800000000000001E-2</v>
      </c>
      <c r="E11936" s="2">
        <v>5.96E-2</v>
      </c>
      <c r="F11936" s="2">
        <v>2.8999999999999998E-3</v>
      </c>
      <c r="G11936" s="2">
        <v>4.5900000000000003E-2</v>
      </c>
      <c r="H11936" s="2">
        <v>9.7000000000000003E-3</v>
      </c>
      <c r="I11936" s="2">
        <v>2.6100000000000002E-2</v>
      </c>
      <c r="J11936">
        <v>119</v>
      </c>
    </row>
    <row r="11937" spans="1:10" x14ac:dyDescent="0.35">
      <c r="A11937" t="s">
        <v>227</v>
      </c>
      <c r="B11937" t="s">
        <v>2728</v>
      </c>
      <c r="C11937" s="2">
        <v>0.73709999999999998</v>
      </c>
      <c r="D11937" s="2">
        <v>0.107</v>
      </c>
      <c r="E11937" s="2">
        <v>8.2400000000000001E-2</v>
      </c>
      <c r="F11937" s="2">
        <v>6.8699999999999997E-2</v>
      </c>
      <c r="G11937" s="2">
        <v>2.9899999999999999E-2</v>
      </c>
      <c r="H11937" s="2">
        <v>1.6E-2</v>
      </c>
      <c r="I11937" s="2">
        <v>6.4000000000000003E-3</v>
      </c>
      <c r="J11937">
        <v>1015</v>
      </c>
    </row>
    <row r="11938" spans="1:10" x14ac:dyDescent="0.35">
      <c r="A11938" t="s">
        <v>228</v>
      </c>
      <c r="B11938" t="s">
        <v>228</v>
      </c>
      <c r="C11938" s="2">
        <v>0.78029999999999999</v>
      </c>
      <c r="D11938" s="2">
        <v>8.4000000000000005E-2</v>
      </c>
      <c r="E11938" s="2">
        <v>7.5899999999999995E-2</v>
      </c>
      <c r="F11938" s="2">
        <v>4.8500000000000001E-2</v>
      </c>
      <c r="G11938" s="2">
        <v>2.5100000000000001E-2</v>
      </c>
      <c r="H11938" s="2">
        <v>1.6400000000000001E-2</v>
      </c>
      <c r="I11938" s="2">
        <v>5.5999999999999999E-3</v>
      </c>
      <c r="J11938">
        <v>1768</v>
      </c>
    </row>
    <row r="11940" spans="1:10" x14ac:dyDescent="0.35">
      <c r="A11940" s="1" t="s">
        <v>2735</v>
      </c>
    </row>
    <row r="11941" spans="1:10" x14ac:dyDescent="0.35">
      <c r="A11941" t="s">
        <v>219</v>
      </c>
      <c r="B11941" t="s">
        <v>301</v>
      </c>
      <c r="C11941" t="s">
        <v>298</v>
      </c>
      <c r="D11941" t="s">
        <v>656</v>
      </c>
      <c r="E11941" t="s">
        <v>657</v>
      </c>
      <c r="F11941" t="s">
        <v>658</v>
      </c>
      <c r="G11941" t="s">
        <v>659</v>
      </c>
      <c r="H11941" t="s">
        <v>277</v>
      </c>
      <c r="I11941" t="s">
        <v>226</v>
      </c>
    </row>
    <row r="11942" spans="1:10" x14ac:dyDescent="0.35">
      <c r="A11942" t="s">
        <v>227</v>
      </c>
      <c r="B11942" t="s">
        <v>2726</v>
      </c>
      <c r="C11942" s="2">
        <v>0.876</v>
      </c>
      <c r="D11942" s="2">
        <v>6.3899999999999998E-2</v>
      </c>
      <c r="E11942" s="2">
        <v>4.1700000000000001E-2</v>
      </c>
      <c r="F11942" s="2">
        <v>1.5900000000000001E-2</v>
      </c>
      <c r="G11942" s="2">
        <v>1E-3</v>
      </c>
      <c r="H11942" s="2">
        <v>4.7000000000000002E-3</v>
      </c>
      <c r="I11942">
        <v>961</v>
      </c>
    </row>
    <row r="11943" spans="1:10" x14ac:dyDescent="0.35">
      <c r="A11943" t="s">
        <v>227</v>
      </c>
      <c r="B11943" t="s">
        <v>2727</v>
      </c>
      <c r="C11943" s="2">
        <v>0.89549999999999996</v>
      </c>
      <c r="D11943" s="2">
        <v>5.1900000000000002E-2</v>
      </c>
      <c r="E11943" s="2">
        <v>2.1000000000000001E-2</v>
      </c>
      <c r="F11943" s="2">
        <v>2.4799999999999999E-2</v>
      </c>
      <c r="G11943" s="2">
        <v>6.7999999999999996E-3</v>
      </c>
      <c r="I11943">
        <v>270</v>
      </c>
    </row>
    <row r="11944" spans="1:10" x14ac:dyDescent="0.35">
      <c r="A11944" t="s">
        <v>227</v>
      </c>
      <c r="B11944" t="s">
        <v>2728</v>
      </c>
      <c r="C11944" s="2">
        <v>0.72299999999999998</v>
      </c>
      <c r="D11944" s="2">
        <v>0.1318</v>
      </c>
      <c r="E11944" s="2">
        <v>0.1072</v>
      </c>
      <c r="F11944" s="2">
        <v>4.4400000000000002E-2</v>
      </c>
      <c r="G11944" s="2">
        <v>1.3299999999999999E-2</v>
      </c>
      <c r="H11944" s="2">
        <v>3.5999999999999999E-3</v>
      </c>
      <c r="I11944">
        <v>1581</v>
      </c>
    </row>
    <row r="11945" spans="1:10" x14ac:dyDescent="0.35">
      <c r="A11945" t="s">
        <v>228</v>
      </c>
      <c r="B11945" t="s">
        <v>228</v>
      </c>
      <c r="C11945" s="2">
        <v>0.78690000000000004</v>
      </c>
      <c r="D11945" s="2">
        <v>0.1031</v>
      </c>
      <c r="E11945" s="2">
        <v>7.8700000000000006E-2</v>
      </c>
      <c r="F11945" s="2">
        <v>3.3700000000000001E-2</v>
      </c>
      <c r="G11945" s="2">
        <v>8.8999999999999999E-3</v>
      </c>
      <c r="H11945" s="2">
        <v>3.5999999999999999E-3</v>
      </c>
      <c r="I11945">
        <v>2812</v>
      </c>
    </row>
    <row r="11947" spans="1:10" x14ac:dyDescent="0.35">
      <c r="A11947" s="1" t="s">
        <v>2736</v>
      </c>
    </row>
    <row r="11948" spans="1:10" x14ac:dyDescent="0.35">
      <c r="A11948" t="s">
        <v>219</v>
      </c>
      <c r="B11948" t="s">
        <v>301</v>
      </c>
      <c r="C11948" t="s">
        <v>672</v>
      </c>
      <c r="D11948" t="s">
        <v>673</v>
      </c>
      <c r="E11948" t="s">
        <v>674</v>
      </c>
      <c r="F11948" t="s">
        <v>675</v>
      </c>
      <c r="G11948" t="s">
        <v>277</v>
      </c>
      <c r="H11948" t="s">
        <v>282</v>
      </c>
      <c r="I11948" t="s">
        <v>226</v>
      </c>
    </row>
    <row r="11949" spans="1:10" x14ac:dyDescent="0.35">
      <c r="A11949" t="s">
        <v>227</v>
      </c>
      <c r="B11949" t="s">
        <v>2726</v>
      </c>
      <c r="C11949" s="2">
        <v>0.64300000000000002</v>
      </c>
      <c r="D11949" s="2">
        <v>0.25990000000000002</v>
      </c>
      <c r="E11949" s="2">
        <v>7.7200000000000005E-2</v>
      </c>
      <c r="F11949" s="2">
        <v>1.37E-2</v>
      </c>
      <c r="G11949" s="2">
        <v>3.5999999999999999E-3</v>
      </c>
      <c r="H11949" s="2">
        <v>2.5000000000000001E-3</v>
      </c>
      <c r="I11949">
        <v>961</v>
      </c>
    </row>
    <row r="11950" spans="1:10" x14ac:dyDescent="0.35">
      <c r="A11950" t="s">
        <v>227</v>
      </c>
      <c r="B11950" t="s">
        <v>2727</v>
      </c>
      <c r="C11950" s="2">
        <v>0.76939999999999997</v>
      </c>
      <c r="D11950" s="2">
        <v>0.21190000000000001</v>
      </c>
      <c r="E11950" s="2">
        <v>8.5000000000000006E-3</v>
      </c>
      <c r="F11950" s="2">
        <v>0.01</v>
      </c>
      <c r="G11950" s="2">
        <v>2.9999999999999997E-4</v>
      </c>
      <c r="I11950">
        <v>270</v>
      </c>
    </row>
    <row r="11951" spans="1:10" x14ac:dyDescent="0.35">
      <c r="A11951" t="s">
        <v>227</v>
      </c>
      <c r="B11951" t="s">
        <v>2728</v>
      </c>
      <c r="C11951" s="2">
        <v>0.63629999999999998</v>
      </c>
      <c r="D11951" s="2">
        <v>0.26700000000000002</v>
      </c>
      <c r="E11951" s="2">
        <v>7.9600000000000004E-2</v>
      </c>
      <c r="F11951" s="2">
        <v>6.7999999999999996E-3</v>
      </c>
      <c r="G11951" s="2">
        <v>9.1999999999999998E-3</v>
      </c>
      <c r="H11951" s="2">
        <v>1E-3</v>
      </c>
      <c r="I11951">
        <v>1581</v>
      </c>
    </row>
    <row r="11952" spans="1:10" x14ac:dyDescent="0.35">
      <c r="A11952" t="s">
        <v>228</v>
      </c>
      <c r="B11952" t="s">
        <v>228</v>
      </c>
      <c r="C11952" s="2">
        <v>0.6512</v>
      </c>
      <c r="D11952" s="2">
        <v>0.25940000000000002</v>
      </c>
      <c r="E11952" s="2">
        <v>7.2099999999999997E-2</v>
      </c>
      <c r="F11952" s="2">
        <v>9.2999999999999992E-3</v>
      </c>
      <c r="G11952" s="2">
        <v>6.6E-3</v>
      </c>
      <c r="H11952" s="2">
        <v>1.4E-3</v>
      </c>
      <c r="I11952">
        <v>2812</v>
      </c>
    </row>
    <row r="11954" spans="1:9" x14ac:dyDescent="0.35">
      <c r="A11954" s="1" t="s">
        <v>2737</v>
      </c>
    </row>
    <row r="11955" spans="1:9" x14ac:dyDescent="0.35">
      <c r="A11955" t="s">
        <v>219</v>
      </c>
      <c r="B11955" t="s">
        <v>301</v>
      </c>
      <c r="C11955" t="s">
        <v>672</v>
      </c>
      <c r="D11955" t="s">
        <v>673</v>
      </c>
      <c r="E11955" t="s">
        <v>674</v>
      </c>
      <c r="F11955" t="s">
        <v>675</v>
      </c>
      <c r="G11955" t="s">
        <v>277</v>
      </c>
      <c r="H11955" t="s">
        <v>282</v>
      </c>
      <c r="I11955" t="s">
        <v>226</v>
      </c>
    </row>
    <row r="11956" spans="1:9" x14ac:dyDescent="0.35">
      <c r="A11956" t="s">
        <v>227</v>
      </c>
      <c r="B11956" t="s">
        <v>2726</v>
      </c>
      <c r="C11956" s="2">
        <v>0.91310000000000002</v>
      </c>
      <c r="D11956" s="2">
        <v>6.6400000000000001E-2</v>
      </c>
      <c r="E11956" s="2">
        <v>1.9599999999999999E-2</v>
      </c>
      <c r="G11956" s="2">
        <v>8.9999999999999998E-4</v>
      </c>
      <c r="I11956">
        <v>961</v>
      </c>
    </row>
    <row r="11957" spans="1:9" x14ac:dyDescent="0.35">
      <c r="A11957" t="s">
        <v>227</v>
      </c>
      <c r="B11957" t="s">
        <v>2727</v>
      </c>
      <c r="C11957" s="2">
        <v>0.94259999999999999</v>
      </c>
      <c r="D11957" s="2">
        <v>5.6000000000000001E-2</v>
      </c>
      <c r="E11957" s="2">
        <v>1.4E-3</v>
      </c>
      <c r="I11957">
        <v>270</v>
      </c>
    </row>
    <row r="11958" spans="1:9" x14ac:dyDescent="0.35">
      <c r="A11958" t="s">
        <v>227</v>
      </c>
      <c r="B11958" t="s">
        <v>2728</v>
      </c>
      <c r="C11958" s="2">
        <v>0.92430000000000001</v>
      </c>
      <c r="D11958" s="2">
        <v>5.45E-2</v>
      </c>
      <c r="E11958" s="2">
        <v>1.7899999999999999E-2</v>
      </c>
      <c r="F11958" s="2">
        <v>2.8E-3</v>
      </c>
      <c r="G11958" s="2">
        <v>5.0000000000000001E-4</v>
      </c>
      <c r="H11958" s="2">
        <v>1E-4</v>
      </c>
      <c r="I11958">
        <v>1581</v>
      </c>
    </row>
    <row r="11959" spans="1:9" x14ac:dyDescent="0.35">
      <c r="A11959" t="s">
        <v>228</v>
      </c>
      <c r="B11959" t="s">
        <v>228</v>
      </c>
      <c r="C11959" s="2">
        <v>0.92259999999999998</v>
      </c>
      <c r="D11959" s="2">
        <v>5.8299999999999998E-2</v>
      </c>
      <c r="E11959" s="2">
        <v>1.6799999999999999E-2</v>
      </c>
      <c r="F11959" s="2">
        <v>1.6000000000000001E-3</v>
      </c>
      <c r="G11959" s="2">
        <v>5.9999999999999995E-4</v>
      </c>
      <c r="H11959" s="2">
        <v>1E-4</v>
      </c>
      <c r="I11959">
        <v>2812</v>
      </c>
    </row>
    <row r="11961" spans="1:9" x14ac:dyDescent="0.35">
      <c r="A11961" s="1" t="s">
        <v>2738</v>
      </c>
    </row>
    <row r="11962" spans="1:9" x14ac:dyDescent="0.35">
      <c r="A11962" t="s">
        <v>219</v>
      </c>
      <c r="B11962" t="s">
        <v>301</v>
      </c>
      <c r="C11962" t="s">
        <v>672</v>
      </c>
      <c r="D11962" t="s">
        <v>673</v>
      </c>
      <c r="E11962" t="s">
        <v>674</v>
      </c>
      <c r="F11962" t="s">
        <v>675</v>
      </c>
      <c r="G11962" t="s">
        <v>277</v>
      </c>
      <c r="H11962" t="s">
        <v>226</v>
      </c>
    </row>
    <row r="11963" spans="1:9" x14ac:dyDescent="0.35">
      <c r="A11963" t="s">
        <v>227</v>
      </c>
      <c r="B11963" t="s">
        <v>2726</v>
      </c>
      <c r="C11963" s="2">
        <v>0.5262</v>
      </c>
      <c r="D11963" s="2">
        <v>0.24529999999999999</v>
      </c>
      <c r="E11963" s="2">
        <v>0.20200000000000001</v>
      </c>
      <c r="F11963" s="2">
        <v>2.58E-2</v>
      </c>
      <c r="G11963" s="2">
        <v>5.9999999999999995E-4</v>
      </c>
      <c r="H11963">
        <v>961</v>
      </c>
    </row>
    <row r="11964" spans="1:9" x14ac:dyDescent="0.35">
      <c r="A11964" t="s">
        <v>227</v>
      </c>
      <c r="B11964" t="s">
        <v>2727</v>
      </c>
      <c r="C11964" s="2">
        <v>0.62490000000000001</v>
      </c>
      <c r="D11964" s="2">
        <v>0.28549999999999998</v>
      </c>
      <c r="E11964" s="2">
        <v>8.6900000000000005E-2</v>
      </c>
      <c r="F11964" s="2">
        <v>1.6000000000000001E-3</v>
      </c>
      <c r="G11964" s="2">
        <v>1.1000000000000001E-3</v>
      </c>
      <c r="H11964">
        <v>270</v>
      </c>
    </row>
    <row r="11965" spans="1:9" x14ac:dyDescent="0.35">
      <c r="A11965" t="s">
        <v>227</v>
      </c>
      <c r="B11965" t="s">
        <v>2728</v>
      </c>
      <c r="C11965" s="2">
        <v>0.59550000000000003</v>
      </c>
      <c r="D11965" s="2">
        <v>0.23910000000000001</v>
      </c>
      <c r="E11965" s="2">
        <v>0.13669999999999999</v>
      </c>
      <c r="F11965" s="2">
        <v>2.0299999999999999E-2</v>
      </c>
      <c r="G11965" s="2">
        <v>8.3999999999999995E-3</v>
      </c>
      <c r="H11965">
        <v>1581</v>
      </c>
    </row>
    <row r="11966" spans="1:9" x14ac:dyDescent="0.35">
      <c r="A11966" t="s">
        <v>228</v>
      </c>
      <c r="B11966" t="s">
        <v>228</v>
      </c>
      <c r="C11966" s="2">
        <v>0.57640000000000002</v>
      </c>
      <c r="D11966" s="2">
        <v>0.24590000000000001</v>
      </c>
      <c r="E11966" s="2">
        <v>0.1522</v>
      </c>
      <c r="F11966" s="2">
        <v>2.0199999999999999E-2</v>
      </c>
      <c r="G11966" s="2">
        <v>5.3E-3</v>
      </c>
      <c r="H11966">
        <v>2812</v>
      </c>
    </row>
    <row r="11968" spans="1:9" x14ac:dyDescent="0.35">
      <c r="A11968" s="1" t="s">
        <v>2739</v>
      </c>
    </row>
    <row r="11969" spans="1:9" x14ac:dyDescent="0.35">
      <c r="A11969" t="s">
        <v>219</v>
      </c>
      <c r="B11969" t="s">
        <v>301</v>
      </c>
      <c r="C11969" t="s">
        <v>672</v>
      </c>
      <c r="D11969" t="s">
        <v>673</v>
      </c>
      <c r="E11969" t="s">
        <v>674</v>
      </c>
      <c r="F11969" t="s">
        <v>675</v>
      </c>
      <c r="G11969" t="s">
        <v>277</v>
      </c>
      <c r="H11969" t="s">
        <v>226</v>
      </c>
    </row>
    <row r="11970" spans="1:9" x14ac:dyDescent="0.35">
      <c r="A11970" t="s">
        <v>227</v>
      </c>
      <c r="B11970" t="s">
        <v>2726</v>
      </c>
      <c r="C11970" s="2">
        <v>0.56720000000000004</v>
      </c>
      <c r="D11970" s="2">
        <v>0.34489999999999998</v>
      </c>
      <c r="E11970" s="2">
        <v>7.4700000000000003E-2</v>
      </c>
      <c r="F11970" s="2">
        <v>7.4999999999999997E-3</v>
      </c>
      <c r="G11970" s="2">
        <v>5.7000000000000002E-3</v>
      </c>
      <c r="H11970">
        <v>961</v>
      </c>
    </row>
    <row r="11971" spans="1:9" x14ac:dyDescent="0.35">
      <c r="A11971" t="s">
        <v>227</v>
      </c>
      <c r="B11971" t="s">
        <v>2727</v>
      </c>
      <c r="C11971" s="2">
        <v>0.71650000000000003</v>
      </c>
      <c r="D11971" s="2">
        <v>0.26169999999999999</v>
      </c>
      <c r="E11971" s="2">
        <v>2.0899999999999998E-2</v>
      </c>
      <c r="G11971" s="2">
        <v>8.9999999999999998E-4</v>
      </c>
      <c r="H11971">
        <v>270</v>
      </c>
    </row>
    <row r="11972" spans="1:9" x14ac:dyDescent="0.35">
      <c r="A11972" t="s">
        <v>227</v>
      </c>
      <c r="B11972" t="s">
        <v>2728</v>
      </c>
      <c r="C11972" s="2">
        <v>0.63849999999999996</v>
      </c>
      <c r="D11972" s="2">
        <v>0.28789999999999999</v>
      </c>
      <c r="E11972" s="2">
        <v>5.6399999999999999E-2</v>
      </c>
      <c r="F11972" s="2">
        <v>1.2999999999999999E-2</v>
      </c>
      <c r="G11972" s="2">
        <v>4.1999999999999997E-3</v>
      </c>
      <c r="H11972">
        <v>1581</v>
      </c>
    </row>
    <row r="11973" spans="1:9" x14ac:dyDescent="0.35">
      <c r="A11973" t="s">
        <v>228</v>
      </c>
      <c r="B11973" t="s">
        <v>228</v>
      </c>
      <c r="C11973" s="2">
        <v>0.62329999999999997</v>
      </c>
      <c r="D11973" s="2">
        <v>0.30359999999999998</v>
      </c>
      <c r="E11973" s="2">
        <v>5.8700000000000002E-2</v>
      </c>
      <c r="F11973" s="2">
        <v>0.01</v>
      </c>
      <c r="G11973" s="2">
        <v>4.4000000000000003E-3</v>
      </c>
      <c r="H11973">
        <v>2812</v>
      </c>
    </row>
    <row r="11975" spans="1:9" x14ac:dyDescent="0.35">
      <c r="A11975" s="1" t="s">
        <v>2740</v>
      </c>
    </row>
    <row r="11976" spans="1:9" x14ac:dyDescent="0.35">
      <c r="A11976" t="s">
        <v>219</v>
      </c>
      <c r="B11976" t="s">
        <v>301</v>
      </c>
      <c r="C11976" t="s">
        <v>672</v>
      </c>
      <c r="D11976" t="s">
        <v>673</v>
      </c>
      <c r="E11976" t="s">
        <v>674</v>
      </c>
      <c r="F11976" t="s">
        <v>675</v>
      </c>
      <c r="G11976" t="s">
        <v>277</v>
      </c>
      <c r="H11976" t="s">
        <v>282</v>
      </c>
      <c r="I11976" t="s">
        <v>226</v>
      </c>
    </row>
    <row r="11977" spans="1:9" x14ac:dyDescent="0.35">
      <c r="A11977" t="s">
        <v>227</v>
      </c>
      <c r="B11977" t="s">
        <v>2726</v>
      </c>
      <c r="C11977" s="2">
        <v>0.83340000000000003</v>
      </c>
      <c r="D11977" s="2">
        <v>0.1065</v>
      </c>
      <c r="E11977" s="2">
        <v>4.3700000000000003E-2</v>
      </c>
      <c r="F11977" s="2">
        <v>8.8000000000000005E-3</v>
      </c>
      <c r="G11977" s="2">
        <v>5.4000000000000003E-3</v>
      </c>
      <c r="H11977" s="2">
        <v>2.3E-3</v>
      </c>
      <c r="I11977">
        <v>961</v>
      </c>
    </row>
    <row r="11978" spans="1:9" x14ac:dyDescent="0.35">
      <c r="A11978" t="s">
        <v>227</v>
      </c>
      <c r="B11978" t="s">
        <v>2727</v>
      </c>
      <c r="C11978" s="2">
        <v>0.93589999999999995</v>
      </c>
      <c r="D11978" s="2">
        <v>1.37E-2</v>
      </c>
      <c r="E11978" s="2">
        <v>4.99E-2</v>
      </c>
      <c r="F11978" s="2">
        <v>5.0000000000000001E-4</v>
      </c>
      <c r="I11978">
        <v>270</v>
      </c>
    </row>
    <row r="11979" spans="1:9" x14ac:dyDescent="0.35">
      <c r="A11979" t="s">
        <v>227</v>
      </c>
      <c r="B11979" t="s">
        <v>2728</v>
      </c>
      <c r="C11979" s="2">
        <v>0.84809999999999997</v>
      </c>
      <c r="D11979" s="2">
        <v>8.8800000000000004E-2</v>
      </c>
      <c r="E11979" s="2">
        <v>0.04</v>
      </c>
      <c r="F11979" s="2">
        <v>2.1499999999999998E-2</v>
      </c>
      <c r="G11979" s="2">
        <v>1.6999999999999999E-3</v>
      </c>
      <c r="I11979">
        <v>1581</v>
      </c>
    </row>
    <row r="11980" spans="1:9" x14ac:dyDescent="0.35">
      <c r="A11980" t="s">
        <v>228</v>
      </c>
      <c r="B11980" t="s">
        <v>228</v>
      </c>
      <c r="C11980" s="2">
        <v>0.85119999999999996</v>
      </c>
      <c r="D11980" s="2">
        <v>8.7800000000000003E-2</v>
      </c>
      <c r="E11980" s="2">
        <v>4.2099999999999999E-2</v>
      </c>
      <c r="F11980" s="2">
        <v>1.55E-2</v>
      </c>
      <c r="G11980" s="2">
        <v>2.7000000000000001E-3</v>
      </c>
      <c r="H11980" s="2">
        <v>6.9999999999999999E-4</v>
      </c>
      <c r="I11980">
        <v>2812</v>
      </c>
    </row>
    <row r="11982" spans="1:9" x14ac:dyDescent="0.35">
      <c r="A11982" s="1" t="s">
        <v>2741</v>
      </c>
    </row>
    <row r="11983" spans="1:9" x14ac:dyDescent="0.35">
      <c r="A11983" t="s">
        <v>219</v>
      </c>
      <c r="B11983" t="s">
        <v>301</v>
      </c>
      <c r="C11983" t="s">
        <v>672</v>
      </c>
      <c r="D11983" t="s">
        <v>673</v>
      </c>
      <c r="E11983" t="s">
        <v>674</v>
      </c>
      <c r="F11983" t="s">
        <v>675</v>
      </c>
      <c r="G11983" t="s">
        <v>277</v>
      </c>
      <c r="H11983" t="s">
        <v>226</v>
      </c>
    </row>
    <row r="11984" spans="1:9" x14ac:dyDescent="0.35">
      <c r="A11984" t="s">
        <v>227</v>
      </c>
      <c r="B11984" t="s">
        <v>2726</v>
      </c>
      <c r="C11984" s="2">
        <v>0.89749999999999996</v>
      </c>
      <c r="D11984" s="2">
        <v>7.7299999999999994E-2</v>
      </c>
      <c r="E11984" s="2">
        <v>2.3300000000000001E-2</v>
      </c>
      <c r="F11984" s="2">
        <v>1.1000000000000001E-3</v>
      </c>
      <c r="G11984" s="2">
        <v>8.0000000000000004E-4</v>
      </c>
      <c r="H11984">
        <v>961</v>
      </c>
    </row>
    <row r="11985" spans="1:8" x14ac:dyDescent="0.35">
      <c r="A11985" t="s">
        <v>227</v>
      </c>
      <c r="B11985" t="s">
        <v>2727</v>
      </c>
      <c r="C11985" s="2">
        <v>0.90100000000000002</v>
      </c>
      <c r="D11985" s="2">
        <v>8.5199999999999998E-2</v>
      </c>
      <c r="E11985" s="2">
        <v>0.01</v>
      </c>
      <c r="F11985" s="2">
        <v>3.0000000000000001E-3</v>
      </c>
      <c r="G11985" s="2">
        <v>8.0000000000000004E-4</v>
      </c>
      <c r="H11985">
        <v>270</v>
      </c>
    </row>
    <row r="11986" spans="1:8" x14ac:dyDescent="0.35">
      <c r="A11986" t="s">
        <v>227</v>
      </c>
      <c r="B11986" t="s">
        <v>2728</v>
      </c>
      <c r="C11986" s="2">
        <v>0.85189999999999999</v>
      </c>
      <c r="D11986" s="2">
        <v>0.1014</v>
      </c>
      <c r="E11986" s="2">
        <v>3.2599999999999997E-2</v>
      </c>
      <c r="F11986" s="2">
        <v>1.26E-2</v>
      </c>
      <c r="G11986" s="2">
        <v>1.5E-3</v>
      </c>
      <c r="H11986">
        <v>1581</v>
      </c>
    </row>
    <row r="11987" spans="1:8" x14ac:dyDescent="0.35">
      <c r="A11987" t="s">
        <v>228</v>
      </c>
      <c r="B11987" t="s">
        <v>228</v>
      </c>
      <c r="C11987" s="2">
        <v>0.87080000000000002</v>
      </c>
      <c r="D11987" s="2">
        <v>9.2299999999999993E-2</v>
      </c>
      <c r="E11987" s="2">
        <v>2.76E-2</v>
      </c>
      <c r="F11987" s="2">
        <v>8.0999999999999996E-3</v>
      </c>
      <c r="G11987" s="2">
        <v>1.1999999999999999E-3</v>
      </c>
      <c r="H11987">
        <v>2812</v>
      </c>
    </row>
    <row r="11989" spans="1:8" x14ac:dyDescent="0.35">
      <c r="A11989" s="1" t="s">
        <v>2742</v>
      </c>
    </row>
    <row r="11990" spans="1:8" x14ac:dyDescent="0.35">
      <c r="A11990" t="s">
        <v>219</v>
      </c>
      <c r="B11990" t="s">
        <v>301</v>
      </c>
      <c r="C11990" t="s">
        <v>299</v>
      </c>
      <c r="D11990" t="s">
        <v>298</v>
      </c>
      <c r="E11990" t="s">
        <v>277</v>
      </c>
      <c r="F11990" t="s">
        <v>226</v>
      </c>
    </row>
    <row r="11991" spans="1:8" x14ac:dyDescent="0.35">
      <c r="A11991" t="s">
        <v>227</v>
      </c>
      <c r="B11991" t="s">
        <v>2726</v>
      </c>
      <c r="C11991" s="2">
        <v>0.70269999999999999</v>
      </c>
      <c r="D11991" s="2">
        <v>0.29409999999999997</v>
      </c>
      <c r="E11991" s="2">
        <v>3.0999999999999999E-3</v>
      </c>
      <c r="F11991">
        <v>155</v>
      </c>
    </row>
    <row r="11992" spans="1:8" x14ac:dyDescent="0.35">
      <c r="A11992" s="3" t="s">
        <v>227</v>
      </c>
      <c r="B11992" s="3" t="s">
        <v>2727</v>
      </c>
      <c r="C11992" s="4">
        <v>0.3921</v>
      </c>
      <c r="D11992" s="4">
        <v>0.6079</v>
      </c>
      <c r="E11992" s="5"/>
      <c r="F11992" s="5" t="s">
        <v>366</v>
      </c>
    </row>
    <row r="11993" spans="1:8" x14ac:dyDescent="0.35">
      <c r="A11993" t="s">
        <v>227</v>
      </c>
      <c r="B11993" t="s">
        <v>2728</v>
      </c>
      <c r="C11993" s="2">
        <v>0.78859999999999997</v>
      </c>
      <c r="D11993" s="2">
        <v>0.20300000000000001</v>
      </c>
      <c r="E11993" s="2">
        <v>8.3999999999999995E-3</v>
      </c>
      <c r="F11993">
        <v>540</v>
      </c>
    </row>
    <row r="11994" spans="1:8" x14ac:dyDescent="0.35">
      <c r="A11994" t="s">
        <v>228</v>
      </c>
      <c r="B11994" t="s">
        <v>228</v>
      </c>
      <c r="C11994" s="2">
        <v>0.76939999999999997</v>
      </c>
      <c r="D11994" s="2">
        <v>0.2233</v>
      </c>
      <c r="E11994" s="2">
        <v>7.3000000000000001E-3</v>
      </c>
      <c r="F11994">
        <v>702</v>
      </c>
    </row>
    <row r="11996" spans="1:8" x14ac:dyDescent="0.35">
      <c r="A11996" s="1" t="s">
        <v>2743</v>
      </c>
    </row>
    <row r="11997" spans="1:8" x14ac:dyDescent="0.35">
      <c r="A11997" t="s">
        <v>219</v>
      </c>
      <c r="B11997" t="s">
        <v>301</v>
      </c>
      <c r="C11997" t="s">
        <v>758</v>
      </c>
      <c r="D11997" t="s">
        <v>759</v>
      </c>
      <c r="E11997" t="s">
        <v>760</v>
      </c>
      <c r="F11997" t="s">
        <v>761</v>
      </c>
      <c r="G11997" t="s">
        <v>226</v>
      </c>
    </row>
    <row r="11998" spans="1:8" x14ac:dyDescent="0.35">
      <c r="A11998" t="s">
        <v>227</v>
      </c>
      <c r="B11998" t="s">
        <v>2726</v>
      </c>
      <c r="C11998" s="2">
        <v>0.4607</v>
      </c>
      <c r="D11998" s="2">
        <v>0.17810000000000001</v>
      </c>
      <c r="E11998" s="2">
        <v>0.123</v>
      </c>
      <c r="F11998" s="2">
        <v>0.2382</v>
      </c>
      <c r="G11998">
        <v>155</v>
      </c>
    </row>
    <row r="11999" spans="1:8" x14ac:dyDescent="0.35">
      <c r="A11999" s="3" t="s">
        <v>227</v>
      </c>
      <c r="B11999" s="3" t="s">
        <v>2727</v>
      </c>
      <c r="C11999" s="4">
        <v>0.73780000000000001</v>
      </c>
      <c r="D11999" s="4">
        <v>0.17100000000000001</v>
      </c>
      <c r="E11999" s="4">
        <v>7.0699999999999999E-2</v>
      </c>
      <c r="F11999" s="4">
        <v>2.0400000000000001E-2</v>
      </c>
      <c r="G11999" s="5" t="s">
        <v>366</v>
      </c>
    </row>
    <row r="12000" spans="1:8" x14ac:dyDescent="0.35">
      <c r="A12000" t="s">
        <v>227</v>
      </c>
      <c r="B12000" t="s">
        <v>2728</v>
      </c>
      <c r="C12000" s="2">
        <v>0.39200000000000002</v>
      </c>
      <c r="D12000" s="2">
        <v>0.2838</v>
      </c>
      <c r="E12000" s="2">
        <v>0.18260000000000001</v>
      </c>
      <c r="F12000" s="2">
        <v>0.1416</v>
      </c>
      <c r="G12000">
        <v>540</v>
      </c>
    </row>
    <row r="12001" spans="1:78" x14ac:dyDescent="0.35">
      <c r="A12001" t="s">
        <v>228</v>
      </c>
      <c r="B12001" t="s">
        <v>228</v>
      </c>
      <c r="C12001" s="2">
        <v>0.40749999999999997</v>
      </c>
      <c r="D12001" s="2">
        <v>0.2621</v>
      </c>
      <c r="E12001" s="2">
        <v>0.1701</v>
      </c>
      <c r="F12001" s="2">
        <v>0.1603</v>
      </c>
      <c r="G12001">
        <v>702</v>
      </c>
    </row>
    <row r="12003" spans="1:78" x14ac:dyDescent="0.35">
      <c r="A12003" s="1" t="s">
        <v>2744</v>
      </c>
    </row>
    <row r="12004" spans="1:78" x14ac:dyDescent="0.35">
      <c r="A12004" t="s">
        <v>219</v>
      </c>
      <c r="B12004" t="s">
        <v>301</v>
      </c>
      <c r="C12004" t="s">
        <v>855</v>
      </c>
      <c r="D12004" t="s">
        <v>856</v>
      </c>
      <c r="E12004" t="s">
        <v>857</v>
      </c>
      <c r="F12004" t="s">
        <v>858</v>
      </c>
      <c r="G12004" t="s">
        <v>859</v>
      </c>
      <c r="H12004" t="s">
        <v>860</v>
      </c>
      <c r="I12004" t="s">
        <v>861</v>
      </c>
      <c r="J12004" t="s">
        <v>862</v>
      </c>
      <c r="K12004" t="s">
        <v>863</v>
      </c>
      <c r="L12004" t="s">
        <v>864</v>
      </c>
      <c r="M12004" t="s">
        <v>865</v>
      </c>
      <c r="N12004" t="s">
        <v>866</v>
      </c>
      <c r="O12004" t="s">
        <v>867</v>
      </c>
      <c r="P12004" t="s">
        <v>868</v>
      </c>
      <c r="Q12004" t="s">
        <v>869</v>
      </c>
      <c r="R12004" t="s">
        <v>282</v>
      </c>
      <c r="S12004" t="s">
        <v>870</v>
      </c>
      <c r="T12004" t="s">
        <v>226</v>
      </c>
    </row>
    <row r="12005" spans="1:78" x14ac:dyDescent="0.35">
      <c r="A12005" t="s">
        <v>227</v>
      </c>
      <c r="B12005" t="s">
        <v>2726</v>
      </c>
      <c r="C12005" s="2">
        <v>0.9909</v>
      </c>
      <c r="D12005" s="2">
        <v>0.92859999999999998</v>
      </c>
      <c r="E12005" s="2">
        <v>0.91669999999999996</v>
      </c>
      <c r="F12005" s="2">
        <v>0.79249999999999998</v>
      </c>
      <c r="G12005" s="2">
        <v>0.58309999999999995</v>
      </c>
      <c r="H12005" s="2">
        <v>0.58399999999999996</v>
      </c>
      <c r="I12005" s="2">
        <v>0.51180000000000003</v>
      </c>
      <c r="J12005" s="2">
        <v>0.4501</v>
      </c>
      <c r="K12005" s="2">
        <v>0.39850000000000002</v>
      </c>
      <c r="L12005" s="2">
        <v>0.3332</v>
      </c>
      <c r="M12005" s="2">
        <v>0.17519999999999999</v>
      </c>
      <c r="N12005" s="2">
        <v>0.1988</v>
      </c>
      <c r="O12005" s="2">
        <v>8.4500000000000006E-2</v>
      </c>
      <c r="P12005" s="2">
        <v>3.7699999999999997E-2</v>
      </c>
      <c r="Q12005" s="2">
        <v>1.8100000000000002E-2</v>
      </c>
      <c r="R12005" s="2">
        <v>1.1000000000000001E-3</v>
      </c>
      <c r="S12005" s="2">
        <v>2.0999999999999999E-3</v>
      </c>
      <c r="T12005">
        <v>961</v>
      </c>
    </row>
    <row r="12006" spans="1:78" x14ac:dyDescent="0.35">
      <c r="A12006" t="s">
        <v>227</v>
      </c>
      <c r="B12006" t="s">
        <v>2727</v>
      </c>
      <c r="C12006" s="2">
        <v>0.99970000000000003</v>
      </c>
      <c r="D12006" s="2">
        <v>0.91600000000000004</v>
      </c>
      <c r="E12006" s="2">
        <v>0.88319999999999999</v>
      </c>
      <c r="F12006" s="2">
        <v>0.71530000000000005</v>
      </c>
      <c r="G12006" s="2">
        <v>0.58440000000000003</v>
      </c>
      <c r="H12006" s="2">
        <v>3.0099999999999998E-2</v>
      </c>
      <c r="I12006" s="2">
        <v>0.48199999999999998</v>
      </c>
      <c r="J12006" s="2">
        <v>0.34799999999999998</v>
      </c>
      <c r="K12006" s="2">
        <v>0.40289999999999998</v>
      </c>
      <c r="L12006" s="2">
        <v>0.33179999999999998</v>
      </c>
      <c r="M12006" s="2">
        <v>0.17199999999999999</v>
      </c>
      <c r="N12006" s="2">
        <v>0.1002</v>
      </c>
      <c r="O12006" s="2">
        <v>0.1191</v>
      </c>
      <c r="P12006" s="2">
        <v>1.6799999999999999E-2</v>
      </c>
      <c r="Q12006" s="2">
        <v>5.1999999999999998E-3</v>
      </c>
      <c r="T12006">
        <v>270</v>
      </c>
    </row>
    <row r="12007" spans="1:78" x14ac:dyDescent="0.35">
      <c r="A12007" t="s">
        <v>227</v>
      </c>
      <c r="B12007" t="s">
        <v>2728</v>
      </c>
      <c r="C12007" s="2">
        <v>0.99870000000000003</v>
      </c>
      <c r="D12007" s="2">
        <v>0.95820000000000005</v>
      </c>
      <c r="E12007" s="2">
        <v>0.95750000000000002</v>
      </c>
      <c r="F12007" s="2">
        <v>0.89500000000000002</v>
      </c>
      <c r="G12007" s="2">
        <v>0.76380000000000003</v>
      </c>
      <c r="H12007" s="2">
        <v>0.73709999999999998</v>
      </c>
      <c r="I12007" s="2">
        <v>0.56359999999999999</v>
      </c>
      <c r="J12007" s="2">
        <v>0.55940000000000001</v>
      </c>
      <c r="K12007" s="2">
        <v>0.57509999999999994</v>
      </c>
      <c r="L12007" s="2">
        <v>0.51129999999999998</v>
      </c>
      <c r="M12007" s="2">
        <v>0.32490000000000002</v>
      </c>
      <c r="N12007" s="2">
        <v>0.17280000000000001</v>
      </c>
      <c r="O12007" s="2">
        <v>0.18260000000000001</v>
      </c>
      <c r="P12007" s="2">
        <v>0.113</v>
      </c>
      <c r="Q12007" s="2">
        <v>1.9300000000000001E-2</v>
      </c>
      <c r="R12007" s="2">
        <v>6.9999999999999999E-4</v>
      </c>
      <c r="S12007" s="2">
        <v>0</v>
      </c>
      <c r="T12007">
        <v>1581</v>
      </c>
    </row>
    <row r="12008" spans="1:78" x14ac:dyDescent="0.35">
      <c r="A12008" t="s">
        <v>228</v>
      </c>
      <c r="B12008" t="s">
        <v>228</v>
      </c>
      <c r="C12008" s="2">
        <v>0.99639999999999995</v>
      </c>
      <c r="D12008" s="2">
        <v>0.94510000000000005</v>
      </c>
      <c r="E12008" s="2">
        <v>0.93789999999999996</v>
      </c>
      <c r="F12008" s="2">
        <v>0.84630000000000005</v>
      </c>
      <c r="G12008" s="2">
        <v>0.69089999999999996</v>
      </c>
      <c r="H12008" s="2">
        <v>0.62309999999999999</v>
      </c>
      <c r="I12008" s="2">
        <v>0.54010000000000002</v>
      </c>
      <c r="J12008" s="2">
        <v>0.50590000000000002</v>
      </c>
      <c r="K12008" s="2">
        <v>0.50429999999999997</v>
      </c>
      <c r="L12008" s="2">
        <v>0.43940000000000001</v>
      </c>
      <c r="M12008" s="2">
        <v>0.26440000000000002</v>
      </c>
      <c r="N12008" s="2">
        <v>0.1739</v>
      </c>
      <c r="O12008" s="2">
        <v>0.14599999999999999</v>
      </c>
      <c r="P12008" s="2">
        <v>8.0500000000000002E-2</v>
      </c>
      <c r="Q12008" s="2">
        <v>1.8200000000000001E-2</v>
      </c>
      <c r="R12008" s="2">
        <v>8.0000000000000004E-4</v>
      </c>
      <c r="S12008" s="2">
        <v>6.9999999999999999E-4</v>
      </c>
      <c r="T12008">
        <v>2812</v>
      </c>
    </row>
    <row r="12010" spans="1:78" x14ac:dyDescent="0.35">
      <c r="A12010" s="1" t="s">
        <v>2745</v>
      </c>
    </row>
    <row r="12011" spans="1:78" x14ac:dyDescent="0.35">
      <c r="A12011" t="s">
        <v>219</v>
      </c>
      <c r="B12011" t="s">
        <v>301</v>
      </c>
      <c r="C12011" t="s">
        <v>882</v>
      </c>
      <c r="D12011" t="s">
        <v>883</v>
      </c>
      <c r="E12011" t="s">
        <v>884</v>
      </c>
      <c r="F12011" t="s">
        <v>885</v>
      </c>
      <c r="G12011" t="s">
        <v>886</v>
      </c>
      <c r="H12011" t="s">
        <v>887</v>
      </c>
      <c r="I12011" t="s">
        <v>888</v>
      </c>
      <c r="J12011" t="s">
        <v>889</v>
      </c>
      <c r="K12011" t="s">
        <v>890</v>
      </c>
      <c r="L12011" t="s">
        <v>891</v>
      </c>
      <c r="M12011" t="s">
        <v>892</v>
      </c>
      <c r="N12011" t="s">
        <v>893</v>
      </c>
      <c r="O12011" t="s">
        <v>894</v>
      </c>
      <c r="P12011" t="s">
        <v>895</v>
      </c>
      <c r="Q12011" t="s">
        <v>896</v>
      </c>
      <c r="R12011" t="s">
        <v>897</v>
      </c>
      <c r="S12011" t="s">
        <v>898</v>
      </c>
      <c r="T12011" t="s">
        <v>899</v>
      </c>
      <c r="U12011" t="s">
        <v>900</v>
      </c>
      <c r="V12011" t="s">
        <v>901</v>
      </c>
      <c r="W12011" t="s">
        <v>902</v>
      </c>
      <c r="X12011" t="s">
        <v>903</v>
      </c>
      <c r="Y12011" t="s">
        <v>904</v>
      </c>
      <c r="Z12011" t="s">
        <v>905</v>
      </c>
      <c r="AA12011" t="s">
        <v>906</v>
      </c>
      <c r="AB12011" t="s">
        <v>907</v>
      </c>
      <c r="AC12011" t="s">
        <v>908</v>
      </c>
      <c r="AD12011" t="s">
        <v>909</v>
      </c>
      <c r="AE12011" t="s">
        <v>910</v>
      </c>
      <c r="AF12011" t="s">
        <v>911</v>
      </c>
      <c r="AG12011" t="s">
        <v>912</v>
      </c>
      <c r="AH12011" t="s">
        <v>913</v>
      </c>
      <c r="AI12011" t="s">
        <v>914</v>
      </c>
      <c r="AJ12011" t="s">
        <v>915</v>
      </c>
      <c r="AK12011" t="s">
        <v>916</v>
      </c>
      <c r="AL12011" t="s">
        <v>917</v>
      </c>
      <c r="AM12011" t="s">
        <v>918</v>
      </c>
      <c r="AN12011" t="s">
        <v>919</v>
      </c>
      <c r="AO12011" t="s">
        <v>920</v>
      </c>
      <c r="AP12011" t="s">
        <v>921</v>
      </c>
      <c r="AQ12011" t="s">
        <v>922</v>
      </c>
      <c r="AR12011" t="s">
        <v>923</v>
      </c>
      <c r="AS12011" t="s">
        <v>924</v>
      </c>
      <c r="AT12011" t="s">
        <v>925</v>
      </c>
      <c r="AU12011" t="s">
        <v>926</v>
      </c>
      <c r="AV12011" t="s">
        <v>927</v>
      </c>
      <c r="AW12011" t="s">
        <v>928</v>
      </c>
      <c r="AX12011" t="s">
        <v>929</v>
      </c>
      <c r="AY12011" t="s">
        <v>930</v>
      </c>
      <c r="AZ12011" t="s">
        <v>931</v>
      </c>
      <c r="BA12011" t="s">
        <v>932</v>
      </c>
      <c r="BB12011" t="s">
        <v>933</v>
      </c>
      <c r="BC12011" t="s">
        <v>934</v>
      </c>
      <c r="BD12011" t="s">
        <v>935</v>
      </c>
      <c r="BE12011" t="s">
        <v>936</v>
      </c>
      <c r="BF12011" t="s">
        <v>937</v>
      </c>
      <c r="BG12011" t="s">
        <v>938</v>
      </c>
      <c r="BH12011" t="s">
        <v>939</v>
      </c>
      <c r="BI12011" t="s">
        <v>940</v>
      </c>
      <c r="BJ12011" t="s">
        <v>941</v>
      </c>
      <c r="BK12011" t="s">
        <v>942</v>
      </c>
      <c r="BL12011" t="s">
        <v>943</v>
      </c>
      <c r="BM12011" t="s">
        <v>944</v>
      </c>
      <c r="BN12011" t="s">
        <v>945</v>
      </c>
      <c r="BO12011" t="s">
        <v>946</v>
      </c>
      <c r="BP12011" t="s">
        <v>947</v>
      </c>
      <c r="BQ12011" t="s">
        <v>948</v>
      </c>
      <c r="BR12011" t="s">
        <v>949</v>
      </c>
      <c r="BS12011" t="s">
        <v>950</v>
      </c>
      <c r="BT12011" t="s">
        <v>951</v>
      </c>
      <c r="BU12011" t="s">
        <v>952</v>
      </c>
      <c r="BV12011" t="s">
        <v>953</v>
      </c>
      <c r="BW12011" t="s">
        <v>954</v>
      </c>
      <c r="BX12011" t="s">
        <v>955</v>
      </c>
      <c r="BY12011" t="s">
        <v>956</v>
      </c>
      <c r="BZ12011" t="s">
        <v>957</v>
      </c>
    </row>
    <row r="12012" spans="1:78" x14ac:dyDescent="0.35">
      <c r="A12012" t="s">
        <v>227</v>
      </c>
      <c r="B12012" t="s">
        <v>2726</v>
      </c>
      <c r="C12012">
        <v>4841.33</v>
      </c>
      <c r="D12012">
        <v>3500</v>
      </c>
      <c r="E12012">
        <v>200</v>
      </c>
      <c r="F12012">
        <v>26000</v>
      </c>
      <c r="G12012" s="6">
        <v>802</v>
      </c>
      <c r="H12012">
        <v>2926.29</v>
      </c>
      <c r="I12012">
        <v>2000</v>
      </c>
      <c r="J12012">
        <v>100</v>
      </c>
      <c r="K12012">
        <v>30000</v>
      </c>
      <c r="L12012" s="6">
        <v>297</v>
      </c>
      <c r="M12012">
        <v>5013.8500000000004</v>
      </c>
      <c r="N12012">
        <v>5000</v>
      </c>
      <c r="O12012">
        <v>300</v>
      </c>
      <c r="P12012">
        <v>15000</v>
      </c>
      <c r="Q12012" s="6">
        <v>113</v>
      </c>
      <c r="R12012">
        <v>328.03</v>
      </c>
      <c r="S12012">
        <v>200</v>
      </c>
      <c r="T12012">
        <v>50</v>
      </c>
      <c r="U12012">
        <v>3000</v>
      </c>
      <c r="V12012" s="6">
        <v>380</v>
      </c>
      <c r="W12012">
        <v>393.55</v>
      </c>
      <c r="X12012">
        <v>300</v>
      </c>
      <c r="Y12012">
        <v>30</v>
      </c>
      <c r="Z12012">
        <v>2200</v>
      </c>
      <c r="AA12012" s="6">
        <v>462</v>
      </c>
      <c r="AB12012">
        <v>633.14</v>
      </c>
      <c r="AC12012">
        <v>500</v>
      </c>
      <c r="AD12012">
        <v>100</v>
      </c>
      <c r="AE12012">
        <v>5000</v>
      </c>
      <c r="AF12012" s="6">
        <v>628</v>
      </c>
      <c r="AG12012">
        <v>446.49</v>
      </c>
      <c r="AH12012">
        <v>300</v>
      </c>
      <c r="AI12012">
        <v>100</v>
      </c>
      <c r="AJ12012">
        <v>5000</v>
      </c>
      <c r="AK12012" s="6">
        <v>231</v>
      </c>
      <c r="AL12012">
        <v>1650.71</v>
      </c>
      <c r="AM12012">
        <v>1500</v>
      </c>
      <c r="AN12012">
        <v>300</v>
      </c>
      <c r="AO12012">
        <v>9000</v>
      </c>
      <c r="AP12012" s="6">
        <v>817</v>
      </c>
      <c r="AQ12012">
        <v>968.36</v>
      </c>
      <c r="AR12012">
        <v>400</v>
      </c>
      <c r="AS12012">
        <v>50</v>
      </c>
      <c r="AT12012">
        <v>30000</v>
      </c>
      <c r="AU12012" s="6">
        <v>422</v>
      </c>
      <c r="AV12012">
        <v>675.64</v>
      </c>
      <c r="AW12012">
        <v>500</v>
      </c>
      <c r="AX12012">
        <v>100</v>
      </c>
      <c r="AY12012">
        <v>3000</v>
      </c>
      <c r="AZ12012" s="6">
        <v>53</v>
      </c>
      <c r="BA12012">
        <v>424.4</v>
      </c>
      <c r="BB12012">
        <v>400</v>
      </c>
      <c r="BC12012">
        <v>50</v>
      </c>
      <c r="BD12012">
        <v>2800</v>
      </c>
      <c r="BE12012" s="6">
        <v>839</v>
      </c>
      <c r="BF12012">
        <v>2291.63</v>
      </c>
      <c r="BG12012">
        <v>2000</v>
      </c>
      <c r="BH12012">
        <v>400</v>
      </c>
      <c r="BI12012">
        <v>7000</v>
      </c>
      <c r="BJ12012" s="6">
        <v>21</v>
      </c>
      <c r="BK12012">
        <v>2371.25</v>
      </c>
      <c r="BL12012">
        <v>1400</v>
      </c>
      <c r="BM12012">
        <v>100</v>
      </c>
      <c r="BN12012">
        <v>28000</v>
      </c>
      <c r="BO12012" s="6">
        <v>106</v>
      </c>
      <c r="BP12012">
        <v>1026.3599999999999</v>
      </c>
      <c r="BQ12012">
        <v>500</v>
      </c>
      <c r="BR12012">
        <v>50</v>
      </c>
      <c r="BS12012">
        <v>10000</v>
      </c>
      <c r="BT12012" s="6">
        <v>399</v>
      </c>
      <c r="BU12012">
        <v>2123.9899999999998</v>
      </c>
      <c r="BV12012">
        <v>1360</v>
      </c>
      <c r="BW12012">
        <v>100</v>
      </c>
      <c r="BX12012">
        <v>5550</v>
      </c>
      <c r="BY12012" s="6">
        <v>41</v>
      </c>
      <c r="BZ12012">
        <v>839</v>
      </c>
    </row>
    <row r="12013" spans="1:78" x14ac:dyDescent="0.35">
      <c r="A12013" t="s">
        <v>227</v>
      </c>
      <c r="B12013" t="s">
        <v>2727</v>
      </c>
      <c r="C12013">
        <v>6138.21</v>
      </c>
      <c r="D12013">
        <v>5000</v>
      </c>
      <c r="E12013">
        <v>200</v>
      </c>
      <c r="F12013">
        <v>30000</v>
      </c>
      <c r="G12013" s="6">
        <v>234</v>
      </c>
      <c r="H12013">
        <v>3759.38</v>
      </c>
      <c r="I12013">
        <v>2000</v>
      </c>
      <c r="J12013">
        <v>200</v>
      </c>
      <c r="K12013">
        <v>60000</v>
      </c>
      <c r="L12013" s="6">
        <v>85</v>
      </c>
      <c r="M12013">
        <v>5987.52</v>
      </c>
      <c r="N12013">
        <v>6000</v>
      </c>
      <c r="O12013">
        <v>500</v>
      </c>
      <c r="P12013">
        <v>15000</v>
      </c>
      <c r="Q12013" s="6">
        <v>27</v>
      </c>
      <c r="R12013">
        <v>409.59</v>
      </c>
      <c r="S12013">
        <v>240</v>
      </c>
      <c r="T12013">
        <v>50</v>
      </c>
      <c r="U12013">
        <v>2000</v>
      </c>
      <c r="V12013" s="6">
        <v>102</v>
      </c>
      <c r="W12013">
        <v>608.15</v>
      </c>
      <c r="X12013">
        <v>1000</v>
      </c>
      <c r="Y12013">
        <v>101</v>
      </c>
      <c r="Z12013">
        <v>1500</v>
      </c>
      <c r="AA12013" s="6">
        <v>8</v>
      </c>
      <c r="AB12013">
        <v>844.47</v>
      </c>
      <c r="AC12013">
        <v>500</v>
      </c>
      <c r="AD12013">
        <v>100</v>
      </c>
      <c r="AE12013">
        <v>5000</v>
      </c>
      <c r="AF12013" s="6">
        <v>150</v>
      </c>
      <c r="AG12013">
        <v>438.93</v>
      </c>
      <c r="AH12013">
        <v>300</v>
      </c>
      <c r="AI12013">
        <v>100</v>
      </c>
      <c r="AJ12013">
        <v>3000</v>
      </c>
      <c r="AK12013" s="6">
        <v>71</v>
      </c>
      <c r="AL12013">
        <v>1740.17</v>
      </c>
      <c r="AM12013">
        <v>1500</v>
      </c>
      <c r="AN12013">
        <v>300</v>
      </c>
      <c r="AO12013">
        <v>8000</v>
      </c>
      <c r="AP12013" s="6">
        <v>225</v>
      </c>
      <c r="AQ12013">
        <v>2165.87</v>
      </c>
      <c r="AR12013">
        <v>500</v>
      </c>
      <c r="AS12013">
        <v>50</v>
      </c>
      <c r="AT12013">
        <v>30000</v>
      </c>
      <c r="AU12013" s="6">
        <v>139</v>
      </c>
      <c r="AV12013">
        <v>681.78</v>
      </c>
      <c r="AW12013">
        <v>800</v>
      </c>
      <c r="AX12013">
        <v>100</v>
      </c>
      <c r="AY12013">
        <v>2000</v>
      </c>
      <c r="AZ12013" s="6">
        <v>23</v>
      </c>
      <c r="BA12013">
        <v>439.32</v>
      </c>
      <c r="BB12013">
        <v>330</v>
      </c>
      <c r="BC12013">
        <v>50</v>
      </c>
      <c r="BD12013">
        <v>2000</v>
      </c>
      <c r="BE12013" s="6">
        <v>233</v>
      </c>
      <c r="BF12013">
        <v>5428.4</v>
      </c>
      <c r="BG12013">
        <v>6500</v>
      </c>
      <c r="BH12013">
        <v>2000</v>
      </c>
      <c r="BI12013">
        <v>6500</v>
      </c>
      <c r="BJ12013" s="6">
        <v>3</v>
      </c>
      <c r="BK12013">
        <v>1327.66</v>
      </c>
      <c r="BL12013">
        <v>1000</v>
      </c>
      <c r="BM12013">
        <v>300</v>
      </c>
      <c r="BN12013">
        <v>8000</v>
      </c>
      <c r="BO12013" s="6">
        <v>36</v>
      </c>
      <c r="BP12013">
        <v>859.63</v>
      </c>
      <c r="BQ12013">
        <v>600</v>
      </c>
      <c r="BR12013">
        <v>50</v>
      </c>
      <c r="BS12013">
        <v>4500</v>
      </c>
      <c r="BT12013" s="6">
        <v>97</v>
      </c>
      <c r="BU12013">
        <v>2784.78</v>
      </c>
      <c r="BV12013">
        <v>4000</v>
      </c>
      <c r="BW12013">
        <v>500</v>
      </c>
      <c r="BX12013">
        <v>4000</v>
      </c>
      <c r="BY12013" s="6">
        <v>9</v>
      </c>
      <c r="BZ12013">
        <v>234</v>
      </c>
    </row>
    <row r="12014" spans="1:78" x14ac:dyDescent="0.35">
      <c r="A12014" t="s">
        <v>227</v>
      </c>
      <c r="B12014" t="s">
        <v>2728</v>
      </c>
      <c r="C12014">
        <v>9729.7000000000007</v>
      </c>
      <c r="D12014">
        <v>8000</v>
      </c>
      <c r="E12014">
        <v>300</v>
      </c>
      <c r="F12014">
        <v>30000</v>
      </c>
      <c r="G12014" s="6">
        <v>1332</v>
      </c>
      <c r="H12014">
        <v>4497.78</v>
      </c>
      <c r="I12014">
        <v>3000</v>
      </c>
      <c r="J12014">
        <v>100</v>
      </c>
      <c r="K12014">
        <v>30000</v>
      </c>
      <c r="L12014" s="6">
        <v>694</v>
      </c>
      <c r="M12014">
        <v>6472.39</v>
      </c>
      <c r="N12014">
        <v>6000</v>
      </c>
      <c r="O12014">
        <v>183</v>
      </c>
      <c r="P12014">
        <v>16000</v>
      </c>
      <c r="Q12014" s="6">
        <v>205</v>
      </c>
      <c r="R12014">
        <v>540.33000000000004</v>
      </c>
      <c r="S12014">
        <v>400</v>
      </c>
      <c r="T12014">
        <v>50</v>
      </c>
      <c r="U12014">
        <v>3000</v>
      </c>
      <c r="V12014" s="6">
        <v>697</v>
      </c>
      <c r="W12014">
        <v>613.52</v>
      </c>
      <c r="X12014">
        <v>500</v>
      </c>
      <c r="Y12014">
        <v>50</v>
      </c>
      <c r="Z12014">
        <v>3000</v>
      </c>
      <c r="AA12014" s="6">
        <v>794</v>
      </c>
      <c r="AB12014">
        <v>987.18</v>
      </c>
      <c r="AC12014">
        <v>700</v>
      </c>
      <c r="AD12014">
        <v>100</v>
      </c>
      <c r="AE12014">
        <v>5000</v>
      </c>
      <c r="AF12014" s="6">
        <v>1147</v>
      </c>
      <c r="AG12014">
        <v>769.05</v>
      </c>
      <c r="AH12014">
        <v>500</v>
      </c>
      <c r="AI12014">
        <v>100</v>
      </c>
      <c r="AJ12014">
        <v>5000</v>
      </c>
      <c r="AK12014" s="6">
        <v>553</v>
      </c>
      <c r="AL12014">
        <v>2440.27</v>
      </c>
      <c r="AM12014">
        <v>2000</v>
      </c>
      <c r="AN12014">
        <v>300</v>
      </c>
      <c r="AO12014">
        <v>9100</v>
      </c>
      <c r="AP12014" s="6">
        <v>1388</v>
      </c>
      <c r="AQ12014">
        <v>2828.78</v>
      </c>
      <c r="AR12014">
        <v>1500</v>
      </c>
      <c r="AS12014">
        <v>50</v>
      </c>
      <c r="AT12014">
        <v>30000</v>
      </c>
      <c r="AU12014" s="6">
        <v>958</v>
      </c>
      <c r="AV12014">
        <v>808.74</v>
      </c>
      <c r="AW12014">
        <v>500</v>
      </c>
      <c r="AX12014">
        <v>100</v>
      </c>
      <c r="AY12014">
        <v>3000</v>
      </c>
      <c r="AZ12014" s="6">
        <v>190</v>
      </c>
      <c r="BA12014">
        <v>743.32</v>
      </c>
      <c r="BB12014">
        <v>650</v>
      </c>
      <c r="BC12014">
        <v>100</v>
      </c>
      <c r="BD12014">
        <v>2800</v>
      </c>
      <c r="BE12014" s="6">
        <v>1406</v>
      </c>
      <c r="BF12014">
        <v>3072.56</v>
      </c>
      <c r="BG12014">
        <v>2000</v>
      </c>
      <c r="BH12014">
        <v>200</v>
      </c>
      <c r="BI12014">
        <v>10000</v>
      </c>
      <c r="BJ12014" s="6">
        <v>108</v>
      </c>
      <c r="BK12014">
        <v>5999.96</v>
      </c>
      <c r="BL12014">
        <v>3000</v>
      </c>
      <c r="BM12014">
        <v>100</v>
      </c>
      <c r="BN12014">
        <v>30000</v>
      </c>
      <c r="BO12014" s="6">
        <v>318</v>
      </c>
      <c r="BP12014">
        <v>1438.3</v>
      </c>
      <c r="BQ12014">
        <v>700</v>
      </c>
      <c r="BR12014">
        <v>50</v>
      </c>
      <c r="BS12014">
        <v>30000</v>
      </c>
      <c r="BT12014" s="6">
        <v>799</v>
      </c>
      <c r="BU12014">
        <v>3892.94</v>
      </c>
      <c r="BV12014">
        <v>2700</v>
      </c>
      <c r="BW12014">
        <v>200</v>
      </c>
      <c r="BX12014">
        <v>10000</v>
      </c>
      <c r="BY12014" s="6">
        <v>73</v>
      </c>
      <c r="BZ12014">
        <v>1406</v>
      </c>
    </row>
    <row r="12015" spans="1:78" x14ac:dyDescent="0.35">
      <c r="A12015" t="s">
        <v>228</v>
      </c>
      <c r="B12015" t="s">
        <v>228</v>
      </c>
      <c r="C12015">
        <v>7868.72</v>
      </c>
      <c r="D12015">
        <v>6000</v>
      </c>
      <c r="E12015">
        <v>200</v>
      </c>
      <c r="F12015">
        <v>30000</v>
      </c>
      <c r="G12015" s="6">
        <v>2369</v>
      </c>
      <c r="H12015">
        <v>4052.31</v>
      </c>
      <c r="I12015">
        <v>3000</v>
      </c>
      <c r="J12015">
        <v>100</v>
      </c>
      <c r="K12015">
        <v>60000</v>
      </c>
      <c r="L12015" s="6">
        <v>1077</v>
      </c>
      <c r="M12015">
        <v>5938.14</v>
      </c>
      <c r="N12015">
        <v>5000</v>
      </c>
      <c r="O12015">
        <v>183</v>
      </c>
      <c r="P12015">
        <v>16000</v>
      </c>
      <c r="Q12015" s="6">
        <v>345</v>
      </c>
      <c r="R12015">
        <v>468.12</v>
      </c>
      <c r="S12015">
        <v>300</v>
      </c>
      <c r="T12015">
        <v>50</v>
      </c>
      <c r="U12015">
        <v>3000</v>
      </c>
      <c r="V12015" s="6">
        <v>1180</v>
      </c>
      <c r="W12015">
        <v>542.04</v>
      </c>
      <c r="X12015">
        <v>401</v>
      </c>
      <c r="Y12015">
        <v>30</v>
      </c>
      <c r="Z12015">
        <v>3000</v>
      </c>
      <c r="AA12015" s="6">
        <v>1265</v>
      </c>
      <c r="AB12015">
        <v>868.78</v>
      </c>
      <c r="AC12015">
        <v>500</v>
      </c>
      <c r="AD12015">
        <v>100</v>
      </c>
      <c r="AE12015">
        <v>5000</v>
      </c>
      <c r="AF12015" s="6">
        <v>1926</v>
      </c>
      <c r="AG12015">
        <v>667.4</v>
      </c>
      <c r="AH12015">
        <v>500</v>
      </c>
      <c r="AI12015">
        <v>100</v>
      </c>
      <c r="AJ12015">
        <v>5000</v>
      </c>
      <c r="AK12015" s="6">
        <v>856</v>
      </c>
      <c r="AL12015">
        <v>2130.96</v>
      </c>
      <c r="AM12015">
        <v>2000</v>
      </c>
      <c r="AN12015">
        <v>300</v>
      </c>
      <c r="AO12015">
        <v>9100</v>
      </c>
      <c r="AP12015" s="6">
        <v>2431</v>
      </c>
      <c r="AQ12015">
        <v>2285.5300000000002</v>
      </c>
      <c r="AR12015">
        <v>1000</v>
      </c>
      <c r="AS12015">
        <v>50</v>
      </c>
      <c r="AT12015">
        <v>30000</v>
      </c>
      <c r="AU12015" s="6">
        <v>1520</v>
      </c>
      <c r="AV12015">
        <v>776.74</v>
      </c>
      <c r="AW12015">
        <v>500</v>
      </c>
      <c r="AX12015">
        <v>100</v>
      </c>
      <c r="AY12015">
        <v>3000</v>
      </c>
      <c r="AZ12015" s="6">
        <v>266</v>
      </c>
      <c r="BA12015">
        <v>615.85</v>
      </c>
      <c r="BB12015">
        <v>500</v>
      </c>
      <c r="BC12015">
        <v>50</v>
      </c>
      <c r="BD12015">
        <v>2800</v>
      </c>
      <c r="BE12015" s="6">
        <v>2479</v>
      </c>
      <c r="BF12015">
        <v>3040.04</v>
      </c>
      <c r="BG12015">
        <v>2000</v>
      </c>
      <c r="BH12015">
        <v>200</v>
      </c>
      <c r="BI12015">
        <v>10000</v>
      </c>
      <c r="BJ12015" s="6">
        <v>132</v>
      </c>
      <c r="BK12015">
        <v>4895.0200000000004</v>
      </c>
      <c r="BL12015">
        <v>2000</v>
      </c>
      <c r="BM12015">
        <v>100</v>
      </c>
      <c r="BN12015">
        <v>30000</v>
      </c>
      <c r="BO12015" s="6">
        <v>461</v>
      </c>
      <c r="BP12015">
        <v>1288.5999999999999</v>
      </c>
      <c r="BQ12015">
        <v>600</v>
      </c>
      <c r="BR12015">
        <v>50</v>
      </c>
      <c r="BS12015">
        <v>30000</v>
      </c>
      <c r="BT12015" s="6">
        <v>1296</v>
      </c>
      <c r="BU12015">
        <v>3251.2</v>
      </c>
      <c r="BV12015">
        <v>2500</v>
      </c>
      <c r="BW12015">
        <v>100</v>
      </c>
      <c r="BX12015">
        <v>10000</v>
      </c>
      <c r="BY12015" s="6">
        <v>124</v>
      </c>
      <c r="BZ12015">
        <v>2479</v>
      </c>
    </row>
    <row r="12017" spans="1:33" x14ac:dyDescent="0.35">
      <c r="A12017" s="1" t="s">
        <v>2746</v>
      </c>
    </row>
    <row r="12018" spans="1:33" x14ac:dyDescent="0.35">
      <c r="A12018" t="s">
        <v>219</v>
      </c>
      <c r="B12018" t="s">
        <v>301</v>
      </c>
      <c r="C12018" t="s">
        <v>524</v>
      </c>
      <c r="D12018" t="s">
        <v>525</v>
      </c>
      <c r="E12018" t="s">
        <v>526</v>
      </c>
      <c r="F12018" t="s">
        <v>527</v>
      </c>
      <c r="G12018" t="s">
        <v>226</v>
      </c>
    </row>
    <row r="12019" spans="1:33" x14ac:dyDescent="0.35">
      <c r="A12019" t="s">
        <v>227</v>
      </c>
      <c r="B12019" t="s">
        <v>2726</v>
      </c>
      <c r="C12019">
        <v>2247.75</v>
      </c>
      <c r="D12019">
        <v>2000</v>
      </c>
      <c r="E12019">
        <v>0</v>
      </c>
      <c r="F12019">
        <v>33900</v>
      </c>
      <c r="G12019">
        <v>797</v>
      </c>
    </row>
    <row r="12020" spans="1:33" x14ac:dyDescent="0.35">
      <c r="A12020" t="s">
        <v>227</v>
      </c>
      <c r="B12020" t="s">
        <v>2727</v>
      </c>
      <c r="C12020">
        <v>2412.66</v>
      </c>
      <c r="D12020">
        <v>2000</v>
      </c>
      <c r="E12020">
        <v>0</v>
      </c>
      <c r="F12020">
        <v>20000</v>
      </c>
      <c r="G12020">
        <v>229</v>
      </c>
    </row>
    <row r="12021" spans="1:33" x14ac:dyDescent="0.35">
      <c r="A12021" t="s">
        <v>227</v>
      </c>
      <c r="B12021" t="s">
        <v>2728</v>
      </c>
      <c r="C12021">
        <v>2895.47</v>
      </c>
      <c r="D12021">
        <v>2500</v>
      </c>
      <c r="E12021">
        <v>0</v>
      </c>
      <c r="F12021">
        <v>31000</v>
      </c>
      <c r="G12021">
        <v>1329</v>
      </c>
    </row>
    <row r="12022" spans="1:33" x14ac:dyDescent="0.35">
      <c r="A12022" t="s">
        <v>228</v>
      </c>
      <c r="B12022" t="s">
        <v>228</v>
      </c>
      <c r="C12022">
        <v>2648.46</v>
      </c>
      <c r="D12022">
        <v>2000</v>
      </c>
      <c r="E12022">
        <v>0</v>
      </c>
      <c r="F12022">
        <v>33900</v>
      </c>
      <c r="G12022">
        <v>2356</v>
      </c>
    </row>
    <row r="12024" spans="1:33" x14ac:dyDescent="0.35">
      <c r="A12024" s="1" t="s">
        <v>2747</v>
      </c>
    </row>
    <row r="12025" spans="1:33" x14ac:dyDescent="0.35">
      <c r="A12025" t="s">
        <v>219</v>
      </c>
      <c r="B12025" t="s">
        <v>301</v>
      </c>
      <c r="C12025" t="s">
        <v>981</v>
      </c>
      <c r="D12025" t="s">
        <v>982</v>
      </c>
      <c r="E12025" t="s">
        <v>983</v>
      </c>
      <c r="F12025" t="s">
        <v>984</v>
      </c>
      <c r="G12025" t="s">
        <v>985</v>
      </c>
      <c r="H12025" t="s">
        <v>986</v>
      </c>
      <c r="I12025" t="s">
        <v>987</v>
      </c>
      <c r="J12025" t="s">
        <v>277</v>
      </c>
      <c r="K12025" t="s">
        <v>282</v>
      </c>
      <c r="L12025" t="s">
        <v>226</v>
      </c>
    </row>
    <row r="12026" spans="1:33" x14ac:dyDescent="0.35">
      <c r="A12026" t="s">
        <v>227</v>
      </c>
      <c r="B12026" t="s">
        <v>2726</v>
      </c>
      <c r="C12026" s="2">
        <v>0.79700000000000004</v>
      </c>
      <c r="D12026" s="2">
        <v>0.2177</v>
      </c>
      <c r="E12026" s="2">
        <v>0.18640000000000001</v>
      </c>
      <c r="F12026" s="2">
        <v>0.1321</v>
      </c>
      <c r="G12026" s="2">
        <v>0.1502</v>
      </c>
      <c r="H12026" s="2">
        <v>0.1206</v>
      </c>
      <c r="I12026" s="2">
        <v>1.9099999999999999E-2</v>
      </c>
      <c r="J12026" s="2">
        <v>6.6E-3</v>
      </c>
      <c r="K12026" s="2">
        <v>2.0000000000000001E-4</v>
      </c>
      <c r="L12026">
        <v>959</v>
      </c>
    </row>
    <row r="12027" spans="1:33" x14ac:dyDescent="0.35">
      <c r="A12027" t="s">
        <v>227</v>
      </c>
      <c r="B12027" t="s">
        <v>2727</v>
      </c>
      <c r="C12027" s="2">
        <v>0.61619999999999997</v>
      </c>
      <c r="D12027" s="2">
        <v>0.28989999999999999</v>
      </c>
      <c r="E12027" s="2">
        <v>0.27579999999999999</v>
      </c>
      <c r="F12027" s="2">
        <v>4.07E-2</v>
      </c>
      <c r="G12027" s="2">
        <v>0.19939999999999999</v>
      </c>
      <c r="H12027" s="2">
        <v>0.2228</v>
      </c>
      <c r="I12027" s="2">
        <v>5.2600000000000001E-2</v>
      </c>
      <c r="J12027" s="2">
        <v>8.2000000000000007E-3</v>
      </c>
      <c r="L12027">
        <v>268</v>
      </c>
    </row>
    <row r="12028" spans="1:33" x14ac:dyDescent="0.35">
      <c r="A12028" t="s">
        <v>227</v>
      </c>
      <c r="B12028" t="s">
        <v>2728</v>
      </c>
      <c r="C12028" s="2">
        <v>0.83589999999999998</v>
      </c>
      <c r="D12028" s="2">
        <v>0.34489999999999998</v>
      </c>
      <c r="E12028" s="2">
        <v>0.29070000000000001</v>
      </c>
      <c r="F12028" s="2">
        <v>0.30669999999999997</v>
      </c>
      <c r="G12028" s="2">
        <v>0.22309999999999999</v>
      </c>
      <c r="H12028" s="2">
        <v>8.3199999999999996E-2</v>
      </c>
      <c r="I12028" s="2">
        <v>1.8100000000000002E-2</v>
      </c>
      <c r="J12028" s="2">
        <v>1.1999999999999999E-3</v>
      </c>
      <c r="K12028" s="2">
        <v>2.0000000000000001E-4</v>
      </c>
      <c r="L12028">
        <v>1570</v>
      </c>
    </row>
    <row r="12029" spans="1:33" x14ac:dyDescent="0.35">
      <c r="A12029" t="s">
        <v>228</v>
      </c>
      <c r="B12029" t="s">
        <v>228</v>
      </c>
      <c r="C12029" s="2">
        <v>0.80330000000000001</v>
      </c>
      <c r="D12029" s="2">
        <v>0.2999</v>
      </c>
      <c r="E12029" s="2">
        <v>0.25729999999999997</v>
      </c>
      <c r="F12029" s="2">
        <v>0.22720000000000001</v>
      </c>
      <c r="G12029" s="2">
        <v>0.19800000000000001</v>
      </c>
      <c r="H12029" s="2">
        <v>0.10780000000000001</v>
      </c>
      <c r="I12029" s="2">
        <v>2.1600000000000001E-2</v>
      </c>
      <c r="J12029" s="2">
        <v>3.5000000000000001E-3</v>
      </c>
      <c r="K12029" s="2">
        <v>2.0000000000000001E-4</v>
      </c>
      <c r="L12029">
        <v>2797</v>
      </c>
    </row>
    <row r="12031" spans="1:33" x14ac:dyDescent="0.35">
      <c r="A12031" s="1" t="s">
        <v>2748</v>
      </c>
    </row>
    <row r="12032" spans="1:33" x14ac:dyDescent="0.35">
      <c r="A12032" t="s">
        <v>219</v>
      </c>
      <c r="B12032" t="s">
        <v>301</v>
      </c>
      <c r="C12032" t="s">
        <v>988</v>
      </c>
      <c r="D12032" t="s">
        <v>989</v>
      </c>
      <c r="E12032" t="s">
        <v>990</v>
      </c>
      <c r="F12032" t="s">
        <v>991</v>
      </c>
      <c r="G12032" t="s">
        <v>992</v>
      </c>
      <c r="H12032" t="s">
        <v>993</v>
      </c>
      <c r="I12032" t="s">
        <v>994</v>
      </c>
      <c r="J12032" t="s">
        <v>995</v>
      </c>
      <c r="K12032" t="s">
        <v>996</v>
      </c>
      <c r="L12032" t="s">
        <v>997</v>
      </c>
      <c r="M12032" t="s">
        <v>998</v>
      </c>
      <c r="N12032" t="s">
        <v>999</v>
      </c>
      <c r="O12032" t="s">
        <v>1000</v>
      </c>
      <c r="P12032" t="s">
        <v>1001</v>
      </c>
      <c r="Q12032" t="s">
        <v>1002</v>
      </c>
      <c r="R12032" t="s">
        <v>1003</v>
      </c>
      <c r="S12032" t="s">
        <v>1004</v>
      </c>
      <c r="T12032" t="s">
        <v>1005</v>
      </c>
      <c r="U12032" t="s">
        <v>1006</v>
      </c>
      <c r="V12032" t="s">
        <v>1007</v>
      </c>
      <c r="W12032" t="s">
        <v>1008</v>
      </c>
      <c r="X12032" t="s">
        <v>1009</v>
      </c>
      <c r="Y12032" t="s">
        <v>1010</v>
      </c>
      <c r="Z12032" t="s">
        <v>1011</v>
      </c>
      <c r="AA12032" t="s">
        <v>1012</v>
      </c>
      <c r="AB12032" t="s">
        <v>1013</v>
      </c>
      <c r="AC12032" t="s">
        <v>1014</v>
      </c>
      <c r="AD12032" t="s">
        <v>1015</v>
      </c>
      <c r="AE12032" t="s">
        <v>1016</v>
      </c>
      <c r="AF12032" t="s">
        <v>1017</v>
      </c>
      <c r="AG12032" t="s">
        <v>957</v>
      </c>
    </row>
    <row r="12033" spans="1:33" x14ac:dyDescent="0.35">
      <c r="A12033" t="s">
        <v>227</v>
      </c>
      <c r="B12033" t="s">
        <v>2726</v>
      </c>
      <c r="C12033">
        <v>6431.69</v>
      </c>
      <c r="D12033">
        <v>3000</v>
      </c>
      <c r="E12033">
        <v>150</v>
      </c>
      <c r="F12033">
        <v>200000</v>
      </c>
      <c r="G12033" s="6">
        <v>187</v>
      </c>
      <c r="H12033">
        <v>4267.12</v>
      </c>
      <c r="I12033">
        <v>2000</v>
      </c>
      <c r="J12033">
        <v>200</v>
      </c>
      <c r="K12033">
        <v>30000</v>
      </c>
      <c r="L12033" s="6">
        <v>130</v>
      </c>
      <c r="M12033">
        <v>7234.35</v>
      </c>
      <c r="N12033">
        <v>4100</v>
      </c>
      <c r="O12033">
        <v>100</v>
      </c>
      <c r="P12033">
        <v>70000</v>
      </c>
      <c r="Q12033" s="6">
        <v>626</v>
      </c>
      <c r="R12033">
        <v>8772.4599999999991</v>
      </c>
      <c r="S12033">
        <v>5000</v>
      </c>
      <c r="T12033">
        <v>200</v>
      </c>
      <c r="U12033">
        <v>45000</v>
      </c>
      <c r="V12033" s="6">
        <v>102</v>
      </c>
      <c r="W12033">
        <v>19609.36</v>
      </c>
      <c r="X12033">
        <v>7000</v>
      </c>
      <c r="Y12033">
        <v>250</v>
      </c>
      <c r="Z12033">
        <v>400000</v>
      </c>
      <c r="AA12033" s="6">
        <v>116</v>
      </c>
      <c r="AB12033">
        <v>6007.22</v>
      </c>
      <c r="AC12033">
        <v>2000</v>
      </c>
      <c r="AD12033">
        <v>300</v>
      </c>
      <c r="AE12033">
        <v>31000</v>
      </c>
      <c r="AF12033" s="6">
        <v>42</v>
      </c>
      <c r="AG12033">
        <v>626</v>
      </c>
    </row>
    <row r="12034" spans="1:33" x14ac:dyDescent="0.35">
      <c r="A12034" t="s">
        <v>227</v>
      </c>
      <c r="B12034" t="s">
        <v>2727</v>
      </c>
      <c r="C12034">
        <v>8470.8799999999992</v>
      </c>
      <c r="D12034">
        <v>3000</v>
      </c>
      <c r="E12034">
        <v>200</v>
      </c>
      <c r="F12034">
        <v>60000</v>
      </c>
      <c r="G12034" s="6">
        <v>62</v>
      </c>
      <c r="H12034">
        <v>2817.29</v>
      </c>
      <c r="I12034">
        <v>2000</v>
      </c>
      <c r="J12034">
        <v>200</v>
      </c>
      <c r="K12034">
        <v>12000</v>
      </c>
      <c r="L12034" s="6">
        <v>42</v>
      </c>
      <c r="M12034">
        <v>5310.49</v>
      </c>
      <c r="N12034">
        <v>3000</v>
      </c>
      <c r="O12034">
        <v>100</v>
      </c>
      <c r="P12034">
        <v>100000</v>
      </c>
      <c r="Q12034" s="6">
        <v>149</v>
      </c>
      <c r="R12034">
        <v>6240.97</v>
      </c>
      <c r="S12034">
        <v>3000</v>
      </c>
      <c r="T12034">
        <v>300</v>
      </c>
      <c r="U12034">
        <v>20000</v>
      </c>
      <c r="V12034" s="6">
        <v>10</v>
      </c>
      <c r="W12034">
        <v>8340.75</v>
      </c>
      <c r="X12034">
        <v>6000</v>
      </c>
      <c r="Y12034">
        <v>200</v>
      </c>
      <c r="Z12034">
        <v>30000</v>
      </c>
      <c r="AA12034" s="6">
        <v>29</v>
      </c>
      <c r="AB12034">
        <v>8928.49</v>
      </c>
      <c r="AC12034">
        <v>10000</v>
      </c>
      <c r="AD12034">
        <v>800</v>
      </c>
      <c r="AE12034">
        <v>30000</v>
      </c>
      <c r="AF12034" s="6">
        <v>14</v>
      </c>
      <c r="AG12034">
        <v>149</v>
      </c>
    </row>
    <row r="12035" spans="1:33" x14ac:dyDescent="0.35">
      <c r="A12035" t="s">
        <v>227</v>
      </c>
      <c r="B12035" t="s">
        <v>2728</v>
      </c>
      <c r="C12035">
        <v>18770.810000000001</v>
      </c>
      <c r="D12035">
        <v>6000</v>
      </c>
      <c r="E12035">
        <v>100</v>
      </c>
      <c r="F12035">
        <v>200000</v>
      </c>
      <c r="G12035" s="6">
        <v>415</v>
      </c>
      <c r="H12035">
        <v>6538.05</v>
      </c>
      <c r="I12035">
        <v>5000</v>
      </c>
      <c r="J12035">
        <v>200</v>
      </c>
      <c r="K12035">
        <v>30000</v>
      </c>
      <c r="L12035" s="6">
        <v>319</v>
      </c>
      <c r="M12035">
        <v>10920.38</v>
      </c>
      <c r="N12035">
        <v>6000</v>
      </c>
      <c r="O12035">
        <v>200</v>
      </c>
      <c r="P12035">
        <v>100000</v>
      </c>
      <c r="Q12035" s="6">
        <v>1097</v>
      </c>
      <c r="R12035">
        <v>8656</v>
      </c>
      <c r="S12035">
        <v>5000</v>
      </c>
      <c r="T12035">
        <v>150</v>
      </c>
      <c r="U12035">
        <v>42000</v>
      </c>
      <c r="V12035" s="6">
        <v>340</v>
      </c>
      <c r="W12035">
        <v>18520.29</v>
      </c>
      <c r="X12035">
        <v>10000</v>
      </c>
      <c r="Y12035">
        <v>200</v>
      </c>
      <c r="Z12035">
        <v>250000</v>
      </c>
      <c r="AA12035" s="6">
        <v>272</v>
      </c>
      <c r="AB12035">
        <v>6521.43</v>
      </c>
      <c r="AC12035">
        <v>4600</v>
      </c>
      <c r="AD12035">
        <v>100</v>
      </c>
      <c r="AE12035">
        <v>30000</v>
      </c>
      <c r="AF12035" s="6">
        <v>84</v>
      </c>
      <c r="AG12035">
        <v>1097</v>
      </c>
    </row>
    <row r="12036" spans="1:33" x14ac:dyDescent="0.35">
      <c r="A12036" t="s">
        <v>228</v>
      </c>
      <c r="B12036" t="s">
        <v>228</v>
      </c>
      <c r="C12036">
        <v>14899.73</v>
      </c>
      <c r="D12036">
        <v>5000</v>
      </c>
      <c r="E12036">
        <v>100</v>
      </c>
      <c r="F12036">
        <v>200000</v>
      </c>
      <c r="G12036" s="6">
        <v>664</v>
      </c>
      <c r="H12036">
        <v>5630.43</v>
      </c>
      <c r="I12036">
        <v>3000</v>
      </c>
      <c r="J12036">
        <v>200</v>
      </c>
      <c r="K12036">
        <v>30000</v>
      </c>
      <c r="L12036" s="6">
        <v>492</v>
      </c>
      <c r="M12036">
        <v>9336.61</v>
      </c>
      <c r="N12036">
        <v>5000</v>
      </c>
      <c r="O12036">
        <v>100</v>
      </c>
      <c r="P12036">
        <v>100000</v>
      </c>
      <c r="Q12036" s="6">
        <v>1873</v>
      </c>
      <c r="R12036">
        <v>8628.5300000000007</v>
      </c>
      <c r="S12036">
        <v>5000</v>
      </c>
      <c r="T12036">
        <v>150</v>
      </c>
      <c r="U12036">
        <v>45000</v>
      </c>
      <c r="V12036" s="6">
        <v>452</v>
      </c>
      <c r="W12036">
        <v>18064.68</v>
      </c>
      <c r="X12036">
        <v>9000</v>
      </c>
      <c r="Y12036">
        <v>200</v>
      </c>
      <c r="Z12036">
        <v>400000</v>
      </c>
      <c r="AA12036" s="6">
        <v>417</v>
      </c>
      <c r="AB12036">
        <v>6639.38</v>
      </c>
      <c r="AC12036">
        <v>4000</v>
      </c>
      <c r="AD12036">
        <v>100</v>
      </c>
      <c r="AE12036">
        <v>31000</v>
      </c>
      <c r="AF12036" s="6">
        <v>140</v>
      </c>
      <c r="AG12036">
        <v>1873</v>
      </c>
    </row>
    <row r="12038" spans="1:33" x14ac:dyDescent="0.35">
      <c r="A12038" s="1" t="s">
        <v>2749</v>
      </c>
    </row>
    <row r="12039" spans="1:33" x14ac:dyDescent="0.35">
      <c r="A12039" t="s">
        <v>219</v>
      </c>
      <c r="B12039" t="s">
        <v>301</v>
      </c>
      <c r="C12039" t="s">
        <v>524</v>
      </c>
      <c r="D12039" t="s">
        <v>525</v>
      </c>
      <c r="E12039" t="s">
        <v>526</v>
      </c>
      <c r="F12039" t="s">
        <v>527</v>
      </c>
      <c r="G12039" t="s">
        <v>226</v>
      </c>
    </row>
    <row r="12040" spans="1:33" x14ac:dyDescent="0.35">
      <c r="A12040" t="s">
        <v>227</v>
      </c>
      <c r="B12040" t="s">
        <v>2726</v>
      </c>
      <c r="C12040">
        <v>10362.57</v>
      </c>
      <c r="D12040">
        <v>6833.3</v>
      </c>
      <c r="E12040">
        <v>0</v>
      </c>
      <c r="F12040">
        <v>114386.7</v>
      </c>
      <c r="G12040">
        <v>927</v>
      </c>
    </row>
    <row r="12041" spans="1:33" x14ac:dyDescent="0.35">
      <c r="A12041" t="s">
        <v>227</v>
      </c>
      <c r="B12041" t="s">
        <v>2727</v>
      </c>
      <c r="C12041">
        <v>13758.51</v>
      </c>
      <c r="D12041">
        <v>8983.2999999999993</v>
      </c>
      <c r="E12041">
        <v>150</v>
      </c>
      <c r="F12041">
        <v>82350</v>
      </c>
      <c r="G12041">
        <v>261</v>
      </c>
    </row>
    <row r="12042" spans="1:33" x14ac:dyDescent="0.35">
      <c r="A12042" t="s">
        <v>227</v>
      </c>
      <c r="B12042" t="s">
        <v>2728</v>
      </c>
      <c r="C12042">
        <v>10244.89</v>
      </c>
      <c r="D12042">
        <v>7333.3</v>
      </c>
      <c r="E12042">
        <v>0</v>
      </c>
      <c r="F12042">
        <v>122633.3</v>
      </c>
      <c r="G12042">
        <v>1534</v>
      </c>
    </row>
    <row r="12043" spans="1:33" x14ac:dyDescent="0.35">
      <c r="A12043" t="s">
        <v>228</v>
      </c>
      <c r="B12043" t="s">
        <v>228</v>
      </c>
      <c r="C12043">
        <v>10625.29</v>
      </c>
      <c r="D12043">
        <v>7296.7</v>
      </c>
      <c r="E12043">
        <v>0</v>
      </c>
      <c r="F12043">
        <v>122633.3</v>
      </c>
      <c r="G12043">
        <v>2723</v>
      </c>
    </row>
    <row r="12045" spans="1:33" x14ac:dyDescent="0.35">
      <c r="A12045" s="1" t="s">
        <v>2750</v>
      </c>
    </row>
    <row r="12046" spans="1:33" x14ac:dyDescent="0.35">
      <c r="A12046" t="s">
        <v>219</v>
      </c>
      <c r="B12046" t="s">
        <v>301</v>
      </c>
      <c r="C12046" t="s">
        <v>540</v>
      </c>
      <c r="D12046" t="s">
        <v>1051</v>
      </c>
      <c r="E12046" t="s">
        <v>1052</v>
      </c>
      <c r="F12046" t="s">
        <v>1053</v>
      </c>
      <c r="G12046" t="s">
        <v>1054</v>
      </c>
      <c r="H12046" t="s">
        <v>1055</v>
      </c>
      <c r="I12046" t="s">
        <v>1056</v>
      </c>
      <c r="J12046" t="s">
        <v>1057</v>
      </c>
      <c r="K12046" t="s">
        <v>1058</v>
      </c>
      <c r="L12046" t="s">
        <v>1059</v>
      </c>
      <c r="M12046" t="s">
        <v>277</v>
      </c>
      <c r="N12046" t="s">
        <v>1060</v>
      </c>
      <c r="O12046" t="s">
        <v>318</v>
      </c>
      <c r="P12046" t="s">
        <v>282</v>
      </c>
      <c r="Q12046" t="s">
        <v>226</v>
      </c>
    </row>
    <row r="12047" spans="1:33" x14ac:dyDescent="0.35">
      <c r="A12047" t="s">
        <v>227</v>
      </c>
      <c r="B12047" t="s">
        <v>2726</v>
      </c>
      <c r="C12047" s="2">
        <v>0.64510000000000001</v>
      </c>
      <c r="D12047" s="2">
        <v>0.16</v>
      </c>
      <c r="E12047" s="2">
        <v>0.1095</v>
      </c>
      <c r="F12047" s="2">
        <v>0.1363</v>
      </c>
      <c r="G12047" s="2">
        <v>5.5199999999999999E-2</v>
      </c>
      <c r="H12047" s="2">
        <v>9.5299999999999996E-2</v>
      </c>
      <c r="I12047" s="2">
        <v>7.7600000000000002E-2</v>
      </c>
      <c r="J12047" s="2">
        <v>5.5500000000000001E-2</v>
      </c>
      <c r="K12047" s="2">
        <v>5.5899999999999998E-2</v>
      </c>
      <c r="L12047" s="2">
        <v>3.4500000000000003E-2</v>
      </c>
      <c r="M12047" s="2">
        <v>6.4999999999999997E-3</v>
      </c>
      <c r="N12047" s="2">
        <v>3.0000000000000001E-3</v>
      </c>
      <c r="O12047" s="2">
        <v>6.3E-3</v>
      </c>
      <c r="Q12047">
        <v>959</v>
      </c>
    </row>
    <row r="12048" spans="1:33" x14ac:dyDescent="0.35">
      <c r="A12048" t="s">
        <v>227</v>
      </c>
      <c r="B12048" t="s">
        <v>2727</v>
      </c>
      <c r="C12048" s="2">
        <v>0.78739999999999999</v>
      </c>
      <c r="D12048" s="2">
        <v>8.09E-2</v>
      </c>
      <c r="E12048" s="2">
        <v>5.8299999999999998E-2</v>
      </c>
      <c r="F12048" s="2">
        <v>3.9800000000000002E-2</v>
      </c>
      <c r="G12048" s="2">
        <v>3.9600000000000003E-2</v>
      </c>
      <c r="H12048" s="2">
        <v>2.7099999999999999E-2</v>
      </c>
      <c r="J12048" s="2">
        <v>3.6900000000000002E-2</v>
      </c>
      <c r="K12048" s="2">
        <v>3.7100000000000001E-2</v>
      </c>
      <c r="L12048" s="2">
        <v>1.35E-2</v>
      </c>
      <c r="M12048" s="2">
        <v>2.0199999999999999E-2</v>
      </c>
      <c r="P12048" s="2">
        <v>1.1000000000000001E-3</v>
      </c>
      <c r="Q12048">
        <v>266</v>
      </c>
    </row>
    <row r="12049" spans="1:73" x14ac:dyDescent="0.35">
      <c r="A12049" t="s">
        <v>227</v>
      </c>
      <c r="B12049" t="s">
        <v>2728</v>
      </c>
      <c r="C12049" s="2">
        <v>0.71560000000000001</v>
      </c>
      <c r="D12049" s="2">
        <v>0.1188</v>
      </c>
      <c r="E12049" s="2">
        <v>0.107</v>
      </c>
      <c r="F12049" s="2">
        <v>9.4899999999999998E-2</v>
      </c>
      <c r="G12049" s="2">
        <v>8.2799999999999999E-2</v>
      </c>
      <c r="H12049" s="2">
        <v>0.05</v>
      </c>
      <c r="I12049" s="2">
        <v>5.0500000000000003E-2</v>
      </c>
      <c r="J12049" s="2">
        <v>5.6099999999999997E-2</v>
      </c>
      <c r="K12049" s="2">
        <v>4.8300000000000003E-2</v>
      </c>
      <c r="L12049" s="2">
        <v>4.7399999999999998E-2</v>
      </c>
      <c r="M12049" s="2">
        <v>1.4E-2</v>
      </c>
      <c r="N12049" s="2">
        <v>9.2999999999999992E-3</v>
      </c>
      <c r="P12049" s="2">
        <v>2.8E-3</v>
      </c>
      <c r="Q12049">
        <v>1569</v>
      </c>
    </row>
    <row r="12050" spans="1:73" x14ac:dyDescent="0.35">
      <c r="A12050" t="s">
        <v>228</v>
      </c>
      <c r="B12050" t="s">
        <v>228</v>
      </c>
      <c r="C12050" s="2">
        <v>0.7006</v>
      </c>
      <c r="D12050" s="2">
        <v>0.128</v>
      </c>
      <c r="E12050" s="2">
        <v>0.1031</v>
      </c>
      <c r="F12050" s="2">
        <v>0.10249999999999999</v>
      </c>
      <c r="G12050" s="2">
        <v>7.0099999999999996E-2</v>
      </c>
      <c r="H12050" s="2">
        <v>6.1899999999999997E-2</v>
      </c>
      <c r="I12050" s="2">
        <v>5.4199999999999998E-2</v>
      </c>
      <c r="J12050" s="2">
        <v>5.4100000000000002E-2</v>
      </c>
      <c r="K12050" s="2">
        <v>4.9599999999999998E-2</v>
      </c>
      <c r="L12050" s="2">
        <v>4.0099999999999997E-2</v>
      </c>
      <c r="M12050" s="2">
        <v>1.23E-2</v>
      </c>
      <c r="N12050" s="2">
        <v>6.4000000000000003E-3</v>
      </c>
      <c r="O12050" s="2">
        <v>2E-3</v>
      </c>
      <c r="P12050" s="2">
        <v>1.8E-3</v>
      </c>
      <c r="Q12050">
        <v>2794</v>
      </c>
    </row>
    <row r="12052" spans="1:73" x14ac:dyDescent="0.35">
      <c r="A12052" s="1" t="s">
        <v>2751</v>
      </c>
    </row>
    <row r="12053" spans="1:73" x14ac:dyDescent="0.35">
      <c r="A12053" t="s">
        <v>219</v>
      </c>
      <c r="B12053" t="s">
        <v>301</v>
      </c>
      <c r="C12053" t="s">
        <v>1073</v>
      </c>
      <c r="D12053" t="s">
        <v>1074</v>
      </c>
      <c r="E12053" t="s">
        <v>1075</v>
      </c>
      <c r="F12053" t="s">
        <v>1076</v>
      </c>
      <c r="G12053" t="s">
        <v>1077</v>
      </c>
      <c r="H12053" t="s">
        <v>1078</v>
      </c>
      <c r="I12053" t="s">
        <v>1079</v>
      </c>
      <c r="J12053" t="s">
        <v>1080</v>
      </c>
      <c r="K12053" t="s">
        <v>1081</v>
      </c>
      <c r="L12053" t="s">
        <v>1082</v>
      </c>
      <c r="M12053" t="s">
        <v>318</v>
      </c>
      <c r="N12053" t="s">
        <v>1083</v>
      </c>
      <c r="O12053" t="s">
        <v>1084</v>
      </c>
      <c r="P12053" t="s">
        <v>1085</v>
      </c>
      <c r="Q12053" t="s">
        <v>1086</v>
      </c>
      <c r="R12053" t="s">
        <v>282</v>
      </c>
      <c r="S12053" t="s">
        <v>277</v>
      </c>
      <c r="T12053" t="s">
        <v>226</v>
      </c>
    </row>
    <row r="12054" spans="1:73" x14ac:dyDescent="0.35">
      <c r="A12054" t="s">
        <v>227</v>
      </c>
      <c r="B12054" t="s">
        <v>2726</v>
      </c>
      <c r="C12054" s="2">
        <v>0.46460000000000001</v>
      </c>
      <c r="D12054" s="2">
        <v>0.52210000000000001</v>
      </c>
      <c r="E12054" s="2">
        <v>0.10539999999999999</v>
      </c>
      <c r="F12054" s="2">
        <v>6.8099999999999994E-2</v>
      </c>
      <c r="G12054" s="2">
        <v>0.1386</v>
      </c>
      <c r="H12054" s="2">
        <v>0.1313</v>
      </c>
      <c r="I12054" s="2">
        <v>2.8899999999999999E-2</v>
      </c>
      <c r="J12054" s="2">
        <v>4.5400000000000003E-2</v>
      </c>
      <c r="K12054" s="2">
        <v>1.5800000000000002E-2</v>
      </c>
      <c r="L12054" s="2">
        <v>8.6E-3</v>
      </c>
      <c r="M12054" s="2">
        <v>2.47E-2</v>
      </c>
      <c r="N12054" s="2">
        <v>1.3299999999999999E-2</v>
      </c>
      <c r="O12054" s="2">
        <v>9.2999999999999992E-3</v>
      </c>
      <c r="P12054" s="2">
        <v>6.0000000000000001E-3</v>
      </c>
      <c r="Q12054" s="2">
        <v>3.5000000000000001E-3</v>
      </c>
      <c r="R12054" s="2">
        <v>5.0000000000000001E-4</v>
      </c>
      <c r="T12054">
        <v>958</v>
      </c>
    </row>
    <row r="12055" spans="1:73" x14ac:dyDescent="0.35">
      <c r="A12055" t="s">
        <v>227</v>
      </c>
      <c r="B12055" t="s">
        <v>2727</v>
      </c>
      <c r="C12055" s="2">
        <v>0.53449999999999998</v>
      </c>
      <c r="D12055" s="2">
        <v>0.33360000000000001</v>
      </c>
      <c r="E12055" s="2">
        <v>0.1128</v>
      </c>
      <c r="F12055" s="2">
        <v>0.15029999999999999</v>
      </c>
      <c r="G12055" s="2">
        <v>3.7900000000000003E-2</v>
      </c>
      <c r="H12055" s="2">
        <v>3.1600000000000003E-2</v>
      </c>
      <c r="I12055" s="2">
        <v>4.5600000000000002E-2</v>
      </c>
      <c r="J12055" s="2">
        <v>4.5999999999999999E-2</v>
      </c>
      <c r="K12055" s="2">
        <v>1.9099999999999999E-2</v>
      </c>
      <c r="L12055" s="2">
        <v>4.0500000000000001E-2</v>
      </c>
      <c r="M12055" s="2">
        <v>2.9999999999999997E-4</v>
      </c>
      <c r="N12055" s="2">
        <v>4.7999999999999996E-3</v>
      </c>
      <c r="O12055" s="2">
        <v>1.2999999999999999E-3</v>
      </c>
      <c r="P12055" s="2">
        <v>2.1299999999999999E-2</v>
      </c>
      <c r="Q12055" s="2">
        <v>2.9999999999999997E-4</v>
      </c>
      <c r="R12055" s="2">
        <v>8.0999999999999996E-3</v>
      </c>
      <c r="T12055">
        <v>268</v>
      </c>
    </row>
    <row r="12056" spans="1:73" x14ac:dyDescent="0.35">
      <c r="A12056" t="s">
        <v>227</v>
      </c>
      <c r="B12056" t="s">
        <v>2728</v>
      </c>
      <c r="C12056" s="2">
        <v>0.66449999999999998</v>
      </c>
      <c r="D12056" s="2">
        <v>0.47199999999999998</v>
      </c>
      <c r="E12056" s="2">
        <v>0.21060000000000001</v>
      </c>
      <c r="F12056" s="2">
        <v>0.1105</v>
      </c>
      <c r="G12056" s="2">
        <v>9.0800000000000006E-2</v>
      </c>
      <c r="H12056" s="2">
        <v>8.48E-2</v>
      </c>
      <c r="I12056" s="2">
        <v>0.1046</v>
      </c>
      <c r="J12056" s="2">
        <v>4.07E-2</v>
      </c>
      <c r="K12056" s="2">
        <v>4.4499999999999998E-2</v>
      </c>
      <c r="L12056" s="2">
        <v>1.5699999999999999E-2</v>
      </c>
      <c r="M12056" s="2">
        <v>9.7000000000000003E-3</v>
      </c>
      <c r="N12056" s="2">
        <v>1.0500000000000001E-2</v>
      </c>
      <c r="O12056" s="2">
        <v>7.4999999999999997E-3</v>
      </c>
      <c r="P12056" s="2">
        <v>1.6999999999999999E-3</v>
      </c>
      <c r="Q12056" s="2">
        <v>3.0000000000000001E-3</v>
      </c>
      <c r="R12056" s="2">
        <v>6.9999999999999999E-4</v>
      </c>
      <c r="S12056" s="2">
        <v>2.9999999999999997E-4</v>
      </c>
      <c r="T12056">
        <v>1581</v>
      </c>
    </row>
    <row r="12057" spans="1:73" x14ac:dyDescent="0.35">
      <c r="A12057" t="s">
        <v>228</v>
      </c>
      <c r="B12057" t="s">
        <v>228</v>
      </c>
      <c r="C12057" s="2">
        <v>0.59060000000000001</v>
      </c>
      <c r="D12057" s="2">
        <v>0.47499999999999998</v>
      </c>
      <c r="E12057" s="2">
        <v>0.16869999999999999</v>
      </c>
      <c r="F12057" s="2">
        <v>0.10100000000000001</v>
      </c>
      <c r="G12057" s="2">
        <v>0.10059999999999999</v>
      </c>
      <c r="H12057" s="2">
        <v>9.4200000000000006E-2</v>
      </c>
      <c r="I12057" s="2">
        <v>7.5499999999999998E-2</v>
      </c>
      <c r="J12057" s="2">
        <v>4.2599999999999999E-2</v>
      </c>
      <c r="K12057" s="2">
        <v>3.32E-2</v>
      </c>
      <c r="L12057" s="2">
        <v>1.5800000000000002E-2</v>
      </c>
      <c r="M12057" s="2">
        <v>1.35E-2</v>
      </c>
      <c r="N12057" s="2">
        <v>1.0800000000000001E-2</v>
      </c>
      <c r="O12057" s="2">
        <v>7.4999999999999997E-3</v>
      </c>
      <c r="P12057" s="2">
        <v>4.8999999999999998E-3</v>
      </c>
      <c r="Q12057" s="2">
        <v>2.8999999999999998E-3</v>
      </c>
      <c r="R12057" s="2">
        <v>1.2999999999999999E-3</v>
      </c>
      <c r="S12057" s="2">
        <v>2.0000000000000001E-4</v>
      </c>
      <c r="T12057">
        <v>2807</v>
      </c>
    </row>
    <row r="12059" spans="1:73" x14ac:dyDescent="0.35">
      <c r="A12059" s="1" t="s">
        <v>2752</v>
      </c>
    </row>
    <row r="12060" spans="1:73" x14ac:dyDescent="0.35">
      <c r="A12060" t="s">
        <v>219</v>
      </c>
      <c r="B12060" t="s">
        <v>301</v>
      </c>
      <c r="C12060" t="s">
        <v>1098</v>
      </c>
      <c r="D12060" t="s">
        <v>1099</v>
      </c>
      <c r="E12060" t="s">
        <v>1100</v>
      </c>
      <c r="F12060" t="s">
        <v>1101</v>
      </c>
      <c r="G12060" t="s">
        <v>1102</v>
      </c>
      <c r="H12060" t="s">
        <v>1103</v>
      </c>
      <c r="I12060" t="s">
        <v>1104</v>
      </c>
      <c r="J12060" t="s">
        <v>1105</v>
      </c>
      <c r="K12060" t="s">
        <v>1106</v>
      </c>
      <c r="L12060" t="s">
        <v>1107</v>
      </c>
      <c r="M12060" t="s">
        <v>1108</v>
      </c>
      <c r="N12060" t="s">
        <v>1109</v>
      </c>
      <c r="O12060" t="s">
        <v>1110</v>
      </c>
      <c r="P12060" t="s">
        <v>1111</v>
      </c>
      <c r="Q12060" t="s">
        <v>1112</v>
      </c>
      <c r="R12060" t="s">
        <v>1113</v>
      </c>
      <c r="S12060" t="s">
        <v>1114</v>
      </c>
      <c r="T12060" t="s">
        <v>1115</v>
      </c>
      <c r="U12060" t="s">
        <v>1116</v>
      </c>
      <c r="V12060" t="s">
        <v>1117</v>
      </c>
      <c r="W12060" t="s">
        <v>1118</v>
      </c>
      <c r="X12060" t="s">
        <v>1119</v>
      </c>
      <c r="Y12060" t="s">
        <v>1120</v>
      </c>
      <c r="Z12060" t="s">
        <v>1121</v>
      </c>
      <c r="AA12060" t="s">
        <v>1122</v>
      </c>
      <c r="AB12060" t="s">
        <v>1123</v>
      </c>
      <c r="AC12060" t="s">
        <v>1124</v>
      </c>
      <c r="AD12060" t="s">
        <v>1125</v>
      </c>
      <c r="AE12060" t="s">
        <v>1126</v>
      </c>
      <c r="AF12060" t="s">
        <v>1127</v>
      </c>
      <c r="AG12060" t="s">
        <v>1128</v>
      </c>
      <c r="AH12060" t="s">
        <v>1129</v>
      </c>
      <c r="AI12060" t="s">
        <v>1130</v>
      </c>
      <c r="AJ12060" t="s">
        <v>1131</v>
      </c>
      <c r="AK12060" t="s">
        <v>1132</v>
      </c>
      <c r="AL12060" t="s">
        <v>1133</v>
      </c>
      <c r="AM12060" t="s">
        <v>1134</v>
      </c>
      <c r="AN12060" t="s">
        <v>1135</v>
      </c>
      <c r="AO12060" t="s">
        <v>1136</v>
      </c>
      <c r="AP12060" t="s">
        <v>1137</v>
      </c>
      <c r="AQ12060" t="s">
        <v>1138</v>
      </c>
      <c r="AR12060" t="s">
        <v>1139</v>
      </c>
      <c r="AS12060" t="s">
        <v>1140</v>
      </c>
      <c r="AT12060" t="s">
        <v>1141</v>
      </c>
      <c r="AU12060" t="s">
        <v>1142</v>
      </c>
      <c r="AV12060" t="s">
        <v>1143</v>
      </c>
      <c r="AW12060" t="s">
        <v>1144</v>
      </c>
      <c r="AX12060" t="s">
        <v>1145</v>
      </c>
      <c r="AY12060" t="s">
        <v>1146</v>
      </c>
      <c r="AZ12060" t="s">
        <v>1147</v>
      </c>
      <c r="BA12060" t="s">
        <v>1148</v>
      </c>
      <c r="BB12060" t="s">
        <v>1149</v>
      </c>
      <c r="BC12060" t="s">
        <v>1150</v>
      </c>
      <c r="BD12060" t="s">
        <v>1151</v>
      </c>
      <c r="BE12060" t="s">
        <v>1152</v>
      </c>
      <c r="BF12060" t="s">
        <v>1153</v>
      </c>
      <c r="BG12060" t="s">
        <v>1154</v>
      </c>
      <c r="BH12060" t="s">
        <v>1155</v>
      </c>
      <c r="BI12060" t="s">
        <v>1156</v>
      </c>
      <c r="BJ12060" t="s">
        <v>1157</v>
      </c>
      <c r="BK12060" t="s">
        <v>1158</v>
      </c>
      <c r="BL12060" t="s">
        <v>1159</v>
      </c>
      <c r="BM12060" t="s">
        <v>1160</v>
      </c>
      <c r="BN12060" t="s">
        <v>1161</v>
      </c>
      <c r="BO12060" t="s">
        <v>1162</v>
      </c>
      <c r="BP12060" t="s">
        <v>1163</v>
      </c>
      <c r="BQ12060" t="s">
        <v>1164</v>
      </c>
      <c r="BR12060" t="s">
        <v>1165</v>
      </c>
      <c r="BS12060" t="s">
        <v>1166</v>
      </c>
      <c r="BT12060" t="s">
        <v>1167</v>
      </c>
      <c r="BU12060" t="s">
        <v>957</v>
      </c>
    </row>
    <row r="12061" spans="1:73" x14ac:dyDescent="0.35">
      <c r="A12061" t="s">
        <v>227</v>
      </c>
      <c r="B12061" t="s">
        <v>2726</v>
      </c>
      <c r="C12061">
        <v>13539.86</v>
      </c>
      <c r="D12061">
        <v>9000</v>
      </c>
      <c r="E12061">
        <v>1050</v>
      </c>
      <c r="F12061">
        <v>100000</v>
      </c>
      <c r="G12061" s="6">
        <v>355</v>
      </c>
      <c r="H12061">
        <v>4962.1899999999996</v>
      </c>
      <c r="I12061">
        <v>5000</v>
      </c>
      <c r="J12061">
        <v>200</v>
      </c>
      <c r="K12061">
        <v>39000</v>
      </c>
      <c r="L12061" s="6">
        <v>63</v>
      </c>
      <c r="M12061">
        <v>37327.660000000003</v>
      </c>
      <c r="N12061">
        <v>25000</v>
      </c>
      <c r="O12061">
        <v>666.7</v>
      </c>
      <c r="P12061">
        <v>93000</v>
      </c>
      <c r="Q12061" s="6">
        <v>8</v>
      </c>
      <c r="R12061">
        <v>2017.14</v>
      </c>
      <c r="S12061">
        <v>2000</v>
      </c>
      <c r="T12061">
        <v>100</v>
      </c>
      <c r="U12061">
        <v>5000</v>
      </c>
      <c r="V12061" s="6">
        <v>14</v>
      </c>
      <c r="W12061">
        <v>2076.35</v>
      </c>
      <c r="X12061">
        <v>2000</v>
      </c>
      <c r="Y12061">
        <v>666.7</v>
      </c>
      <c r="Z12061">
        <v>5000</v>
      </c>
      <c r="AA12061" s="6">
        <v>94</v>
      </c>
      <c r="AB12061">
        <v>4835.28</v>
      </c>
      <c r="AC12061">
        <v>4450</v>
      </c>
      <c r="AD12061">
        <v>460</v>
      </c>
      <c r="AE12061">
        <v>27000</v>
      </c>
      <c r="AF12061" s="6">
        <v>456</v>
      </c>
      <c r="AG12061">
        <v>2841.44</v>
      </c>
      <c r="AH12061">
        <v>1666.7</v>
      </c>
      <c r="AI12061">
        <v>253.3</v>
      </c>
      <c r="AJ12061">
        <v>18000</v>
      </c>
      <c r="AK12061" s="6">
        <v>94</v>
      </c>
      <c r="AL12061">
        <v>5931.31</v>
      </c>
      <c r="AM12061">
        <v>18000</v>
      </c>
      <c r="AN12061">
        <v>100</v>
      </c>
      <c r="AO12061">
        <v>18000</v>
      </c>
      <c r="AP12061" s="6">
        <v>7</v>
      </c>
      <c r="AQ12061">
        <v>5992.91</v>
      </c>
      <c r="AR12061">
        <v>4500</v>
      </c>
      <c r="AS12061">
        <v>750</v>
      </c>
      <c r="AT12061">
        <v>30000</v>
      </c>
      <c r="AU12061" s="6">
        <v>37</v>
      </c>
      <c r="AV12061">
        <v>1691.74</v>
      </c>
      <c r="AW12061">
        <v>1200</v>
      </c>
      <c r="AX12061">
        <v>383.3</v>
      </c>
      <c r="AY12061">
        <v>3300</v>
      </c>
      <c r="AZ12061" s="6">
        <v>21</v>
      </c>
      <c r="BA12061">
        <v>5577.97</v>
      </c>
      <c r="BB12061">
        <v>5000</v>
      </c>
      <c r="BC12061">
        <v>100</v>
      </c>
      <c r="BD12061">
        <v>26000</v>
      </c>
      <c r="BE12061" s="6">
        <v>93</v>
      </c>
      <c r="BF12061">
        <v>666.67</v>
      </c>
      <c r="BG12061">
        <v>666.7</v>
      </c>
      <c r="BH12061">
        <v>666.7</v>
      </c>
      <c r="BI12061">
        <v>666.7</v>
      </c>
      <c r="BJ12061" s="6">
        <v>1</v>
      </c>
      <c r="BK12061">
        <v>21086.74</v>
      </c>
      <c r="BL12061">
        <v>1200</v>
      </c>
      <c r="BM12061">
        <v>500</v>
      </c>
      <c r="BN12061">
        <v>75000</v>
      </c>
      <c r="BO12061" s="6">
        <v>5</v>
      </c>
      <c r="BP12061">
        <v>5358.69</v>
      </c>
      <c r="BQ12061">
        <v>3000</v>
      </c>
      <c r="BR12061">
        <v>100</v>
      </c>
      <c r="BS12061">
        <v>40000</v>
      </c>
      <c r="BT12061" s="6">
        <v>40</v>
      </c>
      <c r="BU12061">
        <v>456</v>
      </c>
    </row>
    <row r="12062" spans="1:73" x14ac:dyDescent="0.35">
      <c r="A12062" t="s">
        <v>227</v>
      </c>
      <c r="B12062" t="s">
        <v>2727</v>
      </c>
      <c r="C12062">
        <v>18161.849999999999</v>
      </c>
      <c r="D12062">
        <v>18000</v>
      </c>
      <c r="E12062">
        <v>3000</v>
      </c>
      <c r="F12062">
        <v>80000</v>
      </c>
      <c r="G12062" s="6">
        <v>105</v>
      </c>
      <c r="H12062">
        <v>14442.81</v>
      </c>
      <c r="I12062">
        <v>13000</v>
      </c>
      <c r="J12062">
        <v>300</v>
      </c>
      <c r="K12062">
        <v>40000</v>
      </c>
      <c r="L12062" s="6">
        <v>33</v>
      </c>
      <c r="M12062">
        <v>20993.86</v>
      </c>
      <c r="N12062">
        <v>7000</v>
      </c>
      <c r="O12062">
        <v>2000</v>
      </c>
      <c r="P12062">
        <v>70000</v>
      </c>
      <c r="Q12062" s="6">
        <v>13</v>
      </c>
      <c r="R12062">
        <v>9746.1200000000008</v>
      </c>
      <c r="S12062">
        <v>11000</v>
      </c>
      <c r="T12062">
        <v>100</v>
      </c>
      <c r="U12062">
        <v>35000</v>
      </c>
      <c r="V12062" s="6">
        <v>14</v>
      </c>
      <c r="W12062">
        <v>2139.94</v>
      </c>
      <c r="X12062">
        <v>3000</v>
      </c>
      <c r="Y12062">
        <v>1400</v>
      </c>
      <c r="Z12062">
        <v>3000</v>
      </c>
      <c r="AA12062" s="6">
        <v>18</v>
      </c>
      <c r="AB12062">
        <v>4997.68</v>
      </c>
      <c r="AC12062">
        <v>4500</v>
      </c>
      <c r="AD12062">
        <v>1500</v>
      </c>
      <c r="AE12062">
        <v>30000</v>
      </c>
      <c r="AF12062" s="6">
        <v>85</v>
      </c>
      <c r="AG12062">
        <v>3942.36</v>
      </c>
      <c r="AH12062">
        <v>2361</v>
      </c>
      <c r="AI12062">
        <v>300</v>
      </c>
      <c r="AJ12062">
        <v>13900</v>
      </c>
      <c r="AK12062" s="6">
        <v>30</v>
      </c>
      <c r="AL12062">
        <v>7301.21</v>
      </c>
      <c r="AM12062">
        <v>9000</v>
      </c>
      <c r="AN12062">
        <v>1250</v>
      </c>
      <c r="AO12062">
        <v>10000</v>
      </c>
      <c r="AP12062" s="6">
        <v>5</v>
      </c>
      <c r="AQ12062">
        <v>11114.88</v>
      </c>
      <c r="AR12062">
        <v>16666.7</v>
      </c>
      <c r="AS12062">
        <v>1500</v>
      </c>
      <c r="AT12062">
        <v>20000</v>
      </c>
      <c r="AU12062" s="6">
        <v>10</v>
      </c>
      <c r="AV12062">
        <v>1081.76</v>
      </c>
      <c r="AW12062">
        <v>1200</v>
      </c>
      <c r="AX12062">
        <v>500</v>
      </c>
      <c r="AY12062">
        <v>1200</v>
      </c>
      <c r="AZ12062" s="6">
        <v>5</v>
      </c>
      <c r="BA12062">
        <v>4258.99</v>
      </c>
      <c r="BB12062">
        <v>3000</v>
      </c>
      <c r="BC12062">
        <v>100</v>
      </c>
      <c r="BD12062">
        <v>10000</v>
      </c>
      <c r="BE12062" s="6">
        <v>17</v>
      </c>
      <c r="BK12062">
        <v>58845.56</v>
      </c>
      <c r="BL12062">
        <v>75000</v>
      </c>
      <c r="BM12062">
        <v>1000</v>
      </c>
      <c r="BN12062">
        <v>75000</v>
      </c>
      <c r="BO12062" s="6">
        <v>2</v>
      </c>
      <c r="BP12062">
        <v>6178.7</v>
      </c>
      <c r="BQ12062">
        <v>13000</v>
      </c>
      <c r="BR12062">
        <v>270</v>
      </c>
      <c r="BS12062">
        <v>22000</v>
      </c>
      <c r="BT12062" s="6">
        <v>7</v>
      </c>
      <c r="BU12062">
        <v>105</v>
      </c>
    </row>
    <row r="12063" spans="1:73" x14ac:dyDescent="0.35">
      <c r="A12063" t="s">
        <v>227</v>
      </c>
      <c r="B12063" t="s">
        <v>2728</v>
      </c>
      <c r="C12063">
        <v>11821.31</v>
      </c>
      <c r="D12063">
        <v>9000</v>
      </c>
      <c r="E12063">
        <v>333.3</v>
      </c>
      <c r="F12063">
        <v>150000</v>
      </c>
      <c r="G12063" s="6">
        <v>810</v>
      </c>
      <c r="H12063">
        <v>4647.8500000000004</v>
      </c>
      <c r="I12063">
        <v>3125</v>
      </c>
      <c r="J12063">
        <v>16.7</v>
      </c>
      <c r="K12063">
        <v>66666.7</v>
      </c>
      <c r="L12063" s="6">
        <v>145</v>
      </c>
      <c r="M12063">
        <v>14536.17</v>
      </c>
      <c r="N12063">
        <v>10000</v>
      </c>
      <c r="O12063">
        <v>250</v>
      </c>
      <c r="P12063">
        <v>150000</v>
      </c>
      <c r="Q12063" s="6">
        <v>88</v>
      </c>
      <c r="R12063">
        <v>2240.6799999999998</v>
      </c>
      <c r="S12063">
        <v>1333.3</v>
      </c>
      <c r="T12063">
        <v>200</v>
      </c>
      <c r="U12063">
        <v>16666.7</v>
      </c>
      <c r="V12063" s="6">
        <v>64</v>
      </c>
      <c r="W12063">
        <v>1769.12</v>
      </c>
      <c r="X12063">
        <v>2000</v>
      </c>
      <c r="Y12063">
        <v>400</v>
      </c>
      <c r="Z12063">
        <v>5000</v>
      </c>
      <c r="AA12063" s="6">
        <v>152</v>
      </c>
      <c r="AB12063">
        <v>3867.84</v>
      </c>
      <c r="AC12063">
        <v>3000</v>
      </c>
      <c r="AD12063">
        <v>428.6</v>
      </c>
      <c r="AE12063">
        <v>17500</v>
      </c>
      <c r="AF12063" s="6">
        <v>652</v>
      </c>
      <c r="AG12063">
        <v>1779.39</v>
      </c>
      <c r="AH12063">
        <v>1107.7</v>
      </c>
      <c r="AI12063">
        <v>106.7</v>
      </c>
      <c r="AJ12063">
        <v>20000</v>
      </c>
      <c r="AK12063" s="6">
        <v>280</v>
      </c>
      <c r="AL12063">
        <v>5250.91</v>
      </c>
      <c r="AM12063">
        <v>2000</v>
      </c>
      <c r="AN12063">
        <v>333.3</v>
      </c>
      <c r="AO12063">
        <v>25000</v>
      </c>
      <c r="AP12063" s="6">
        <v>20</v>
      </c>
      <c r="AQ12063">
        <v>3878.91</v>
      </c>
      <c r="AR12063">
        <v>2500</v>
      </c>
      <c r="AS12063">
        <v>233.3</v>
      </c>
      <c r="AT12063">
        <v>13333.3</v>
      </c>
      <c r="AU12063" s="6">
        <v>45</v>
      </c>
      <c r="AV12063">
        <v>944.73</v>
      </c>
      <c r="AW12063">
        <v>1000</v>
      </c>
      <c r="AX12063">
        <v>241.7</v>
      </c>
      <c r="AY12063">
        <v>2000</v>
      </c>
      <c r="AZ12063" s="6">
        <v>26</v>
      </c>
      <c r="BA12063">
        <v>3172.56</v>
      </c>
      <c r="BB12063">
        <v>2500</v>
      </c>
      <c r="BC12063">
        <v>75</v>
      </c>
      <c r="BD12063">
        <v>20000</v>
      </c>
      <c r="BE12063" s="6">
        <v>96</v>
      </c>
      <c r="BF12063">
        <v>3611.47</v>
      </c>
      <c r="BG12063">
        <v>4000</v>
      </c>
      <c r="BH12063">
        <v>1000</v>
      </c>
      <c r="BI12063">
        <v>4000</v>
      </c>
      <c r="BJ12063" s="6">
        <v>2</v>
      </c>
      <c r="BK12063">
        <v>2164.6799999999998</v>
      </c>
      <c r="BL12063">
        <v>666.7</v>
      </c>
      <c r="BM12063">
        <v>500</v>
      </c>
      <c r="BN12063">
        <v>21750</v>
      </c>
      <c r="BO12063" s="6">
        <v>7</v>
      </c>
      <c r="BP12063">
        <v>4775.2700000000004</v>
      </c>
      <c r="BQ12063">
        <v>3000</v>
      </c>
      <c r="BR12063">
        <v>133.30000000000001</v>
      </c>
      <c r="BS12063">
        <v>20000</v>
      </c>
      <c r="BT12063" s="6">
        <v>40</v>
      </c>
      <c r="BU12063">
        <v>810</v>
      </c>
    </row>
    <row r="12064" spans="1:73" x14ac:dyDescent="0.35">
      <c r="A12064" t="s">
        <v>228</v>
      </c>
      <c r="B12064" t="s">
        <v>228</v>
      </c>
      <c r="C12064">
        <v>12841.11</v>
      </c>
      <c r="D12064">
        <v>10000</v>
      </c>
      <c r="E12064">
        <v>333.3</v>
      </c>
      <c r="F12064">
        <v>150000</v>
      </c>
      <c r="G12064" s="6">
        <v>1271</v>
      </c>
      <c r="H12064">
        <v>6272.64</v>
      </c>
      <c r="I12064">
        <v>3333.3</v>
      </c>
      <c r="J12064">
        <v>16.7</v>
      </c>
      <c r="K12064">
        <v>66666.7</v>
      </c>
      <c r="L12064" s="6">
        <v>241</v>
      </c>
      <c r="M12064">
        <v>17578.79</v>
      </c>
      <c r="N12064">
        <v>10000</v>
      </c>
      <c r="O12064">
        <v>250</v>
      </c>
      <c r="P12064">
        <v>150000</v>
      </c>
      <c r="Q12064" s="6">
        <v>109</v>
      </c>
      <c r="R12064">
        <v>2698.25</v>
      </c>
      <c r="S12064">
        <v>1750</v>
      </c>
      <c r="T12064">
        <v>100</v>
      </c>
      <c r="U12064">
        <v>35000</v>
      </c>
      <c r="V12064" s="6">
        <v>92</v>
      </c>
      <c r="W12064">
        <v>1917.18</v>
      </c>
      <c r="X12064">
        <v>2000</v>
      </c>
      <c r="Y12064">
        <v>400</v>
      </c>
      <c r="Z12064">
        <v>5000</v>
      </c>
      <c r="AA12064" s="6">
        <v>264</v>
      </c>
      <c r="AB12064">
        <v>4296.82</v>
      </c>
      <c r="AC12064">
        <v>4000</v>
      </c>
      <c r="AD12064">
        <v>428.6</v>
      </c>
      <c r="AE12064">
        <v>30000</v>
      </c>
      <c r="AF12064" s="6">
        <v>1194</v>
      </c>
      <c r="AG12064">
        <v>2115.1799999999998</v>
      </c>
      <c r="AH12064">
        <v>1400</v>
      </c>
      <c r="AI12064">
        <v>106.7</v>
      </c>
      <c r="AJ12064">
        <v>20000</v>
      </c>
      <c r="AK12064" s="6">
        <v>404</v>
      </c>
      <c r="AL12064">
        <v>5888.89</v>
      </c>
      <c r="AM12064">
        <v>4000</v>
      </c>
      <c r="AN12064">
        <v>100</v>
      </c>
      <c r="AO12064">
        <v>25000</v>
      </c>
      <c r="AP12064" s="6">
        <v>32</v>
      </c>
      <c r="AQ12064">
        <v>5244.2</v>
      </c>
      <c r="AR12064">
        <v>3333.3</v>
      </c>
      <c r="AS12064">
        <v>233.3</v>
      </c>
      <c r="AT12064">
        <v>30000</v>
      </c>
      <c r="AU12064" s="6">
        <v>92</v>
      </c>
      <c r="AV12064">
        <v>1217.7</v>
      </c>
      <c r="AW12064">
        <v>1200</v>
      </c>
      <c r="AX12064">
        <v>241.7</v>
      </c>
      <c r="AY12064">
        <v>3300</v>
      </c>
      <c r="AZ12064" s="6">
        <v>52</v>
      </c>
      <c r="BA12064">
        <v>4143.3599999999997</v>
      </c>
      <c r="BB12064">
        <v>2500</v>
      </c>
      <c r="BC12064">
        <v>75</v>
      </c>
      <c r="BD12064">
        <v>26000</v>
      </c>
      <c r="BE12064" s="6">
        <v>206</v>
      </c>
      <c r="BF12064">
        <v>2109.21</v>
      </c>
      <c r="BG12064">
        <v>1000</v>
      </c>
      <c r="BH12064">
        <v>666.7</v>
      </c>
      <c r="BI12064">
        <v>4000</v>
      </c>
      <c r="BJ12064" s="6">
        <v>3</v>
      </c>
      <c r="BK12064">
        <v>9971.93</v>
      </c>
      <c r="BL12064">
        <v>666.7</v>
      </c>
      <c r="BM12064">
        <v>500</v>
      </c>
      <c r="BN12064">
        <v>75000</v>
      </c>
      <c r="BO12064" s="6">
        <v>14</v>
      </c>
      <c r="BP12064">
        <v>5190.95</v>
      </c>
      <c r="BQ12064">
        <v>3000</v>
      </c>
      <c r="BR12064">
        <v>100</v>
      </c>
      <c r="BS12064">
        <v>40000</v>
      </c>
      <c r="BT12064" s="6">
        <v>87</v>
      </c>
      <c r="BU12064">
        <v>1271</v>
      </c>
    </row>
    <row r="12066" spans="1:7" x14ac:dyDescent="0.35">
      <c r="A12066" s="1" t="s">
        <v>2753</v>
      </c>
    </row>
    <row r="12067" spans="1:7" x14ac:dyDescent="0.35">
      <c r="A12067" t="s">
        <v>219</v>
      </c>
      <c r="B12067" t="s">
        <v>301</v>
      </c>
      <c r="C12067" t="s">
        <v>524</v>
      </c>
      <c r="D12067" t="s">
        <v>525</v>
      </c>
      <c r="E12067" t="s">
        <v>526</v>
      </c>
      <c r="F12067" t="s">
        <v>527</v>
      </c>
      <c r="G12067" t="s">
        <v>226</v>
      </c>
    </row>
    <row r="12068" spans="1:7" x14ac:dyDescent="0.35">
      <c r="A12068" t="s">
        <v>227</v>
      </c>
      <c r="B12068" t="s">
        <v>2726</v>
      </c>
      <c r="C12068">
        <v>11392.73</v>
      </c>
      <c r="D12068">
        <v>7500</v>
      </c>
      <c r="E12068">
        <v>0</v>
      </c>
      <c r="F12068">
        <v>100500</v>
      </c>
      <c r="G12068">
        <v>862</v>
      </c>
    </row>
    <row r="12069" spans="1:7" x14ac:dyDescent="0.35">
      <c r="A12069" t="s">
        <v>227</v>
      </c>
      <c r="B12069" t="s">
        <v>2727</v>
      </c>
      <c r="C12069">
        <v>16024.59</v>
      </c>
      <c r="D12069">
        <v>13000</v>
      </c>
      <c r="E12069">
        <v>0</v>
      </c>
      <c r="F12069">
        <v>84500</v>
      </c>
      <c r="G12069">
        <v>243</v>
      </c>
    </row>
    <row r="12070" spans="1:7" x14ac:dyDescent="0.35">
      <c r="A12070" t="s">
        <v>227</v>
      </c>
      <c r="B12070" t="s">
        <v>2728</v>
      </c>
      <c r="C12070">
        <v>12066.22</v>
      </c>
      <c r="D12070">
        <v>8900</v>
      </c>
      <c r="E12070">
        <v>0</v>
      </c>
      <c r="F12070">
        <v>175000</v>
      </c>
      <c r="G12070">
        <v>1370</v>
      </c>
    </row>
    <row r="12071" spans="1:7" x14ac:dyDescent="0.35">
      <c r="A12071" t="s">
        <v>228</v>
      </c>
      <c r="B12071" t="s">
        <v>228</v>
      </c>
      <c r="C12071">
        <v>12264.58</v>
      </c>
      <c r="D12071">
        <v>8500</v>
      </c>
      <c r="E12071">
        <v>0</v>
      </c>
      <c r="F12071">
        <v>175000</v>
      </c>
      <c r="G12071">
        <v>2476</v>
      </c>
    </row>
    <row r="12073" spans="1:7" x14ac:dyDescent="0.35">
      <c r="A12073" s="1" t="s">
        <v>2754</v>
      </c>
    </row>
    <row r="12074" spans="1:7" x14ac:dyDescent="0.35">
      <c r="A12074" t="s">
        <v>219</v>
      </c>
      <c r="B12074" t="s">
        <v>301</v>
      </c>
      <c r="C12074" t="s">
        <v>1190</v>
      </c>
      <c r="D12074" t="s">
        <v>1191</v>
      </c>
      <c r="E12074" t="s">
        <v>226</v>
      </c>
    </row>
    <row r="12075" spans="1:7" x14ac:dyDescent="0.35">
      <c r="A12075" t="s">
        <v>227</v>
      </c>
      <c r="B12075" t="s">
        <v>2726</v>
      </c>
      <c r="C12075" s="2">
        <v>0.64239999999999997</v>
      </c>
      <c r="D12075" s="2">
        <v>0.35759999999999997</v>
      </c>
      <c r="E12075">
        <v>160</v>
      </c>
    </row>
    <row r="12076" spans="1:7" x14ac:dyDescent="0.35">
      <c r="A12076" s="3" t="s">
        <v>227</v>
      </c>
      <c r="B12076" s="3" t="s">
        <v>2727</v>
      </c>
      <c r="C12076" s="4">
        <v>0.62570000000000003</v>
      </c>
      <c r="D12076" s="4">
        <v>0.37430000000000002</v>
      </c>
      <c r="E12076" s="5" t="s">
        <v>2724</v>
      </c>
    </row>
    <row r="12077" spans="1:7" x14ac:dyDescent="0.35">
      <c r="A12077" t="s">
        <v>227</v>
      </c>
      <c r="B12077" t="s">
        <v>2728</v>
      </c>
      <c r="C12077" s="2">
        <v>0.77229999999999999</v>
      </c>
      <c r="D12077" s="2">
        <v>0.22770000000000001</v>
      </c>
      <c r="E12077">
        <v>158</v>
      </c>
    </row>
    <row r="12078" spans="1:7" x14ac:dyDescent="0.35">
      <c r="A12078" t="s">
        <v>228</v>
      </c>
      <c r="B12078" t="s">
        <v>228</v>
      </c>
      <c r="C12078" s="2">
        <v>0.71330000000000005</v>
      </c>
      <c r="D12078" s="2">
        <v>0.28670000000000001</v>
      </c>
      <c r="E12078">
        <v>346</v>
      </c>
    </row>
    <row r="12080" spans="1:7" x14ac:dyDescent="0.35">
      <c r="A12080" s="1" t="s">
        <v>2755</v>
      </c>
    </row>
    <row r="12081" spans="1:19" x14ac:dyDescent="0.35">
      <c r="A12081" t="s">
        <v>219</v>
      </c>
      <c r="B12081" t="s">
        <v>301</v>
      </c>
      <c r="C12081" t="s">
        <v>298</v>
      </c>
      <c r="D12081" t="s">
        <v>299</v>
      </c>
      <c r="E12081" t="s">
        <v>277</v>
      </c>
      <c r="F12081" t="s">
        <v>282</v>
      </c>
      <c r="G12081" t="s">
        <v>226</v>
      </c>
    </row>
    <row r="12082" spans="1:19" x14ac:dyDescent="0.35">
      <c r="A12082" t="s">
        <v>227</v>
      </c>
      <c r="B12082" t="s">
        <v>2726</v>
      </c>
      <c r="C12082" s="2">
        <v>0.83</v>
      </c>
      <c r="D12082" s="2">
        <v>0.16619999999999999</v>
      </c>
      <c r="E12082" s="2">
        <v>2.9999999999999997E-4</v>
      </c>
      <c r="F12082" s="2">
        <v>3.5000000000000001E-3</v>
      </c>
      <c r="G12082">
        <v>961</v>
      </c>
    </row>
    <row r="12083" spans="1:19" x14ac:dyDescent="0.35">
      <c r="A12083" t="s">
        <v>227</v>
      </c>
      <c r="B12083" t="s">
        <v>2727</v>
      </c>
      <c r="C12083" s="2">
        <v>0.82040000000000002</v>
      </c>
      <c r="D12083" s="2">
        <v>0.17960000000000001</v>
      </c>
      <c r="G12083">
        <v>270</v>
      </c>
    </row>
    <row r="12084" spans="1:19" x14ac:dyDescent="0.35">
      <c r="A12084" t="s">
        <v>227</v>
      </c>
      <c r="B12084" t="s">
        <v>2728</v>
      </c>
      <c r="C12084" s="2">
        <v>0.79220000000000002</v>
      </c>
      <c r="D12084" s="2">
        <v>0.20330000000000001</v>
      </c>
      <c r="E12084" s="2">
        <v>4.1000000000000003E-3</v>
      </c>
      <c r="F12084" s="2">
        <v>4.0000000000000002E-4</v>
      </c>
      <c r="G12084">
        <v>1581</v>
      </c>
    </row>
    <row r="12085" spans="1:19" x14ac:dyDescent="0.35">
      <c r="A12085" t="s">
        <v>228</v>
      </c>
      <c r="B12085" t="s">
        <v>228</v>
      </c>
      <c r="C12085" s="2">
        <v>0.80669999999999997</v>
      </c>
      <c r="D12085" s="2">
        <v>0.18940000000000001</v>
      </c>
      <c r="E12085" s="2">
        <v>2.5000000000000001E-3</v>
      </c>
      <c r="F12085" s="2">
        <v>1.2999999999999999E-3</v>
      </c>
      <c r="G12085">
        <v>2812</v>
      </c>
    </row>
    <row r="12087" spans="1:19" x14ac:dyDescent="0.35">
      <c r="A12087" s="1" t="s">
        <v>2756</v>
      </c>
    </row>
    <row r="12088" spans="1:19" x14ac:dyDescent="0.35">
      <c r="A12088" t="s">
        <v>219</v>
      </c>
      <c r="B12088" t="s">
        <v>301</v>
      </c>
      <c r="C12088" t="s">
        <v>1215</v>
      </c>
      <c r="D12088" t="s">
        <v>1216</v>
      </c>
      <c r="E12088" t="s">
        <v>1217</v>
      </c>
      <c r="F12088" t="s">
        <v>1218</v>
      </c>
      <c r="G12088" t="s">
        <v>1219</v>
      </c>
      <c r="H12088" t="s">
        <v>1220</v>
      </c>
      <c r="I12088" t="s">
        <v>1221</v>
      </c>
      <c r="J12088" t="s">
        <v>1222</v>
      </c>
      <c r="K12088" t="s">
        <v>1223</v>
      </c>
      <c r="L12088" t="s">
        <v>318</v>
      </c>
      <c r="M12088" t="s">
        <v>1224</v>
      </c>
      <c r="N12088" t="s">
        <v>1225</v>
      </c>
      <c r="O12088" t="s">
        <v>1226</v>
      </c>
      <c r="P12088" t="s">
        <v>282</v>
      </c>
      <c r="Q12088" t="s">
        <v>1227</v>
      </c>
      <c r="R12088" t="s">
        <v>277</v>
      </c>
      <c r="S12088" t="s">
        <v>226</v>
      </c>
    </row>
    <row r="12089" spans="1:19" x14ac:dyDescent="0.35">
      <c r="A12089" t="s">
        <v>227</v>
      </c>
      <c r="B12089" t="s">
        <v>2726</v>
      </c>
      <c r="C12089" s="2">
        <v>0.2127</v>
      </c>
      <c r="D12089" s="2">
        <v>0.36849999999999999</v>
      </c>
      <c r="E12089" s="2">
        <v>0.42570000000000002</v>
      </c>
      <c r="F12089" s="2">
        <v>0.12809999999999999</v>
      </c>
      <c r="G12089" s="2">
        <v>8.1600000000000006E-2</v>
      </c>
      <c r="H12089" s="2">
        <v>9.7600000000000006E-2</v>
      </c>
      <c r="I12089" s="2">
        <v>5.9299999999999999E-2</v>
      </c>
      <c r="J12089" s="2">
        <v>1.04E-2</v>
      </c>
      <c r="K12089" s="2">
        <v>2.3599999999999999E-2</v>
      </c>
      <c r="L12089" s="2">
        <v>3.78E-2</v>
      </c>
      <c r="M12089" s="2">
        <v>4.7899999999999998E-2</v>
      </c>
      <c r="N12089" s="2">
        <v>1.2999999999999999E-2</v>
      </c>
      <c r="O12089" s="2">
        <v>1.66E-2</v>
      </c>
      <c r="P12089" s="2">
        <v>2.0999999999999999E-3</v>
      </c>
      <c r="Q12089" s="2">
        <v>4.3E-3</v>
      </c>
      <c r="R12089" s="2">
        <v>2.8E-3</v>
      </c>
      <c r="S12089">
        <v>138</v>
      </c>
    </row>
    <row r="12090" spans="1:19" x14ac:dyDescent="0.35">
      <c r="A12090" t="s">
        <v>227</v>
      </c>
      <c r="B12090" t="s">
        <v>2727</v>
      </c>
      <c r="C12090" s="2">
        <v>0.24399999999999999</v>
      </c>
      <c r="D12090" s="2">
        <v>0.13800000000000001</v>
      </c>
      <c r="E12090" s="2">
        <v>0.29110000000000003</v>
      </c>
      <c r="F12090" s="2">
        <v>0.1051</v>
      </c>
      <c r="G12090" s="2">
        <v>4.2200000000000001E-2</v>
      </c>
      <c r="I12090" s="2">
        <v>5.2499999999999998E-2</v>
      </c>
      <c r="J12090" s="2">
        <v>6.9000000000000006E-2</v>
      </c>
      <c r="L12090" s="2">
        <v>0.1072</v>
      </c>
      <c r="M12090" s="2">
        <v>6.5000000000000002E-2</v>
      </c>
      <c r="N12090" s="2">
        <v>4.0899999999999999E-2</v>
      </c>
      <c r="O12090" s="2">
        <v>2.8E-3</v>
      </c>
      <c r="P12090" s="2">
        <v>5.0000000000000001E-3</v>
      </c>
      <c r="S12090">
        <v>44</v>
      </c>
    </row>
    <row r="12091" spans="1:19" x14ac:dyDescent="0.35">
      <c r="A12091" t="s">
        <v>227</v>
      </c>
      <c r="B12091" t="s">
        <v>2728</v>
      </c>
      <c r="C12091" s="2">
        <v>0.35630000000000001</v>
      </c>
      <c r="D12091" s="2">
        <v>0.30380000000000001</v>
      </c>
      <c r="E12091" s="2">
        <v>0.22309999999999999</v>
      </c>
      <c r="F12091" s="2">
        <v>9.74E-2</v>
      </c>
      <c r="G12091" s="2">
        <v>7.4200000000000002E-2</v>
      </c>
      <c r="H12091" s="2">
        <v>4.8099999999999997E-2</v>
      </c>
      <c r="I12091" s="2">
        <v>4.5499999999999999E-2</v>
      </c>
      <c r="J12091" s="2">
        <v>3.6799999999999999E-2</v>
      </c>
      <c r="K12091" s="2">
        <v>3.44E-2</v>
      </c>
      <c r="L12091" s="2">
        <v>1.2699999999999999E-2</v>
      </c>
      <c r="M12091" s="2">
        <v>1.2200000000000001E-2</v>
      </c>
      <c r="N12091" s="2">
        <v>2.6100000000000002E-2</v>
      </c>
      <c r="O12091" s="2">
        <v>7.4999999999999997E-3</v>
      </c>
      <c r="P12091" s="2">
        <v>6.0000000000000001E-3</v>
      </c>
      <c r="Q12091" s="2">
        <v>1.6000000000000001E-3</v>
      </c>
      <c r="S12091">
        <v>272</v>
      </c>
    </row>
    <row r="12092" spans="1:19" x14ac:dyDescent="0.35">
      <c r="A12092" t="s">
        <v>228</v>
      </c>
      <c r="B12092" t="s">
        <v>228</v>
      </c>
      <c r="C12092" s="2">
        <v>0.30740000000000001</v>
      </c>
      <c r="D12092" s="2">
        <v>0.30609999999999998</v>
      </c>
      <c r="E12092" s="2">
        <v>0.28370000000000001</v>
      </c>
      <c r="F12092" s="2">
        <v>0.10630000000000001</v>
      </c>
      <c r="G12092" s="2">
        <v>7.3300000000000004E-2</v>
      </c>
      <c r="H12092" s="2">
        <v>5.7000000000000002E-2</v>
      </c>
      <c r="I12092" s="2">
        <v>4.9799999999999997E-2</v>
      </c>
      <c r="J12092" s="2">
        <v>3.2599999999999997E-2</v>
      </c>
      <c r="K12092" s="2">
        <v>2.8400000000000002E-2</v>
      </c>
      <c r="L12092" s="2">
        <v>2.81E-2</v>
      </c>
      <c r="M12092" s="2">
        <v>2.6599999999999999E-2</v>
      </c>
      <c r="N12092" s="2">
        <v>2.3900000000000001E-2</v>
      </c>
      <c r="O12092" s="2">
        <v>9.4999999999999998E-3</v>
      </c>
      <c r="P12092" s="2">
        <v>4.8999999999999998E-3</v>
      </c>
      <c r="Q12092" s="2">
        <v>2.2000000000000001E-3</v>
      </c>
      <c r="R12092" s="2">
        <v>8.0000000000000004E-4</v>
      </c>
      <c r="S12092">
        <v>454</v>
      </c>
    </row>
    <row r="12094" spans="1:19" x14ac:dyDescent="0.35">
      <c r="A12094" s="1" t="s">
        <v>2757</v>
      </c>
    </row>
    <row r="12095" spans="1:19" x14ac:dyDescent="0.35">
      <c r="A12095" t="s">
        <v>219</v>
      </c>
      <c r="B12095" t="s">
        <v>301</v>
      </c>
      <c r="C12095" t="s">
        <v>1240</v>
      </c>
      <c r="D12095" t="s">
        <v>1241</v>
      </c>
      <c r="E12095" t="s">
        <v>1242</v>
      </c>
      <c r="F12095" t="s">
        <v>1243</v>
      </c>
      <c r="G12095" t="s">
        <v>1244</v>
      </c>
      <c r="H12095" t="s">
        <v>1245</v>
      </c>
      <c r="I12095" t="s">
        <v>1246</v>
      </c>
      <c r="J12095" t="s">
        <v>318</v>
      </c>
      <c r="K12095" t="s">
        <v>1247</v>
      </c>
      <c r="L12095" t="s">
        <v>1248</v>
      </c>
      <c r="M12095" t="s">
        <v>1249</v>
      </c>
      <c r="N12095" t="s">
        <v>1250</v>
      </c>
      <c r="O12095" t="s">
        <v>1251</v>
      </c>
      <c r="P12095" t="s">
        <v>226</v>
      </c>
    </row>
    <row r="12096" spans="1:19" x14ac:dyDescent="0.35">
      <c r="A12096" s="3" t="s">
        <v>227</v>
      </c>
      <c r="B12096" s="3" t="s">
        <v>2726</v>
      </c>
      <c r="C12096" s="4">
        <v>0.2296</v>
      </c>
      <c r="D12096" s="4">
        <v>0.2319</v>
      </c>
      <c r="E12096" s="4">
        <v>0.1739</v>
      </c>
      <c r="F12096" s="4">
        <v>4.4699999999999997E-2</v>
      </c>
      <c r="G12096" s="4">
        <v>0.2089</v>
      </c>
      <c r="H12096" s="4">
        <v>0.21429999999999999</v>
      </c>
      <c r="I12096" s="4">
        <v>1.6400000000000001E-2</v>
      </c>
      <c r="J12096" s="4">
        <v>0.3427</v>
      </c>
      <c r="K12096" s="4">
        <v>1.6400000000000001E-2</v>
      </c>
      <c r="L12096" s="4">
        <v>2.18E-2</v>
      </c>
      <c r="M12096" s="4">
        <v>1.6400000000000001E-2</v>
      </c>
      <c r="N12096" s="5"/>
      <c r="O12096" s="5"/>
      <c r="P12096" s="5" t="s">
        <v>422</v>
      </c>
    </row>
    <row r="12097" spans="1:16" x14ac:dyDescent="0.35">
      <c r="A12097" s="3" t="s">
        <v>227</v>
      </c>
      <c r="B12097" s="3" t="s">
        <v>2727</v>
      </c>
      <c r="C12097" s="4">
        <v>0.73529999999999995</v>
      </c>
      <c r="D12097" s="4">
        <v>0.1051</v>
      </c>
      <c r="E12097" s="5"/>
      <c r="F12097" s="4">
        <v>2.7E-2</v>
      </c>
      <c r="G12097" s="4">
        <v>7.5800000000000006E-2</v>
      </c>
      <c r="H12097" s="5"/>
      <c r="I12097" s="5"/>
      <c r="J12097" s="4">
        <v>6.3500000000000001E-2</v>
      </c>
      <c r="K12097" s="4">
        <v>2.9899999999999999E-2</v>
      </c>
      <c r="L12097" s="5"/>
      <c r="M12097" s="4">
        <v>4.1599999999999998E-2</v>
      </c>
      <c r="N12097" s="5"/>
      <c r="O12097" s="5"/>
      <c r="P12097" s="5" t="s">
        <v>848</v>
      </c>
    </row>
    <row r="12098" spans="1:16" x14ac:dyDescent="0.35">
      <c r="A12098" t="s">
        <v>227</v>
      </c>
      <c r="B12098" t="s">
        <v>2728</v>
      </c>
      <c r="C12098" s="2">
        <v>0.62919999999999998</v>
      </c>
      <c r="D12098" s="2">
        <v>0.19950000000000001</v>
      </c>
      <c r="E12098" s="2">
        <v>0.1888</v>
      </c>
      <c r="F12098" s="2">
        <v>0.1396</v>
      </c>
      <c r="G12098" s="2">
        <v>7.8299999999999995E-2</v>
      </c>
      <c r="H12098" s="2">
        <v>7.4499999999999997E-2</v>
      </c>
      <c r="I12098" s="2">
        <v>8.14E-2</v>
      </c>
      <c r="J12098" s="2">
        <v>1.04E-2</v>
      </c>
      <c r="K12098" s="2">
        <v>3.3799999999999997E-2</v>
      </c>
      <c r="L12098" s="2">
        <v>3.4099999999999998E-2</v>
      </c>
      <c r="M12098" s="2">
        <v>2.75E-2</v>
      </c>
      <c r="N12098" s="2">
        <v>1.3100000000000001E-2</v>
      </c>
      <c r="O12098" s="2">
        <v>3.8E-3</v>
      </c>
      <c r="P12098">
        <v>78</v>
      </c>
    </row>
    <row r="12099" spans="1:16" x14ac:dyDescent="0.35">
      <c r="A12099" t="s">
        <v>228</v>
      </c>
      <c r="B12099" t="s">
        <v>228</v>
      </c>
      <c r="C12099" s="2">
        <v>0.57289999999999996</v>
      </c>
      <c r="D12099" s="2">
        <v>0.19919999999999999</v>
      </c>
      <c r="E12099" s="2">
        <v>0.1757</v>
      </c>
      <c r="F12099" s="2">
        <v>0.11840000000000001</v>
      </c>
      <c r="G12099" s="2">
        <v>9.8500000000000004E-2</v>
      </c>
      <c r="H12099" s="2">
        <v>9.1999999999999998E-2</v>
      </c>
      <c r="I12099" s="2">
        <v>6.6600000000000006E-2</v>
      </c>
      <c r="J12099" s="2">
        <v>6.5299999999999997E-2</v>
      </c>
      <c r="K12099" s="2">
        <v>3.0800000000000001E-2</v>
      </c>
      <c r="L12099" s="2">
        <v>3.0200000000000001E-2</v>
      </c>
      <c r="M12099" s="2">
        <v>2.6599999999999999E-2</v>
      </c>
      <c r="N12099" s="2">
        <v>1.03E-2</v>
      </c>
      <c r="O12099" s="2">
        <v>3.0000000000000001E-3</v>
      </c>
      <c r="P12099">
        <v>110</v>
      </c>
    </row>
    <row r="12101" spans="1:16" x14ac:dyDescent="0.35">
      <c r="A12101" s="1" t="s">
        <v>2758</v>
      </c>
    </row>
    <row r="12102" spans="1:16" x14ac:dyDescent="0.35">
      <c r="A12102" t="s">
        <v>219</v>
      </c>
      <c r="B12102" t="s">
        <v>301</v>
      </c>
      <c r="C12102" t="s">
        <v>1264</v>
      </c>
      <c r="D12102" t="s">
        <v>1265</v>
      </c>
      <c r="E12102" t="s">
        <v>1266</v>
      </c>
      <c r="F12102" t="s">
        <v>1267</v>
      </c>
      <c r="G12102" t="s">
        <v>1268</v>
      </c>
      <c r="H12102" t="s">
        <v>1269</v>
      </c>
      <c r="I12102" t="s">
        <v>1270</v>
      </c>
      <c r="J12102" t="s">
        <v>1271</v>
      </c>
      <c r="K12102" t="s">
        <v>1272</v>
      </c>
      <c r="L12102" t="s">
        <v>1273</v>
      </c>
      <c r="M12102" t="s">
        <v>1274</v>
      </c>
      <c r="N12102" t="s">
        <v>957</v>
      </c>
    </row>
    <row r="12103" spans="1:16" x14ac:dyDescent="0.35">
      <c r="A12103" t="s">
        <v>227</v>
      </c>
      <c r="B12103" t="s">
        <v>2726</v>
      </c>
      <c r="C12103" t="s">
        <v>1275</v>
      </c>
      <c r="D12103" s="2">
        <v>0.75739999999999996</v>
      </c>
      <c r="E12103" s="2">
        <v>0.35680000000000001</v>
      </c>
      <c r="F12103" s="2">
        <v>0.77110000000000001</v>
      </c>
      <c r="G12103" s="2">
        <v>0.59630000000000005</v>
      </c>
      <c r="H12103" s="2">
        <v>0.64219999999999999</v>
      </c>
      <c r="I12103" s="2">
        <v>0.56289999999999996</v>
      </c>
      <c r="J12103" s="2">
        <v>0.71919999999999995</v>
      </c>
      <c r="K12103" s="2">
        <v>0.70909999999999995</v>
      </c>
      <c r="L12103" s="2">
        <v>0.76060000000000005</v>
      </c>
      <c r="M12103" s="2">
        <v>0.84540000000000004</v>
      </c>
      <c r="N12103">
        <v>873</v>
      </c>
    </row>
    <row r="12104" spans="1:16" x14ac:dyDescent="0.35">
      <c r="A12104" t="s">
        <v>227</v>
      </c>
      <c r="B12104" t="s">
        <v>2726</v>
      </c>
      <c r="C12104" t="s">
        <v>1276</v>
      </c>
      <c r="D12104" s="2">
        <v>2.1600000000000001E-2</v>
      </c>
      <c r="E12104" s="2">
        <v>6.7900000000000002E-2</v>
      </c>
      <c r="F12104" s="2">
        <v>1.8800000000000001E-2</v>
      </c>
      <c r="G12104" s="2">
        <v>1.52E-2</v>
      </c>
      <c r="H12104" s="2">
        <v>3.49E-2</v>
      </c>
      <c r="I12104" s="2">
        <v>2.3999999999999998E-3</v>
      </c>
      <c r="J12104" s="2">
        <v>3.3E-3</v>
      </c>
      <c r="K12104" s="2">
        <v>1.4E-2</v>
      </c>
      <c r="L12104" s="2">
        <v>2.0000000000000001E-4</v>
      </c>
      <c r="M12104" s="2">
        <v>1.2999999999999999E-3</v>
      </c>
      <c r="N12104">
        <v>873</v>
      </c>
    </row>
    <row r="12105" spans="1:16" x14ac:dyDescent="0.35">
      <c r="A12105" t="s">
        <v>227</v>
      </c>
      <c r="B12105" t="s">
        <v>2726</v>
      </c>
      <c r="C12105" t="s">
        <v>1277</v>
      </c>
      <c r="D12105" s="2">
        <v>0.19389999999999999</v>
      </c>
      <c r="E12105" s="2">
        <v>0.2046</v>
      </c>
      <c r="F12105" s="2">
        <v>7.2400000000000006E-2</v>
      </c>
      <c r="G12105" s="2">
        <v>0.25940000000000002</v>
      </c>
      <c r="H12105" s="2">
        <v>0.30530000000000002</v>
      </c>
      <c r="I12105" s="2">
        <v>5.5199999999999999E-2</v>
      </c>
      <c r="J12105" s="2">
        <v>0.27250000000000002</v>
      </c>
      <c r="K12105" s="2">
        <v>0.27600000000000002</v>
      </c>
      <c r="L12105" s="2">
        <v>0.2316</v>
      </c>
      <c r="M12105" s="2">
        <v>0.14230000000000001</v>
      </c>
      <c r="N12105">
        <v>873</v>
      </c>
    </row>
    <row r="12106" spans="1:16" x14ac:dyDescent="0.35">
      <c r="A12106" t="s">
        <v>227</v>
      </c>
      <c r="B12106" t="s">
        <v>2726</v>
      </c>
      <c r="C12106" t="s">
        <v>299</v>
      </c>
      <c r="D12106" s="2">
        <v>2.7099999999999999E-2</v>
      </c>
      <c r="E12106" s="2">
        <v>0.37069999999999997</v>
      </c>
      <c r="F12106" s="2">
        <v>0.13769999999999999</v>
      </c>
      <c r="G12106" s="2">
        <v>0.12909999999999999</v>
      </c>
      <c r="H12106" s="2">
        <v>1.77E-2</v>
      </c>
      <c r="I12106" s="2">
        <v>0.3795</v>
      </c>
      <c r="J12106" s="2">
        <v>4.8999999999999998E-3</v>
      </c>
      <c r="K12106" s="2">
        <v>1E-3</v>
      </c>
      <c r="L12106" s="2">
        <v>7.7000000000000002E-3</v>
      </c>
      <c r="M12106" s="2">
        <v>1.11E-2</v>
      </c>
      <c r="N12106">
        <v>873</v>
      </c>
    </row>
    <row r="12107" spans="1:16" x14ac:dyDescent="0.35">
      <c r="A12107" t="s">
        <v>227</v>
      </c>
      <c r="B12107" t="s">
        <v>2727</v>
      </c>
      <c r="C12107" t="s">
        <v>1275</v>
      </c>
      <c r="D12107" s="2">
        <v>0.82820000000000005</v>
      </c>
      <c r="E12107" s="2">
        <v>0.48870000000000002</v>
      </c>
      <c r="F12107" s="2">
        <v>0.83520000000000005</v>
      </c>
      <c r="G12107" s="2">
        <v>0.53879999999999995</v>
      </c>
      <c r="H12107" s="2">
        <v>0.78220000000000001</v>
      </c>
      <c r="I12107" s="2">
        <v>0.71299999999999997</v>
      </c>
      <c r="J12107" s="2">
        <v>0.68279999999999996</v>
      </c>
      <c r="K12107" s="2">
        <v>0.81840000000000002</v>
      </c>
      <c r="L12107" s="2">
        <v>0.87649999999999995</v>
      </c>
      <c r="M12107" s="2">
        <v>0.877</v>
      </c>
      <c r="N12107">
        <v>237</v>
      </c>
    </row>
    <row r="12108" spans="1:16" x14ac:dyDescent="0.35">
      <c r="A12108" t="s">
        <v>227</v>
      </c>
      <c r="B12108" t="s">
        <v>2727</v>
      </c>
      <c r="C12108" t="s">
        <v>1276</v>
      </c>
      <c r="D12108" s="2">
        <v>3.5799999999999998E-2</v>
      </c>
      <c r="E12108" s="2">
        <v>6.2199999999999998E-2</v>
      </c>
      <c r="F12108" s="2">
        <v>1.4E-2</v>
      </c>
      <c r="G12108" s="2">
        <v>2.8400000000000002E-2</v>
      </c>
      <c r="H12108" s="2">
        <v>2.35E-2</v>
      </c>
      <c r="J12108" s="2">
        <v>1.23E-2</v>
      </c>
      <c r="K12108" s="2">
        <v>2.1100000000000001E-2</v>
      </c>
      <c r="L12108" s="2">
        <v>6.6E-3</v>
      </c>
      <c r="N12108">
        <v>237</v>
      </c>
    </row>
    <row r="12109" spans="1:16" x14ac:dyDescent="0.35">
      <c r="A12109" t="s">
        <v>227</v>
      </c>
      <c r="B12109" t="s">
        <v>2727</v>
      </c>
      <c r="C12109" t="s">
        <v>1277</v>
      </c>
      <c r="D12109" s="2">
        <v>0.1009</v>
      </c>
      <c r="E12109" s="2">
        <v>0.1464</v>
      </c>
      <c r="F12109" s="2">
        <v>5.9200000000000003E-2</v>
      </c>
      <c r="G12109" s="2">
        <v>0.2447</v>
      </c>
      <c r="H12109" s="2">
        <v>0.18049999999999999</v>
      </c>
      <c r="I12109" s="2">
        <v>5.9499999999999997E-2</v>
      </c>
      <c r="J12109" s="2">
        <v>0.29049999999999998</v>
      </c>
      <c r="K12109" s="2">
        <v>0.15229999999999999</v>
      </c>
      <c r="L12109" s="2">
        <v>8.9899999999999994E-2</v>
      </c>
      <c r="M12109" s="2">
        <v>9.2499999999999999E-2</v>
      </c>
      <c r="N12109">
        <v>237</v>
      </c>
    </row>
    <row r="12110" spans="1:16" x14ac:dyDescent="0.35">
      <c r="A12110" t="s">
        <v>227</v>
      </c>
      <c r="B12110" t="s">
        <v>2727</v>
      </c>
      <c r="C12110" t="s">
        <v>299</v>
      </c>
      <c r="D12110" s="2">
        <v>3.5099999999999999E-2</v>
      </c>
      <c r="E12110" s="2">
        <v>0.30270000000000002</v>
      </c>
      <c r="F12110" s="2">
        <v>9.1600000000000001E-2</v>
      </c>
      <c r="G12110" s="2">
        <v>0.18820000000000001</v>
      </c>
      <c r="H12110" s="2">
        <v>1.38E-2</v>
      </c>
      <c r="I12110" s="2">
        <v>0.22750000000000001</v>
      </c>
      <c r="J12110" s="2">
        <v>1.44E-2</v>
      </c>
      <c r="K12110" s="2">
        <v>8.2000000000000007E-3</v>
      </c>
      <c r="L12110" s="2">
        <v>2.7E-2</v>
      </c>
      <c r="M12110" s="2">
        <v>3.04E-2</v>
      </c>
      <c r="N12110">
        <v>237</v>
      </c>
    </row>
    <row r="12111" spans="1:16" x14ac:dyDescent="0.35">
      <c r="A12111" t="s">
        <v>227</v>
      </c>
      <c r="B12111" t="s">
        <v>2728</v>
      </c>
      <c r="C12111" t="s">
        <v>1275</v>
      </c>
      <c r="D12111" s="2">
        <v>0.83550000000000002</v>
      </c>
      <c r="E12111" s="2">
        <v>0.38240000000000002</v>
      </c>
      <c r="F12111" s="2">
        <v>0.81340000000000001</v>
      </c>
      <c r="G12111" s="2">
        <v>0.61529999999999996</v>
      </c>
      <c r="H12111" s="2">
        <v>0.78549999999999998</v>
      </c>
      <c r="I12111" s="2">
        <v>0.66269999999999996</v>
      </c>
      <c r="J12111" s="2">
        <v>0.89190000000000003</v>
      </c>
      <c r="K12111" s="2">
        <v>0.8165</v>
      </c>
      <c r="L12111" s="2">
        <v>0.86629999999999996</v>
      </c>
      <c r="M12111" s="2">
        <v>0.92669999999999997</v>
      </c>
      <c r="N12111">
        <v>1435</v>
      </c>
    </row>
    <row r="12112" spans="1:16" x14ac:dyDescent="0.35">
      <c r="A12112" t="s">
        <v>227</v>
      </c>
      <c r="B12112" t="s">
        <v>2728</v>
      </c>
      <c r="C12112" t="s">
        <v>1276</v>
      </c>
      <c r="D12112" s="2">
        <v>1.8700000000000001E-2</v>
      </c>
      <c r="E12112" s="2">
        <v>6.0499999999999998E-2</v>
      </c>
      <c r="F12112" s="2">
        <v>7.7999999999999996E-3</v>
      </c>
      <c r="G12112" s="2">
        <v>2.0500000000000001E-2</v>
      </c>
      <c r="H12112" s="2">
        <v>2.24E-2</v>
      </c>
      <c r="I12112" s="2">
        <v>1.09E-2</v>
      </c>
      <c r="J12112" s="2">
        <v>6.3E-3</v>
      </c>
      <c r="K12112" s="2">
        <v>8.6999999999999994E-3</v>
      </c>
      <c r="L12112" s="2">
        <v>4.0000000000000001E-3</v>
      </c>
      <c r="M12112" s="2">
        <v>0</v>
      </c>
      <c r="N12112">
        <v>1435</v>
      </c>
    </row>
    <row r="12113" spans="1:14" x14ac:dyDescent="0.35">
      <c r="A12113" t="s">
        <v>227</v>
      </c>
      <c r="B12113" t="s">
        <v>2728</v>
      </c>
      <c r="C12113" t="s">
        <v>1277</v>
      </c>
      <c r="D12113" s="2">
        <v>9.7500000000000003E-2</v>
      </c>
      <c r="E12113" s="2">
        <v>0.1075</v>
      </c>
      <c r="F12113" s="2">
        <v>3.5299999999999998E-2</v>
      </c>
      <c r="G12113" s="2">
        <v>0.1668</v>
      </c>
      <c r="H12113" s="2">
        <v>0.1731</v>
      </c>
      <c r="I12113" s="2">
        <v>3.04E-2</v>
      </c>
      <c r="J12113" s="2">
        <v>9.1399999999999995E-2</v>
      </c>
      <c r="K12113" s="2">
        <v>0.17119999999999999</v>
      </c>
      <c r="L12113" s="2">
        <v>0.1012</v>
      </c>
      <c r="M12113" s="2">
        <v>6.7199999999999996E-2</v>
      </c>
      <c r="N12113">
        <v>1435</v>
      </c>
    </row>
    <row r="12114" spans="1:14" x14ac:dyDescent="0.35">
      <c r="A12114" t="s">
        <v>227</v>
      </c>
      <c r="B12114" t="s">
        <v>2728</v>
      </c>
      <c r="C12114" t="s">
        <v>299</v>
      </c>
      <c r="D12114" s="2">
        <v>4.8399999999999999E-2</v>
      </c>
      <c r="E12114" s="2">
        <v>0.4496</v>
      </c>
      <c r="F12114" s="2">
        <v>0.14349999999999999</v>
      </c>
      <c r="G12114" s="2">
        <v>0.1973</v>
      </c>
      <c r="H12114" s="2">
        <v>1.9099999999999999E-2</v>
      </c>
      <c r="I12114" s="2">
        <v>0.29599999999999999</v>
      </c>
      <c r="J12114" s="2">
        <v>1.03E-2</v>
      </c>
      <c r="K12114" s="2">
        <v>3.5999999999999999E-3</v>
      </c>
      <c r="L12114" s="2">
        <v>2.8500000000000001E-2</v>
      </c>
      <c r="M12114" s="2">
        <v>6.0000000000000001E-3</v>
      </c>
      <c r="N12114">
        <v>1435</v>
      </c>
    </row>
    <row r="12115" spans="1:14" x14ac:dyDescent="0.35">
      <c r="A12115" t="s">
        <v>228</v>
      </c>
      <c r="B12115" t="s">
        <v>228</v>
      </c>
      <c r="C12115" t="s">
        <v>1275</v>
      </c>
      <c r="D12115" s="2">
        <v>0.81079999999999997</v>
      </c>
      <c r="E12115" s="2">
        <v>0.38419999999999999</v>
      </c>
      <c r="F12115" s="2">
        <v>0.80230000000000001</v>
      </c>
      <c r="G12115" s="2">
        <v>0.60229999999999995</v>
      </c>
      <c r="H12115" s="2">
        <v>0.74029999999999996</v>
      </c>
      <c r="I12115" s="2">
        <v>0.63570000000000004</v>
      </c>
      <c r="J12115" s="2">
        <v>0.82030000000000003</v>
      </c>
      <c r="K12115" s="2">
        <v>0.78349999999999997</v>
      </c>
      <c r="L12115" s="2">
        <v>0.83460000000000001</v>
      </c>
      <c r="M12115" s="2">
        <v>0.89729999999999999</v>
      </c>
      <c r="N12115">
        <v>2546</v>
      </c>
    </row>
    <row r="12116" spans="1:14" x14ac:dyDescent="0.35">
      <c r="A12116" t="s">
        <v>228</v>
      </c>
      <c r="B12116" t="s">
        <v>228</v>
      </c>
      <c r="C12116" t="s">
        <v>1276</v>
      </c>
      <c r="D12116" s="2">
        <v>2.1100000000000001E-2</v>
      </c>
      <c r="E12116" s="2">
        <v>6.2899999999999998E-2</v>
      </c>
      <c r="F12116" s="2">
        <v>1.17E-2</v>
      </c>
      <c r="G12116" s="2">
        <v>1.9599999999999999E-2</v>
      </c>
      <c r="H12116" s="2">
        <v>2.63E-2</v>
      </c>
      <c r="I12116" s="2">
        <v>7.3000000000000001E-3</v>
      </c>
      <c r="J12116" s="2">
        <v>5.8999999999999999E-3</v>
      </c>
      <c r="K12116" s="2">
        <v>1.14E-2</v>
      </c>
      <c r="L12116" s="2">
        <v>3.0000000000000001E-3</v>
      </c>
      <c r="M12116" s="2">
        <v>4.0000000000000002E-4</v>
      </c>
      <c r="N12116">
        <v>2546</v>
      </c>
    </row>
    <row r="12117" spans="1:14" x14ac:dyDescent="0.35">
      <c r="A12117" t="s">
        <v>228</v>
      </c>
      <c r="B12117" t="s">
        <v>228</v>
      </c>
      <c r="C12117" t="s">
        <v>1277</v>
      </c>
      <c r="D12117" s="2">
        <v>0.12759999999999999</v>
      </c>
      <c r="E12117" s="2">
        <v>0.1409</v>
      </c>
      <c r="F12117" s="2">
        <v>4.8899999999999999E-2</v>
      </c>
      <c r="G12117" s="2">
        <v>0.2019</v>
      </c>
      <c r="H12117" s="2">
        <v>0.2152</v>
      </c>
      <c r="I12117" s="2">
        <v>4.0599999999999997E-2</v>
      </c>
      <c r="J12117" s="2">
        <v>0.1648</v>
      </c>
      <c r="K12117" s="2">
        <v>0.2019</v>
      </c>
      <c r="L12117" s="2">
        <v>0.14050000000000001</v>
      </c>
      <c r="M12117" s="2">
        <v>9.2600000000000002E-2</v>
      </c>
      <c r="N12117">
        <v>2546</v>
      </c>
    </row>
    <row r="12118" spans="1:14" x14ac:dyDescent="0.35">
      <c r="A12118" t="s">
        <v>228</v>
      </c>
      <c r="B12118" t="s">
        <v>228</v>
      </c>
      <c r="C12118" t="s">
        <v>299</v>
      </c>
      <c r="D12118" s="2">
        <v>4.0599999999999997E-2</v>
      </c>
      <c r="E12118" s="2">
        <v>0.41199999999999998</v>
      </c>
      <c r="F12118" s="2">
        <v>0.1371</v>
      </c>
      <c r="G12118" s="2">
        <v>0.17610000000000001</v>
      </c>
      <c r="H12118" s="2">
        <v>1.8200000000000001E-2</v>
      </c>
      <c r="I12118" s="2">
        <v>0.31640000000000001</v>
      </c>
      <c r="J12118" s="2">
        <v>8.9999999999999993E-3</v>
      </c>
      <c r="K12118" s="2">
        <v>3.2000000000000002E-3</v>
      </c>
      <c r="L12118" s="2">
        <v>2.1899999999999999E-2</v>
      </c>
      <c r="M12118" s="2">
        <v>9.7000000000000003E-3</v>
      </c>
      <c r="N12118">
        <v>2546</v>
      </c>
    </row>
    <row r="12120" spans="1:14" x14ac:dyDescent="0.35">
      <c r="A12120" s="1" t="s">
        <v>2759</v>
      </c>
    </row>
    <row r="12121" spans="1:14" x14ac:dyDescent="0.35">
      <c r="A12121" t="s">
        <v>219</v>
      </c>
      <c r="B12121" t="s">
        <v>301</v>
      </c>
      <c r="C12121" t="s">
        <v>1279</v>
      </c>
      <c r="D12121" t="s">
        <v>1280</v>
      </c>
      <c r="E12121" t="s">
        <v>1281</v>
      </c>
      <c r="F12121" t="s">
        <v>1282</v>
      </c>
      <c r="G12121" t="s">
        <v>1283</v>
      </c>
      <c r="H12121" t="s">
        <v>277</v>
      </c>
      <c r="I12121" t="s">
        <v>226</v>
      </c>
    </row>
    <row r="12122" spans="1:14" x14ac:dyDescent="0.35">
      <c r="A12122" t="s">
        <v>227</v>
      </c>
      <c r="B12122" t="s">
        <v>2726</v>
      </c>
      <c r="C12122" s="2">
        <v>0.4975</v>
      </c>
      <c r="D12122" s="2">
        <v>0.5121</v>
      </c>
      <c r="E12122" s="2">
        <v>0.30259999999999998</v>
      </c>
      <c r="F12122" s="2">
        <v>8.7999999999999995E-2</v>
      </c>
      <c r="G12122" s="2">
        <v>7.8200000000000006E-2</v>
      </c>
      <c r="H12122" s="2">
        <v>2.1999999999999999E-2</v>
      </c>
      <c r="I12122">
        <v>492</v>
      </c>
    </row>
    <row r="12123" spans="1:14" x14ac:dyDescent="0.35">
      <c r="A12123" t="s">
        <v>227</v>
      </c>
      <c r="B12123" t="s">
        <v>2727</v>
      </c>
      <c r="C12123" s="2">
        <v>0.56640000000000001</v>
      </c>
      <c r="D12123" s="2">
        <v>0.39079999999999998</v>
      </c>
      <c r="E12123" s="2">
        <v>0.33989999999999998</v>
      </c>
      <c r="F12123" s="2">
        <v>0.19109999999999999</v>
      </c>
      <c r="G12123" s="2">
        <v>3.1899999999999998E-2</v>
      </c>
      <c r="H12123" s="2">
        <v>1.8200000000000001E-2</v>
      </c>
      <c r="I12123">
        <v>108</v>
      </c>
    </row>
    <row r="12124" spans="1:14" x14ac:dyDescent="0.35">
      <c r="A12124" t="s">
        <v>227</v>
      </c>
      <c r="B12124" t="s">
        <v>2728</v>
      </c>
      <c r="C12124" s="2">
        <v>0.435</v>
      </c>
      <c r="D12124" s="2">
        <v>0.43309999999999998</v>
      </c>
      <c r="E12124" s="2">
        <v>0.33450000000000002</v>
      </c>
      <c r="F12124" s="2">
        <v>9.1200000000000003E-2</v>
      </c>
      <c r="G12124" s="2">
        <v>0.1113</v>
      </c>
      <c r="H12124" s="2">
        <v>4.24E-2</v>
      </c>
      <c r="I12124">
        <v>823</v>
      </c>
    </row>
    <row r="12125" spans="1:14" x14ac:dyDescent="0.35">
      <c r="A12125" t="s">
        <v>228</v>
      </c>
      <c r="B12125" t="s">
        <v>228</v>
      </c>
      <c r="C12125" s="2">
        <v>0.46189999999999998</v>
      </c>
      <c r="D12125" s="2">
        <v>0.45610000000000001</v>
      </c>
      <c r="E12125" s="2">
        <v>0.32429999999999998</v>
      </c>
      <c r="F12125" s="2">
        <v>9.6000000000000002E-2</v>
      </c>
      <c r="G12125" s="2">
        <v>9.6000000000000002E-2</v>
      </c>
      <c r="H12125" s="2">
        <v>3.4500000000000003E-2</v>
      </c>
      <c r="I12125">
        <v>1423</v>
      </c>
    </row>
    <row r="12127" spans="1:14" x14ac:dyDescent="0.35">
      <c r="A12127" s="1" t="s">
        <v>2760</v>
      </c>
    </row>
    <row r="12128" spans="1:14" x14ac:dyDescent="0.35">
      <c r="A12128" t="s">
        <v>219</v>
      </c>
      <c r="B12128" t="s">
        <v>301</v>
      </c>
      <c r="C12128" t="s">
        <v>1307</v>
      </c>
      <c r="D12128" t="s">
        <v>1308</v>
      </c>
      <c r="E12128" t="s">
        <v>1309</v>
      </c>
      <c r="F12128" t="s">
        <v>1310</v>
      </c>
      <c r="G12128" t="s">
        <v>226</v>
      </c>
    </row>
    <row r="12129" spans="1:7" x14ac:dyDescent="0.35">
      <c r="A12129" t="s">
        <v>227</v>
      </c>
      <c r="B12129" t="s">
        <v>2726</v>
      </c>
      <c r="C12129" s="2">
        <v>0.36799999999999999</v>
      </c>
      <c r="D12129" s="2">
        <v>0.37919999999999998</v>
      </c>
      <c r="E12129" s="2">
        <v>0.21859999999999999</v>
      </c>
      <c r="F12129" s="2">
        <v>3.4099999999999998E-2</v>
      </c>
      <c r="G12129">
        <v>873</v>
      </c>
    </row>
    <row r="12130" spans="1:7" x14ac:dyDescent="0.35">
      <c r="A12130" t="s">
        <v>227</v>
      </c>
      <c r="B12130" t="s">
        <v>2727</v>
      </c>
      <c r="C12130" s="2">
        <v>0.48259999999999997</v>
      </c>
      <c r="D12130" s="2">
        <v>0.1744</v>
      </c>
      <c r="E12130" s="2">
        <v>0.24959999999999999</v>
      </c>
      <c r="F12130" s="2">
        <v>9.3299999999999994E-2</v>
      </c>
      <c r="G12130">
        <v>237</v>
      </c>
    </row>
    <row r="12131" spans="1:7" x14ac:dyDescent="0.35">
      <c r="A12131" t="s">
        <v>227</v>
      </c>
      <c r="B12131" t="s">
        <v>2728</v>
      </c>
      <c r="C12131" s="2">
        <v>0.33260000000000001</v>
      </c>
      <c r="D12131" s="2">
        <v>0.29959999999999998</v>
      </c>
      <c r="E12131" s="2">
        <v>0.32150000000000001</v>
      </c>
      <c r="F12131" s="2">
        <v>4.6300000000000001E-2</v>
      </c>
      <c r="G12131">
        <v>1435</v>
      </c>
    </row>
    <row r="12132" spans="1:7" x14ac:dyDescent="0.35">
      <c r="A12132" t="s">
        <v>228</v>
      </c>
      <c r="B12132" t="s">
        <v>228</v>
      </c>
      <c r="C12132" s="2">
        <v>0.35639999999999999</v>
      </c>
      <c r="D12132" s="2">
        <v>0.31380000000000002</v>
      </c>
      <c r="E12132" s="2">
        <v>0.28320000000000001</v>
      </c>
      <c r="F12132" s="2">
        <v>4.6600000000000003E-2</v>
      </c>
      <c r="G12132">
        <v>2545</v>
      </c>
    </row>
    <row r="12134" spans="1:7" x14ac:dyDescent="0.35">
      <c r="A12134" s="1" t="s">
        <v>2761</v>
      </c>
    </row>
    <row r="12135" spans="1:7" x14ac:dyDescent="0.35">
      <c r="A12135" t="s">
        <v>219</v>
      </c>
      <c r="B12135" t="s">
        <v>301</v>
      </c>
      <c r="C12135" t="s">
        <v>298</v>
      </c>
      <c r="D12135" t="s">
        <v>299</v>
      </c>
      <c r="E12135" t="s">
        <v>277</v>
      </c>
      <c r="F12135" t="s">
        <v>282</v>
      </c>
      <c r="G12135" t="s">
        <v>226</v>
      </c>
    </row>
    <row r="12136" spans="1:7" x14ac:dyDescent="0.35">
      <c r="A12136" t="s">
        <v>227</v>
      </c>
      <c r="B12136" t="s">
        <v>2726</v>
      </c>
      <c r="C12136" s="2">
        <v>0.84079999999999999</v>
      </c>
      <c r="D12136" s="2">
        <v>0.14779999999999999</v>
      </c>
      <c r="E12136" s="2">
        <v>1.0999999999999999E-2</v>
      </c>
      <c r="F12136" s="2">
        <v>4.0000000000000002E-4</v>
      </c>
      <c r="G12136">
        <v>961</v>
      </c>
    </row>
    <row r="12137" spans="1:7" x14ac:dyDescent="0.35">
      <c r="A12137" t="s">
        <v>227</v>
      </c>
      <c r="B12137" t="s">
        <v>2727</v>
      </c>
      <c r="C12137" s="2">
        <v>0.88460000000000005</v>
      </c>
      <c r="D12137" s="2">
        <v>0.1154</v>
      </c>
      <c r="G12137">
        <v>270</v>
      </c>
    </row>
    <row r="12138" spans="1:7" x14ac:dyDescent="0.35">
      <c r="A12138" t="s">
        <v>227</v>
      </c>
      <c r="B12138" t="s">
        <v>2728</v>
      </c>
      <c r="C12138" s="2">
        <v>0.83979999999999999</v>
      </c>
      <c r="D12138" s="2">
        <v>0.1515</v>
      </c>
      <c r="E12138" s="2">
        <v>5.3E-3</v>
      </c>
      <c r="F12138" s="2">
        <v>3.3999999999999998E-3</v>
      </c>
      <c r="G12138">
        <v>1581</v>
      </c>
    </row>
    <row r="12139" spans="1:7" x14ac:dyDescent="0.35">
      <c r="A12139" t="s">
        <v>228</v>
      </c>
      <c r="B12139" t="s">
        <v>228</v>
      </c>
      <c r="C12139" s="2">
        <v>0.84379999999999999</v>
      </c>
      <c r="D12139" s="2">
        <v>0.14749999999999999</v>
      </c>
      <c r="E12139" s="2">
        <v>6.6E-3</v>
      </c>
      <c r="F12139" s="2">
        <v>2.0999999999999999E-3</v>
      </c>
      <c r="G12139">
        <v>2812</v>
      </c>
    </row>
    <row r="12141" spans="1:7" x14ac:dyDescent="0.35">
      <c r="A12141" s="1" t="s">
        <v>2762</v>
      </c>
    </row>
    <row r="12142" spans="1:7" x14ac:dyDescent="0.35">
      <c r="A12142" t="s">
        <v>219</v>
      </c>
      <c r="B12142" t="s">
        <v>301</v>
      </c>
      <c r="C12142" t="s">
        <v>1345</v>
      </c>
      <c r="D12142" t="s">
        <v>1346</v>
      </c>
      <c r="E12142" t="s">
        <v>1347</v>
      </c>
      <c r="F12142" t="s">
        <v>1348</v>
      </c>
      <c r="G12142" t="s">
        <v>226</v>
      </c>
    </row>
    <row r="12143" spans="1:7" x14ac:dyDescent="0.35">
      <c r="A12143" t="s">
        <v>227</v>
      </c>
      <c r="B12143" t="s">
        <v>2726</v>
      </c>
      <c r="C12143" s="2">
        <v>0.51559999999999995</v>
      </c>
      <c r="D12143" s="2">
        <v>0.22109999999999999</v>
      </c>
      <c r="E12143" s="2">
        <v>0.1976</v>
      </c>
      <c r="F12143" s="2">
        <v>6.5699999999999995E-2</v>
      </c>
      <c r="G12143">
        <v>320</v>
      </c>
    </row>
    <row r="12144" spans="1:7" x14ac:dyDescent="0.35">
      <c r="A12144" t="s">
        <v>227</v>
      </c>
      <c r="B12144" t="s">
        <v>2727</v>
      </c>
      <c r="C12144" s="2">
        <v>0.47189999999999999</v>
      </c>
      <c r="D12144" s="2">
        <v>0.37530000000000002</v>
      </c>
      <c r="E12144" s="2">
        <v>0.12959999999999999</v>
      </c>
      <c r="F12144" s="2">
        <v>2.3300000000000001E-2</v>
      </c>
      <c r="G12144">
        <v>74</v>
      </c>
    </row>
    <row r="12145" spans="1:7" x14ac:dyDescent="0.35">
      <c r="A12145" t="s">
        <v>227</v>
      </c>
      <c r="B12145" t="s">
        <v>2728</v>
      </c>
      <c r="C12145" s="2">
        <v>0.52139999999999997</v>
      </c>
      <c r="D12145" s="2">
        <v>0.27350000000000002</v>
      </c>
      <c r="E12145" s="2">
        <v>0.1142</v>
      </c>
      <c r="F12145" s="2">
        <v>9.0899999999999995E-2</v>
      </c>
      <c r="G12145">
        <v>469</v>
      </c>
    </row>
    <row r="12146" spans="1:7" x14ac:dyDescent="0.35">
      <c r="A12146" t="s">
        <v>228</v>
      </c>
      <c r="B12146" t="s">
        <v>228</v>
      </c>
      <c r="C12146" s="2">
        <v>0.51800000000000002</v>
      </c>
      <c r="D12146" s="2">
        <v>0.26350000000000001</v>
      </c>
      <c r="E12146" s="2">
        <v>0.14080000000000001</v>
      </c>
      <c r="F12146" s="2">
        <v>7.7700000000000005E-2</v>
      </c>
      <c r="G12146">
        <v>863</v>
      </c>
    </row>
    <row r="12148" spans="1:7" x14ac:dyDescent="0.35">
      <c r="A12148" s="1" t="s">
        <v>2763</v>
      </c>
    </row>
    <row r="12149" spans="1:7" x14ac:dyDescent="0.35">
      <c r="A12149" t="s">
        <v>219</v>
      </c>
      <c r="B12149" t="s">
        <v>301</v>
      </c>
      <c r="C12149" t="s">
        <v>299</v>
      </c>
      <c r="D12149" t="s">
        <v>298</v>
      </c>
      <c r="E12149" t="s">
        <v>277</v>
      </c>
      <c r="F12149" t="s">
        <v>282</v>
      </c>
      <c r="G12149" t="s">
        <v>226</v>
      </c>
    </row>
    <row r="12150" spans="1:7" x14ac:dyDescent="0.35">
      <c r="A12150" t="s">
        <v>227</v>
      </c>
      <c r="B12150" t="s">
        <v>2726</v>
      </c>
      <c r="C12150" s="2">
        <v>0.6018</v>
      </c>
      <c r="D12150" s="2">
        <v>0.39269999999999999</v>
      </c>
      <c r="E12150" s="2">
        <v>5.3E-3</v>
      </c>
      <c r="F12150" s="2">
        <v>2.0000000000000001E-4</v>
      </c>
      <c r="G12150">
        <v>939</v>
      </c>
    </row>
    <row r="12151" spans="1:7" x14ac:dyDescent="0.35">
      <c r="A12151" t="s">
        <v>227</v>
      </c>
      <c r="B12151" t="s">
        <v>2727</v>
      </c>
      <c r="C12151" s="2">
        <v>0.5575</v>
      </c>
      <c r="D12151" s="2">
        <v>0.4425</v>
      </c>
      <c r="G12151">
        <v>263</v>
      </c>
    </row>
    <row r="12152" spans="1:7" x14ac:dyDescent="0.35">
      <c r="A12152" t="s">
        <v>227</v>
      </c>
      <c r="B12152" t="s">
        <v>2728</v>
      </c>
      <c r="C12152" s="2">
        <v>0.63190000000000002</v>
      </c>
      <c r="D12152" s="2">
        <v>0.3629</v>
      </c>
      <c r="E12152" s="2">
        <v>4.5999999999999999E-3</v>
      </c>
      <c r="F12152" s="2">
        <v>5.9999999999999995E-4</v>
      </c>
      <c r="G12152">
        <v>1532</v>
      </c>
    </row>
    <row r="12153" spans="1:7" x14ac:dyDescent="0.35">
      <c r="A12153" t="s">
        <v>228</v>
      </c>
      <c r="B12153" t="s">
        <v>228</v>
      </c>
      <c r="C12153" s="2">
        <v>0.61570000000000003</v>
      </c>
      <c r="D12153" s="2">
        <v>0.3795</v>
      </c>
      <c r="E12153" s="2">
        <v>4.4000000000000003E-3</v>
      </c>
      <c r="F12153" s="2">
        <v>4.0000000000000002E-4</v>
      </c>
      <c r="G12153">
        <v>2734</v>
      </c>
    </row>
    <row r="12155" spans="1:7" x14ac:dyDescent="0.35">
      <c r="A12155" s="1" t="s">
        <v>2764</v>
      </c>
    </row>
    <row r="12156" spans="1:7" x14ac:dyDescent="0.35">
      <c r="A12156" t="s">
        <v>219</v>
      </c>
      <c r="B12156" t="s">
        <v>301</v>
      </c>
      <c r="C12156" t="s">
        <v>1345</v>
      </c>
      <c r="D12156" t="s">
        <v>1346</v>
      </c>
      <c r="E12156" t="s">
        <v>1347</v>
      </c>
      <c r="F12156" t="s">
        <v>1348</v>
      </c>
      <c r="G12156" t="s">
        <v>226</v>
      </c>
    </row>
    <row r="12157" spans="1:7" x14ac:dyDescent="0.35">
      <c r="A12157" t="s">
        <v>227</v>
      </c>
      <c r="B12157" t="s">
        <v>2726</v>
      </c>
      <c r="C12157" s="2">
        <v>0.40770000000000001</v>
      </c>
      <c r="D12157" s="2">
        <v>0.23100000000000001</v>
      </c>
      <c r="E12157" s="2">
        <v>0.2152</v>
      </c>
      <c r="F12157" s="2">
        <v>0.14610000000000001</v>
      </c>
      <c r="G12157">
        <v>696</v>
      </c>
    </row>
    <row r="12158" spans="1:7" x14ac:dyDescent="0.35">
      <c r="A12158" t="s">
        <v>227</v>
      </c>
      <c r="B12158" t="s">
        <v>2727</v>
      </c>
      <c r="C12158" s="2">
        <v>0.4304</v>
      </c>
      <c r="D12158" s="2">
        <v>0.13600000000000001</v>
      </c>
      <c r="E12158" s="2">
        <v>0.27689999999999998</v>
      </c>
      <c r="F12158" s="2">
        <v>0.15670000000000001</v>
      </c>
      <c r="G12158">
        <v>192</v>
      </c>
    </row>
    <row r="12159" spans="1:7" x14ac:dyDescent="0.35">
      <c r="A12159" t="s">
        <v>227</v>
      </c>
      <c r="B12159" t="s">
        <v>2728</v>
      </c>
      <c r="C12159" s="2">
        <v>0.46889999999999998</v>
      </c>
      <c r="D12159" s="2">
        <v>0.21870000000000001</v>
      </c>
      <c r="E12159" s="2">
        <v>0.17050000000000001</v>
      </c>
      <c r="F12159" s="2">
        <v>0.1419</v>
      </c>
      <c r="G12159">
        <v>1115</v>
      </c>
    </row>
    <row r="12160" spans="1:7" x14ac:dyDescent="0.35">
      <c r="A12160" t="s">
        <v>228</v>
      </c>
      <c r="B12160" t="s">
        <v>228</v>
      </c>
      <c r="C12160" s="2">
        <v>0.4476</v>
      </c>
      <c r="D12160" s="2">
        <v>0.215</v>
      </c>
      <c r="E12160" s="2">
        <v>0.19309999999999999</v>
      </c>
      <c r="F12160" s="2">
        <v>0.14430000000000001</v>
      </c>
      <c r="G12160">
        <v>2003</v>
      </c>
    </row>
    <row r="12162" spans="1:16" x14ac:dyDescent="0.35">
      <c r="A12162" s="1" t="s">
        <v>2765</v>
      </c>
    </row>
    <row r="12163" spans="1:16" x14ac:dyDescent="0.35">
      <c r="A12163" t="s">
        <v>219</v>
      </c>
      <c r="B12163" t="s">
        <v>301</v>
      </c>
      <c r="C12163" t="s">
        <v>540</v>
      </c>
      <c r="D12163" t="s">
        <v>1394</v>
      </c>
      <c r="E12163" t="s">
        <v>277</v>
      </c>
      <c r="F12163" t="s">
        <v>1395</v>
      </c>
      <c r="G12163" t="s">
        <v>1396</v>
      </c>
      <c r="H12163" t="s">
        <v>1397</v>
      </c>
      <c r="I12163" t="s">
        <v>1398</v>
      </c>
      <c r="J12163" t="s">
        <v>1399</v>
      </c>
      <c r="K12163" t="s">
        <v>282</v>
      </c>
      <c r="L12163" t="s">
        <v>1400</v>
      </c>
      <c r="M12163" t="s">
        <v>1401</v>
      </c>
      <c r="N12163" t="s">
        <v>1402</v>
      </c>
      <c r="O12163" t="s">
        <v>318</v>
      </c>
      <c r="P12163" t="s">
        <v>226</v>
      </c>
    </row>
    <row r="12164" spans="1:16" x14ac:dyDescent="0.35">
      <c r="A12164" t="s">
        <v>227</v>
      </c>
      <c r="B12164" t="s">
        <v>2726</v>
      </c>
      <c r="C12164" s="2">
        <v>0.88739999999999997</v>
      </c>
      <c r="D12164" s="2">
        <v>2.3E-2</v>
      </c>
      <c r="E12164" s="2">
        <v>5.5E-2</v>
      </c>
      <c r="F12164" s="2">
        <v>1.4800000000000001E-2</v>
      </c>
      <c r="G12164" s="2">
        <v>1.1900000000000001E-2</v>
      </c>
      <c r="H12164" s="2">
        <v>5.3E-3</v>
      </c>
      <c r="I12164" s="2">
        <v>4.8999999999999998E-3</v>
      </c>
      <c r="J12164" s="2">
        <v>7.3000000000000001E-3</v>
      </c>
      <c r="K12164" s="2">
        <v>2.0000000000000001E-4</v>
      </c>
      <c r="L12164" s="2">
        <v>2.0000000000000001E-4</v>
      </c>
      <c r="P12164">
        <v>938</v>
      </c>
    </row>
    <row r="12165" spans="1:16" x14ac:dyDescent="0.35">
      <c r="A12165" t="s">
        <v>227</v>
      </c>
      <c r="B12165" t="s">
        <v>2727</v>
      </c>
      <c r="C12165" s="2">
        <v>0.89370000000000005</v>
      </c>
      <c r="D12165" s="2">
        <v>6.8099999999999994E-2</v>
      </c>
      <c r="E12165" s="2">
        <v>1.47E-2</v>
      </c>
      <c r="F12165" s="2">
        <v>3.5999999999999999E-3</v>
      </c>
      <c r="G12165" s="2">
        <v>5.1000000000000004E-3</v>
      </c>
      <c r="H12165" s="2">
        <v>1.2699999999999999E-2</v>
      </c>
      <c r="I12165" s="2">
        <v>1.0699999999999999E-2</v>
      </c>
      <c r="J12165" s="2">
        <v>8.0999999999999996E-3</v>
      </c>
      <c r="L12165" s="2">
        <v>2.5000000000000001E-3</v>
      </c>
      <c r="N12165" s="2">
        <v>2.5000000000000001E-3</v>
      </c>
      <c r="P12165">
        <v>264</v>
      </c>
    </row>
    <row r="12166" spans="1:16" x14ac:dyDescent="0.35">
      <c r="A12166" t="s">
        <v>227</v>
      </c>
      <c r="B12166" t="s">
        <v>2728</v>
      </c>
      <c r="C12166" s="2">
        <v>0.9264</v>
      </c>
      <c r="D12166" s="2">
        <v>2.7400000000000001E-2</v>
      </c>
      <c r="E12166" s="2">
        <v>1.66E-2</v>
      </c>
      <c r="F12166" s="2">
        <v>1.09E-2</v>
      </c>
      <c r="G12166" s="2">
        <v>9.2999999999999992E-3</v>
      </c>
      <c r="H12166" s="2">
        <v>8.2000000000000007E-3</v>
      </c>
      <c r="I12166" s="2">
        <v>4.3E-3</v>
      </c>
      <c r="J12166" s="2">
        <v>2E-3</v>
      </c>
      <c r="K12166" s="2">
        <v>5.8999999999999999E-3</v>
      </c>
      <c r="L12166" s="2">
        <v>2.3999999999999998E-3</v>
      </c>
      <c r="M12166" s="2">
        <v>1.5E-3</v>
      </c>
      <c r="N12166" s="2">
        <v>5.9999999999999995E-4</v>
      </c>
      <c r="O12166" s="2">
        <v>5.9999999999999995E-4</v>
      </c>
      <c r="P12166">
        <v>1543</v>
      </c>
    </row>
    <row r="12167" spans="1:16" x14ac:dyDescent="0.35">
      <c r="A12167" t="s">
        <v>228</v>
      </c>
      <c r="B12167" t="s">
        <v>228</v>
      </c>
      <c r="C12167" s="2">
        <v>0.91120000000000001</v>
      </c>
      <c r="D12167" s="2">
        <v>2.9899999999999999E-2</v>
      </c>
      <c r="E12167" s="2">
        <v>2.8400000000000002E-2</v>
      </c>
      <c r="F12167" s="2">
        <v>1.14E-2</v>
      </c>
      <c r="G12167" s="2">
        <v>9.7000000000000003E-3</v>
      </c>
      <c r="H12167" s="2">
        <v>7.7000000000000002E-3</v>
      </c>
      <c r="I12167" s="2">
        <v>5.1000000000000004E-3</v>
      </c>
      <c r="J12167" s="2">
        <v>4.1999999999999997E-3</v>
      </c>
      <c r="K12167" s="2">
        <v>3.5000000000000001E-3</v>
      </c>
      <c r="L12167" s="2">
        <v>1.6999999999999999E-3</v>
      </c>
      <c r="M12167" s="2">
        <v>8.9999999999999998E-4</v>
      </c>
      <c r="N12167" s="2">
        <v>5.9999999999999995E-4</v>
      </c>
      <c r="O12167" s="2">
        <v>4.0000000000000002E-4</v>
      </c>
      <c r="P12167">
        <v>2745</v>
      </c>
    </row>
    <row r="12169" spans="1:16" x14ac:dyDescent="0.35">
      <c r="A12169" s="1" t="s">
        <v>2766</v>
      </c>
    </row>
    <row r="12170" spans="1:16" x14ac:dyDescent="0.35">
      <c r="A12170" t="s">
        <v>219</v>
      </c>
      <c r="B12170" t="s">
        <v>301</v>
      </c>
      <c r="C12170" t="s">
        <v>1418</v>
      </c>
      <c r="D12170" t="s">
        <v>1419</v>
      </c>
      <c r="E12170" t="s">
        <v>1420</v>
      </c>
      <c r="F12170" t="s">
        <v>1421</v>
      </c>
      <c r="G12170" t="s">
        <v>277</v>
      </c>
      <c r="H12170" t="s">
        <v>282</v>
      </c>
      <c r="I12170" t="s">
        <v>226</v>
      </c>
    </row>
    <row r="12171" spans="1:16" x14ac:dyDescent="0.35">
      <c r="A12171" t="s">
        <v>227</v>
      </c>
      <c r="B12171" t="s">
        <v>2726</v>
      </c>
      <c r="C12171" s="2">
        <v>0.87709999999999999</v>
      </c>
      <c r="D12171" s="2">
        <v>6.3700000000000007E-2</v>
      </c>
      <c r="E12171" s="2">
        <v>3.0499999999999999E-2</v>
      </c>
      <c r="F12171" s="2">
        <v>1.26E-2</v>
      </c>
      <c r="G12171" s="2">
        <v>1.37E-2</v>
      </c>
      <c r="H12171" s="2">
        <v>2.3999999999999998E-3</v>
      </c>
      <c r="I12171">
        <v>961</v>
      </c>
    </row>
    <row r="12172" spans="1:16" x14ac:dyDescent="0.35">
      <c r="A12172" t="s">
        <v>227</v>
      </c>
      <c r="B12172" t="s">
        <v>2727</v>
      </c>
      <c r="C12172" s="2">
        <v>0.89290000000000003</v>
      </c>
      <c r="D12172" s="2">
        <v>5.8000000000000003E-2</v>
      </c>
      <c r="E12172" s="2">
        <v>1.5299999999999999E-2</v>
      </c>
      <c r="F12172" s="2">
        <v>2.53E-2</v>
      </c>
      <c r="G12172" s="2">
        <v>8.5000000000000006E-3</v>
      </c>
      <c r="I12172">
        <v>270</v>
      </c>
    </row>
    <row r="12173" spans="1:16" x14ac:dyDescent="0.35">
      <c r="A12173" t="s">
        <v>227</v>
      </c>
      <c r="B12173" t="s">
        <v>2728</v>
      </c>
      <c r="C12173" s="2">
        <v>0.84609999999999996</v>
      </c>
      <c r="D12173" s="2">
        <v>8.3000000000000004E-2</v>
      </c>
      <c r="E12173" s="2">
        <v>3.85E-2</v>
      </c>
      <c r="F12173" s="2">
        <v>1.2999999999999999E-2</v>
      </c>
      <c r="G12173" s="2">
        <v>1.4200000000000001E-2</v>
      </c>
      <c r="H12173" s="2">
        <v>5.1000000000000004E-3</v>
      </c>
      <c r="I12173">
        <v>1581</v>
      </c>
    </row>
    <row r="12174" spans="1:16" x14ac:dyDescent="0.35">
      <c r="A12174" t="s">
        <v>228</v>
      </c>
      <c r="B12174" t="s">
        <v>228</v>
      </c>
      <c r="C12174" s="2">
        <v>0.86029999999999995</v>
      </c>
      <c r="D12174" s="2">
        <v>7.46E-2</v>
      </c>
      <c r="E12174" s="2">
        <v>3.3799999999999997E-2</v>
      </c>
      <c r="F12174" s="2">
        <v>1.4E-2</v>
      </c>
      <c r="G12174" s="2">
        <v>1.35E-2</v>
      </c>
      <c r="H12174" s="2">
        <v>3.7000000000000002E-3</v>
      </c>
      <c r="I12174">
        <v>2812</v>
      </c>
    </row>
    <row r="12176" spans="1:16" x14ac:dyDescent="0.35">
      <c r="A12176" s="1" t="s">
        <v>2767</v>
      </c>
    </row>
    <row r="12177" spans="1:9" x14ac:dyDescent="0.35">
      <c r="A12177" t="s">
        <v>219</v>
      </c>
      <c r="B12177" t="s">
        <v>301</v>
      </c>
      <c r="C12177" t="s">
        <v>1418</v>
      </c>
      <c r="D12177" t="s">
        <v>1419</v>
      </c>
      <c r="E12177" t="s">
        <v>1420</v>
      </c>
      <c r="F12177" t="s">
        <v>1421</v>
      </c>
      <c r="G12177" t="s">
        <v>277</v>
      </c>
      <c r="H12177" t="s">
        <v>282</v>
      </c>
      <c r="I12177" t="s">
        <v>226</v>
      </c>
    </row>
    <row r="12178" spans="1:9" x14ac:dyDescent="0.35">
      <c r="A12178" t="s">
        <v>227</v>
      </c>
      <c r="B12178" t="s">
        <v>2726</v>
      </c>
      <c r="C12178" s="2">
        <v>0.79549999999999998</v>
      </c>
      <c r="D12178" s="2">
        <v>0.1019</v>
      </c>
      <c r="E12178" s="2">
        <v>3.9600000000000003E-2</v>
      </c>
      <c r="F12178" s="2">
        <v>5.04E-2</v>
      </c>
      <c r="G12178" s="2">
        <v>7.3000000000000001E-3</v>
      </c>
      <c r="H12178" s="2">
        <v>5.1999999999999998E-3</v>
      </c>
      <c r="I12178">
        <v>961</v>
      </c>
    </row>
    <row r="12179" spans="1:9" x14ac:dyDescent="0.35">
      <c r="A12179" t="s">
        <v>227</v>
      </c>
      <c r="B12179" t="s">
        <v>2727</v>
      </c>
      <c r="C12179" s="2">
        <v>0.83189999999999997</v>
      </c>
      <c r="D12179" s="2">
        <v>5.6899999999999999E-2</v>
      </c>
      <c r="E12179" s="2">
        <v>5.4699999999999999E-2</v>
      </c>
      <c r="F12179" s="2">
        <v>5.1499999999999997E-2</v>
      </c>
      <c r="G12179" s="2">
        <v>3.8E-3</v>
      </c>
      <c r="H12179" s="2">
        <v>1.1000000000000001E-3</v>
      </c>
      <c r="I12179">
        <v>270</v>
      </c>
    </row>
    <row r="12180" spans="1:9" x14ac:dyDescent="0.35">
      <c r="A12180" t="s">
        <v>227</v>
      </c>
      <c r="B12180" t="s">
        <v>2728</v>
      </c>
      <c r="C12180" s="2">
        <v>0.78249999999999997</v>
      </c>
      <c r="D12180" s="2">
        <v>0.1023</v>
      </c>
      <c r="E12180" s="2">
        <v>5.67E-2</v>
      </c>
      <c r="F12180" s="2">
        <v>5.0200000000000002E-2</v>
      </c>
      <c r="G12180" s="2">
        <v>8.2000000000000007E-3</v>
      </c>
      <c r="H12180" s="2">
        <v>2.0000000000000001E-4</v>
      </c>
      <c r="I12180">
        <v>1581</v>
      </c>
    </row>
    <row r="12181" spans="1:9" x14ac:dyDescent="0.35">
      <c r="A12181" t="s">
        <v>228</v>
      </c>
      <c r="B12181" t="s">
        <v>228</v>
      </c>
      <c r="C12181" s="2">
        <v>0.79069999999999996</v>
      </c>
      <c r="D12181" s="2">
        <v>9.7799999999999998E-2</v>
      </c>
      <c r="E12181" s="2">
        <v>5.1799999999999999E-2</v>
      </c>
      <c r="F12181" s="2">
        <v>5.04E-2</v>
      </c>
      <c r="G12181" s="2">
        <v>7.4999999999999997E-3</v>
      </c>
      <c r="H12181" s="2">
        <v>1.8E-3</v>
      </c>
      <c r="I12181">
        <v>2812</v>
      </c>
    </row>
    <row r="12183" spans="1:9" x14ac:dyDescent="0.35">
      <c r="A12183" s="1" t="s">
        <v>2768</v>
      </c>
    </row>
    <row r="12184" spans="1:9" x14ac:dyDescent="0.35">
      <c r="A12184" t="s">
        <v>219</v>
      </c>
      <c r="B12184" t="s">
        <v>301</v>
      </c>
      <c r="C12184" t="s">
        <v>1418</v>
      </c>
      <c r="D12184" t="s">
        <v>1421</v>
      </c>
      <c r="E12184" t="s">
        <v>277</v>
      </c>
      <c r="F12184" t="s">
        <v>1420</v>
      </c>
      <c r="G12184" t="s">
        <v>1419</v>
      </c>
      <c r="H12184" t="s">
        <v>282</v>
      </c>
      <c r="I12184" t="s">
        <v>226</v>
      </c>
    </row>
    <row r="12185" spans="1:9" x14ac:dyDescent="0.35">
      <c r="A12185" t="s">
        <v>227</v>
      </c>
      <c r="B12185" t="s">
        <v>2726</v>
      </c>
      <c r="C12185" s="2">
        <v>0.91139999999999999</v>
      </c>
      <c r="D12185" s="2">
        <v>3.85E-2</v>
      </c>
      <c r="E12185" s="2">
        <v>1.9900000000000001E-2</v>
      </c>
      <c r="F12185" s="2">
        <v>2.1700000000000001E-2</v>
      </c>
      <c r="G12185" s="2">
        <v>6.1999999999999998E-3</v>
      </c>
      <c r="H12185" s="2">
        <v>2.3E-3</v>
      </c>
      <c r="I12185">
        <v>961</v>
      </c>
    </row>
    <row r="12186" spans="1:9" x14ac:dyDescent="0.35">
      <c r="A12186" t="s">
        <v>227</v>
      </c>
      <c r="B12186" t="s">
        <v>2727</v>
      </c>
      <c r="C12186" s="2">
        <v>0.92269999999999996</v>
      </c>
      <c r="D12186" s="2">
        <v>1.9300000000000001E-2</v>
      </c>
      <c r="E12186" s="2">
        <v>5.5999999999999999E-3</v>
      </c>
      <c r="F12186" s="2">
        <v>1.9699999999999999E-2</v>
      </c>
      <c r="G12186" s="2">
        <v>3.27E-2</v>
      </c>
      <c r="I12186">
        <v>270</v>
      </c>
    </row>
    <row r="12187" spans="1:9" x14ac:dyDescent="0.35">
      <c r="A12187" t="s">
        <v>227</v>
      </c>
      <c r="B12187" t="s">
        <v>2728</v>
      </c>
      <c r="C12187" s="2">
        <v>0.91839999999999999</v>
      </c>
      <c r="D12187" s="2">
        <v>1.66E-2</v>
      </c>
      <c r="E12187" s="2">
        <v>2.7099999999999999E-2</v>
      </c>
      <c r="F12187" s="2">
        <v>2.3599999999999999E-2</v>
      </c>
      <c r="G12187" s="2">
        <v>1.41E-2</v>
      </c>
      <c r="H12187" s="2">
        <v>2.0000000000000001E-4</v>
      </c>
      <c r="I12187">
        <v>1581</v>
      </c>
    </row>
    <row r="12188" spans="1:9" x14ac:dyDescent="0.35">
      <c r="A12188" t="s">
        <v>228</v>
      </c>
      <c r="B12188" t="s">
        <v>228</v>
      </c>
      <c r="C12188" s="2">
        <v>0.91669999999999996</v>
      </c>
      <c r="D12188" s="2">
        <v>2.3599999999999999E-2</v>
      </c>
      <c r="E12188" s="2">
        <v>2.29E-2</v>
      </c>
      <c r="F12188" s="2">
        <v>2.2700000000000001E-2</v>
      </c>
      <c r="G12188" s="2">
        <v>1.3299999999999999E-2</v>
      </c>
      <c r="H12188" s="2">
        <v>8.9999999999999998E-4</v>
      </c>
      <c r="I12188">
        <v>2812</v>
      </c>
    </row>
    <row r="12190" spans="1:9" x14ac:dyDescent="0.35">
      <c r="A12190" s="1" t="s">
        <v>2769</v>
      </c>
    </row>
    <row r="12191" spans="1:9" x14ac:dyDescent="0.35">
      <c r="A12191" t="s">
        <v>219</v>
      </c>
      <c r="B12191" t="s">
        <v>301</v>
      </c>
      <c r="C12191" t="s">
        <v>1418</v>
      </c>
      <c r="D12191" t="s">
        <v>1420</v>
      </c>
      <c r="E12191" t="s">
        <v>1419</v>
      </c>
      <c r="F12191" t="s">
        <v>1421</v>
      </c>
      <c r="G12191" t="s">
        <v>277</v>
      </c>
      <c r="H12191" t="s">
        <v>282</v>
      </c>
      <c r="I12191" t="s">
        <v>226</v>
      </c>
    </row>
    <row r="12192" spans="1:9" x14ac:dyDescent="0.35">
      <c r="A12192" t="s">
        <v>227</v>
      </c>
      <c r="B12192" t="s">
        <v>2726</v>
      </c>
      <c r="C12192" s="2">
        <v>0.95779999999999998</v>
      </c>
      <c r="D12192" s="2">
        <v>0.01</v>
      </c>
      <c r="E12192" s="2">
        <v>8.6E-3</v>
      </c>
      <c r="F12192" s="2">
        <v>2.1000000000000001E-2</v>
      </c>
      <c r="G12192" s="2">
        <v>2.5000000000000001E-3</v>
      </c>
      <c r="I12192">
        <v>961</v>
      </c>
    </row>
    <row r="12193" spans="1:16" x14ac:dyDescent="0.35">
      <c r="A12193" t="s">
        <v>227</v>
      </c>
      <c r="B12193" t="s">
        <v>2727</v>
      </c>
      <c r="C12193" s="2">
        <v>0.87780000000000002</v>
      </c>
      <c r="D12193" s="2">
        <v>3.9699999999999999E-2</v>
      </c>
      <c r="E12193" s="2">
        <v>3.7100000000000001E-2</v>
      </c>
      <c r="F12193" s="2">
        <v>2.0899999999999998E-2</v>
      </c>
      <c r="G12193" s="2">
        <v>2.2100000000000002E-2</v>
      </c>
      <c r="H12193" s="2">
        <v>2.3999999999999998E-3</v>
      </c>
      <c r="I12193">
        <v>270</v>
      </c>
    </row>
    <row r="12194" spans="1:16" x14ac:dyDescent="0.35">
      <c r="A12194" t="s">
        <v>227</v>
      </c>
      <c r="B12194" t="s">
        <v>2728</v>
      </c>
      <c r="C12194" s="2">
        <v>0.93340000000000001</v>
      </c>
      <c r="D12194" s="2">
        <v>3.0300000000000001E-2</v>
      </c>
      <c r="E12194" s="2">
        <v>2.3900000000000001E-2</v>
      </c>
      <c r="F12194" s="2">
        <v>9.1000000000000004E-3</v>
      </c>
      <c r="G12194" s="2">
        <v>2.5000000000000001E-3</v>
      </c>
      <c r="H12194" s="2">
        <v>8.0000000000000004E-4</v>
      </c>
      <c r="I12194">
        <v>1581</v>
      </c>
    </row>
    <row r="12195" spans="1:16" x14ac:dyDescent="0.35">
      <c r="A12195" t="s">
        <v>228</v>
      </c>
      <c r="B12195" t="s">
        <v>228</v>
      </c>
      <c r="C12195" s="2">
        <v>0.93579999999999997</v>
      </c>
      <c r="D12195" s="2">
        <v>2.4899999999999999E-2</v>
      </c>
      <c r="E12195" s="2">
        <v>2.0400000000000001E-2</v>
      </c>
      <c r="F12195" s="2">
        <v>1.3899999999999999E-2</v>
      </c>
      <c r="G12195" s="2">
        <v>4.4000000000000003E-3</v>
      </c>
      <c r="H12195" s="2">
        <v>6.9999999999999999E-4</v>
      </c>
      <c r="I12195">
        <v>2812</v>
      </c>
    </row>
    <row r="12197" spans="1:16" x14ac:dyDescent="0.35">
      <c r="A12197" s="1" t="s">
        <v>2770</v>
      </c>
    </row>
    <row r="12198" spans="1:16" x14ac:dyDescent="0.35">
      <c r="A12198" t="s">
        <v>219</v>
      </c>
      <c r="B12198" t="s">
        <v>301</v>
      </c>
      <c r="C12198" t="s">
        <v>1418</v>
      </c>
      <c r="D12198" t="s">
        <v>1419</v>
      </c>
      <c r="E12198" t="s">
        <v>1421</v>
      </c>
      <c r="F12198" t="s">
        <v>277</v>
      </c>
      <c r="G12198" t="s">
        <v>1420</v>
      </c>
      <c r="H12198" t="s">
        <v>282</v>
      </c>
      <c r="I12198" t="s">
        <v>226</v>
      </c>
    </row>
    <row r="12199" spans="1:16" x14ac:dyDescent="0.35">
      <c r="A12199" t="s">
        <v>227</v>
      </c>
      <c r="B12199" t="s">
        <v>2726</v>
      </c>
      <c r="C12199" s="2">
        <v>0.97599999999999998</v>
      </c>
      <c r="D12199" s="2">
        <v>4.1000000000000003E-3</v>
      </c>
      <c r="E12199" s="2">
        <v>2.7000000000000001E-3</v>
      </c>
      <c r="F12199" s="2">
        <v>8.6E-3</v>
      </c>
      <c r="G12199" s="2">
        <v>5.1000000000000004E-3</v>
      </c>
      <c r="H12199" s="2">
        <v>3.5000000000000001E-3</v>
      </c>
      <c r="I12199">
        <v>961</v>
      </c>
    </row>
    <row r="12200" spans="1:16" x14ac:dyDescent="0.35">
      <c r="A12200" t="s">
        <v>227</v>
      </c>
      <c r="B12200" t="s">
        <v>2727</v>
      </c>
      <c r="C12200" s="2">
        <v>0.9446</v>
      </c>
      <c r="D12200" s="2">
        <v>2.3099999999999999E-2</v>
      </c>
      <c r="E12200" s="2">
        <v>1.34E-2</v>
      </c>
      <c r="F12200" s="2">
        <v>1.5699999999999999E-2</v>
      </c>
      <c r="G12200" s="2">
        <v>3.3E-3</v>
      </c>
      <c r="I12200">
        <v>270</v>
      </c>
    </row>
    <row r="12201" spans="1:16" x14ac:dyDescent="0.35">
      <c r="A12201" t="s">
        <v>227</v>
      </c>
      <c r="B12201" t="s">
        <v>2728</v>
      </c>
      <c r="C12201" s="2">
        <v>0.96840000000000004</v>
      </c>
      <c r="D12201" s="2">
        <v>1.1900000000000001E-2</v>
      </c>
      <c r="E12201" s="2">
        <v>1.0200000000000001E-2</v>
      </c>
      <c r="F12201" s="2">
        <v>3.2000000000000002E-3</v>
      </c>
      <c r="G12201" s="2">
        <v>6.1000000000000004E-3</v>
      </c>
      <c r="H12201" s="2">
        <v>2.0000000000000001E-4</v>
      </c>
      <c r="I12201">
        <v>1581</v>
      </c>
    </row>
    <row r="12202" spans="1:16" x14ac:dyDescent="0.35">
      <c r="A12202" t="s">
        <v>228</v>
      </c>
      <c r="B12202" t="s">
        <v>228</v>
      </c>
      <c r="C12202" s="2">
        <v>0.96850000000000003</v>
      </c>
      <c r="D12202" s="2">
        <v>1.0500000000000001E-2</v>
      </c>
      <c r="E12202" s="2">
        <v>8.2000000000000007E-3</v>
      </c>
      <c r="F12202" s="2">
        <v>6.0000000000000001E-3</v>
      </c>
      <c r="G12202" s="2">
        <v>5.5999999999999999E-3</v>
      </c>
      <c r="H12202" s="2">
        <v>1.1999999999999999E-3</v>
      </c>
      <c r="I12202">
        <v>2812</v>
      </c>
    </row>
    <row r="12204" spans="1:16" x14ac:dyDescent="0.35">
      <c r="A12204" s="1" t="s">
        <v>2771</v>
      </c>
    </row>
    <row r="12205" spans="1:16" x14ac:dyDescent="0.35">
      <c r="A12205" t="s">
        <v>219</v>
      </c>
      <c r="B12205" t="s">
        <v>301</v>
      </c>
      <c r="C12205" t="s">
        <v>540</v>
      </c>
      <c r="D12205" t="s">
        <v>277</v>
      </c>
      <c r="E12205" t="s">
        <v>1397</v>
      </c>
      <c r="F12205" t="s">
        <v>1396</v>
      </c>
      <c r="G12205" t="s">
        <v>1395</v>
      </c>
      <c r="H12205" t="s">
        <v>1398</v>
      </c>
      <c r="I12205" t="s">
        <v>1497</v>
      </c>
      <c r="J12205" t="s">
        <v>1498</v>
      </c>
      <c r="K12205" t="s">
        <v>282</v>
      </c>
      <c r="L12205" t="s">
        <v>1400</v>
      </c>
      <c r="M12205" t="s">
        <v>318</v>
      </c>
      <c r="N12205" t="s">
        <v>1402</v>
      </c>
      <c r="O12205" t="s">
        <v>1401</v>
      </c>
      <c r="P12205" t="s">
        <v>226</v>
      </c>
    </row>
    <row r="12206" spans="1:16" x14ac:dyDescent="0.35">
      <c r="A12206" t="s">
        <v>227</v>
      </c>
      <c r="B12206" t="s">
        <v>2726</v>
      </c>
      <c r="C12206" s="2">
        <v>0.68940000000000001</v>
      </c>
      <c r="D12206" s="2">
        <v>0.1759</v>
      </c>
      <c r="E12206" s="2">
        <v>6.1600000000000002E-2</v>
      </c>
      <c r="F12206" s="2">
        <v>4.7300000000000002E-2</v>
      </c>
      <c r="G12206" s="2">
        <v>1.9699999999999999E-2</v>
      </c>
      <c r="H12206" s="2">
        <v>2.1600000000000001E-2</v>
      </c>
      <c r="I12206" s="2">
        <v>7.4000000000000003E-3</v>
      </c>
      <c r="J12206" s="2">
        <v>1.23E-2</v>
      </c>
      <c r="K12206" s="2">
        <v>2.5999999999999999E-3</v>
      </c>
      <c r="L12206" s="2">
        <v>2.7000000000000001E-3</v>
      </c>
      <c r="N12206" s="2">
        <v>1E-4</v>
      </c>
      <c r="O12206" s="2">
        <v>2.0000000000000001E-4</v>
      </c>
      <c r="P12206">
        <v>940</v>
      </c>
    </row>
    <row r="12207" spans="1:16" x14ac:dyDescent="0.35">
      <c r="A12207" t="s">
        <v>227</v>
      </c>
      <c r="B12207" t="s">
        <v>2727</v>
      </c>
      <c r="C12207" s="2">
        <v>0.65490000000000004</v>
      </c>
      <c r="D12207" s="2">
        <v>0.2301</v>
      </c>
      <c r="E12207" s="2">
        <v>6.0699999999999997E-2</v>
      </c>
      <c r="F12207" s="2">
        <v>3.1600000000000003E-2</v>
      </c>
      <c r="G12207" s="2">
        <v>5.0000000000000001E-3</v>
      </c>
      <c r="H12207" s="2">
        <v>3.0999999999999999E-3</v>
      </c>
      <c r="I12207" s="2">
        <v>3.8199999999999998E-2</v>
      </c>
      <c r="J12207" s="2">
        <v>5.3E-3</v>
      </c>
      <c r="K12207" s="2">
        <v>2.9999999999999997E-4</v>
      </c>
      <c r="L12207" s="2">
        <v>1.1000000000000001E-3</v>
      </c>
      <c r="N12207" s="2">
        <v>1.1000000000000001E-3</v>
      </c>
      <c r="O12207" s="2">
        <v>1.1000000000000001E-3</v>
      </c>
      <c r="P12207">
        <v>265</v>
      </c>
    </row>
    <row r="12208" spans="1:16" x14ac:dyDescent="0.35">
      <c r="A12208" t="s">
        <v>227</v>
      </c>
      <c r="B12208" t="s">
        <v>2728</v>
      </c>
      <c r="C12208" s="2">
        <v>0.74019999999999997</v>
      </c>
      <c r="D12208" s="2">
        <v>0.1552</v>
      </c>
      <c r="E12208" s="2">
        <v>4.1599999999999998E-2</v>
      </c>
      <c r="F12208" s="2">
        <v>2.1899999999999999E-2</v>
      </c>
      <c r="G12208" s="2">
        <v>2.5899999999999999E-2</v>
      </c>
      <c r="H12208" s="2">
        <v>1.72E-2</v>
      </c>
      <c r="I12208" s="2">
        <v>5.0000000000000001E-3</v>
      </c>
      <c r="J12208" s="2">
        <v>6.4999999999999997E-3</v>
      </c>
      <c r="K12208" s="2">
        <v>4.0000000000000001E-3</v>
      </c>
      <c r="L12208" s="2">
        <v>1.1999999999999999E-3</v>
      </c>
      <c r="M12208" s="2">
        <v>2.8E-3</v>
      </c>
      <c r="N12208" s="2">
        <v>1.1999999999999999E-3</v>
      </c>
      <c r="O12208" s="2">
        <v>1E-3</v>
      </c>
      <c r="P12208">
        <v>1535</v>
      </c>
    </row>
    <row r="12209" spans="1:19" x14ac:dyDescent="0.35">
      <c r="A12209" t="s">
        <v>228</v>
      </c>
      <c r="B12209" t="s">
        <v>228</v>
      </c>
      <c r="C12209" s="2">
        <v>0.71640000000000004</v>
      </c>
      <c r="D12209" s="2">
        <v>0.16869999999999999</v>
      </c>
      <c r="E12209" s="2">
        <v>4.9599999999999998E-2</v>
      </c>
      <c r="F12209" s="2">
        <v>3.0700000000000002E-2</v>
      </c>
      <c r="G12209" s="2">
        <v>2.1999999999999999E-2</v>
      </c>
      <c r="H12209" s="2">
        <v>1.72E-2</v>
      </c>
      <c r="I12209" s="2">
        <v>8.8999999999999999E-3</v>
      </c>
      <c r="J12209" s="2">
        <v>8.2000000000000007E-3</v>
      </c>
      <c r="K12209" s="2">
        <v>3.2000000000000002E-3</v>
      </c>
      <c r="L12209" s="2">
        <v>1.6999999999999999E-3</v>
      </c>
      <c r="M12209" s="2">
        <v>1.6999999999999999E-3</v>
      </c>
      <c r="N12209" s="2">
        <v>8.9999999999999998E-4</v>
      </c>
      <c r="O12209" s="2">
        <v>6.9999999999999999E-4</v>
      </c>
      <c r="P12209">
        <v>2740</v>
      </c>
    </row>
    <row r="12211" spans="1:19" x14ac:dyDescent="0.35">
      <c r="A12211" s="1" t="s">
        <v>2772</v>
      </c>
    </row>
    <row r="12212" spans="1:19" x14ac:dyDescent="0.35">
      <c r="A12212" t="s">
        <v>219</v>
      </c>
      <c r="B12212" t="s">
        <v>301</v>
      </c>
      <c r="C12212" t="s">
        <v>566</v>
      </c>
      <c r="D12212" t="s">
        <v>570</v>
      </c>
      <c r="E12212" t="s">
        <v>569</v>
      </c>
      <c r="F12212" t="s">
        <v>277</v>
      </c>
      <c r="G12212" t="s">
        <v>568</v>
      </c>
      <c r="H12212" t="s">
        <v>282</v>
      </c>
      <c r="I12212" t="s">
        <v>226</v>
      </c>
    </row>
    <row r="12213" spans="1:19" x14ac:dyDescent="0.35">
      <c r="A12213" t="s">
        <v>227</v>
      </c>
      <c r="B12213" t="s">
        <v>2726</v>
      </c>
      <c r="C12213" s="2">
        <v>0.69359999999999999</v>
      </c>
      <c r="D12213" s="2">
        <v>0.1004</v>
      </c>
      <c r="E12213" s="2">
        <v>0.10489999999999999</v>
      </c>
      <c r="F12213" s="2">
        <v>5.4699999999999999E-2</v>
      </c>
      <c r="G12213" s="2">
        <v>4.19E-2</v>
      </c>
      <c r="H12213" s="2">
        <v>4.4999999999999997E-3</v>
      </c>
      <c r="I12213">
        <v>961</v>
      </c>
    </row>
    <row r="12214" spans="1:19" x14ac:dyDescent="0.35">
      <c r="A12214" t="s">
        <v>227</v>
      </c>
      <c r="B12214" t="s">
        <v>2728</v>
      </c>
      <c r="C12214" s="2">
        <v>0.69059999999999999</v>
      </c>
      <c r="D12214" s="2">
        <v>0.13969999999999999</v>
      </c>
      <c r="E12214" s="2">
        <v>9.35E-2</v>
      </c>
      <c r="F12214" s="2">
        <v>4.2799999999999998E-2</v>
      </c>
      <c r="G12214" s="2">
        <v>3.27E-2</v>
      </c>
      <c r="H12214" s="2">
        <v>5.9999999999999995E-4</v>
      </c>
      <c r="I12214">
        <v>1002</v>
      </c>
    </row>
    <row r="12215" spans="1:19" x14ac:dyDescent="0.35">
      <c r="A12215" t="s">
        <v>228</v>
      </c>
      <c r="B12215" t="s">
        <v>228</v>
      </c>
      <c r="C12215" s="2">
        <v>0.69199999999999995</v>
      </c>
      <c r="D12215" s="2">
        <v>0.12130000000000001</v>
      </c>
      <c r="E12215" s="2">
        <v>9.8900000000000002E-2</v>
      </c>
      <c r="F12215" s="2">
        <v>4.8399999999999999E-2</v>
      </c>
      <c r="G12215" s="2">
        <v>3.6999999999999998E-2</v>
      </c>
      <c r="H12215" s="2">
        <v>2.5000000000000001E-3</v>
      </c>
      <c r="I12215">
        <v>1963</v>
      </c>
    </row>
    <row r="12217" spans="1:19" x14ac:dyDescent="0.35">
      <c r="A12217" s="1" t="s">
        <v>2773</v>
      </c>
    </row>
    <row r="12218" spans="1:19" x14ac:dyDescent="0.35">
      <c r="A12218" t="s">
        <v>219</v>
      </c>
      <c r="B12218" t="s">
        <v>301</v>
      </c>
      <c r="C12218" t="s">
        <v>277</v>
      </c>
      <c r="D12218" t="s">
        <v>540</v>
      </c>
      <c r="E12218" t="s">
        <v>1527</v>
      </c>
      <c r="F12218" t="s">
        <v>1528</v>
      </c>
      <c r="G12218" t="s">
        <v>1529</v>
      </c>
      <c r="H12218" t="s">
        <v>318</v>
      </c>
      <c r="I12218" t="s">
        <v>1530</v>
      </c>
      <c r="J12218" t="s">
        <v>1531</v>
      </c>
      <c r="K12218" t="s">
        <v>1532</v>
      </c>
      <c r="L12218" t="s">
        <v>1533</v>
      </c>
      <c r="M12218" t="s">
        <v>1534</v>
      </c>
      <c r="N12218" t="s">
        <v>1535</v>
      </c>
      <c r="O12218" t="s">
        <v>282</v>
      </c>
      <c r="P12218" t="s">
        <v>1536</v>
      </c>
      <c r="Q12218" t="s">
        <v>1537</v>
      </c>
      <c r="R12218" t="s">
        <v>1538</v>
      </c>
      <c r="S12218" t="s">
        <v>226</v>
      </c>
    </row>
    <row r="12219" spans="1:19" x14ac:dyDescent="0.35">
      <c r="A12219" t="s">
        <v>227</v>
      </c>
      <c r="B12219" t="s">
        <v>2726</v>
      </c>
      <c r="C12219" s="2">
        <v>0.40350000000000003</v>
      </c>
      <c r="D12219" s="2">
        <v>0.2495</v>
      </c>
      <c r="E12219" s="2">
        <v>0.20860000000000001</v>
      </c>
      <c r="F12219" s="2">
        <v>0.11509999999999999</v>
      </c>
      <c r="G12219" s="2">
        <v>0.1031</v>
      </c>
      <c r="H12219" s="2">
        <v>3.1899999999999998E-2</v>
      </c>
      <c r="I12219" s="2">
        <v>3.6400000000000002E-2</v>
      </c>
      <c r="J12219" s="2">
        <v>3.1199999999999999E-2</v>
      </c>
      <c r="K12219" s="2">
        <v>2.76E-2</v>
      </c>
      <c r="L12219" s="2">
        <v>1.04E-2</v>
      </c>
      <c r="M12219" s="2">
        <v>2.2599999999999999E-2</v>
      </c>
      <c r="N12219" s="2">
        <v>2.5000000000000001E-3</v>
      </c>
      <c r="O12219" s="2">
        <v>7.3000000000000001E-3</v>
      </c>
      <c r="P12219" s="2">
        <v>5.7999999999999996E-3</v>
      </c>
      <c r="Q12219" s="2">
        <v>2.2000000000000001E-3</v>
      </c>
      <c r="R12219" s="2">
        <v>3.3999999999999998E-3</v>
      </c>
      <c r="S12219">
        <v>300</v>
      </c>
    </row>
    <row r="12220" spans="1:19" x14ac:dyDescent="0.35">
      <c r="A12220" t="s">
        <v>227</v>
      </c>
      <c r="B12220" t="s">
        <v>2727</v>
      </c>
      <c r="C12220" s="2">
        <v>0.4506</v>
      </c>
      <c r="D12220" s="2">
        <v>0.22770000000000001</v>
      </c>
      <c r="E12220" s="2">
        <v>0.20730000000000001</v>
      </c>
      <c r="F12220" s="2">
        <v>0.17480000000000001</v>
      </c>
      <c r="G12220" s="2">
        <v>2.8199999999999999E-2</v>
      </c>
      <c r="I12220" s="2">
        <v>1.1900000000000001E-2</v>
      </c>
      <c r="J12220" s="2">
        <v>3.2099999999999997E-2</v>
      </c>
      <c r="K12220" s="2">
        <v>1.03E-2</v>
      </c>
      <c r="L12220" s="2">
        <v>1.7100000000000001E-2</v>
      </c>
      <c r="M12220" s="2">
        <v>4.4000000000000003E-3</v>
      </c>
      <c r="O12220" s="2">
        <v>8.9999999999999998E-4</v>
      </c>
      <c r="P12220" s="2">
        <v>4.0000000000000001E-3</v>
      </c>
      <c r="R12220" s="2">
        <v>8.9999999999999998E-4</v>
      </c>
      <c r="S12220">
        <v>84</v>
      </c>
    </row>
    <row r="12221" spans="1:19" x14ac:dyDescent="0.35">
      <c r="A12221" t="s">
        <v>227</v>
      </c>
      <c r="B12221" t="s">
        <v>2728</v>
      </c>
      <c r="C12221" s="2">
        <v>0.35410000000000003</v>
      </c>
      <c r="D12221" s="2">
        <v>0.29270000000000002</v>
      </c>
      <c r="E12221" s="2">
        <v>0.2341</v>
      </c>
      <c r="F12221" s="2">
        <v>0.11550000000000001</v>
      </c>
      <c r="G12221" s="2">
        <v>6.59E-2</v>
      </c>
      <c r="H12221" s="2">
        <v>3.4599999999999999E-2</v>
      </c>
      <c r="I12221" s="2">
        <v>2.5899999999999999E-2</v>
      </c>
      <c r="J12221" s="2">
        <v>2.1100000000000001E-2</v>
      </c>
      <c r="K12221" s="2">
        <v>2.1100000000000001E-2</v>
      </c>
      <c r="L12221" s="2">
        <v>2.2200000000000001E-2</v>
      </c>
      <c r="M12221" s="2">
        <v>1.2699999999999999E-2</v>
      </c>
      <c r="N12221" s="2">
        <v>1.2999999999999999E-2</v>
      </c>
      <c r="O12221" s="2">
        <v>4.1000000000000003E-3</v>
      </c>
      <c r="P12221" s="2">
        <v>2.3E-3</v>
      </c>
      <c r="Q12221" s="2">
        <v>2.5000000000000001E-3</v>
      </c>
      <c r="R12221" s="2">
        <v>1.6000000000000001E-3</v>
      </c>
      <c r="S12221">
        <v>436</v>
      </c>
    </row>
    <row r="12222" spans="1:19" x14ac:dyDescent="0.35">
      <c r="A12222" t="s">
        <v>228</v>
      </c>
      <c r="B12222" t="s">
        <v>228</v>
      </c>
      <c r="C12222" s="2">
        <v>0.38069999999999998</v>
      </c>
      <c r="D12222" s="2">
        <v>0.27139999999999997</v>
      </c>
      <c r="E12222" s="2">
        <v>0.22270000000000001</v>
      </c>
      <c r="F12222" s="2">
        <v>0.1215</v>
      </c>
      <c r="G12222" s="2">
        <v>7.4499999999999997E-2</v>
      </c>
      <c r="H12222" s="2">
        <v>3.0099999999999998E-2</v>
      </c>
      <c r="I12222" s="2">
        <v>2.8000000000000001E-2</v>
      </c>
      <c r="J12222" s="2">
        <v>2.5600000000000001E-2</v>
      </c>
      <c r="K12222" s="2">
        <v>2.2200000000000001E-2</v>
      </c>
      <c r="L12222" s="2">
        <v>1.77E-2</v>
      </c>
      <c r="M12222" s="2">
        <v>1.5100000000000001E-2</v>
      </c>
      <c r="N12222" s="2">
        <v>8.0999999999999996E-3</v>
      </c>
      <c r="O12222" s="2">
        <v>4.7999999999999996E-3</v>
      </c>
      <c r="P12222" s="2">
        <v>3.5999999999999999E-3</v>
      </c>
      <c r="Q12222" s="2">
        <v>2.0999999999999999E-3</v>
      </c>
      <c r="R12222" s="2">
        <v>2.0999999999999999E-3</v>
      </c>
      <c r="S12222">
        <v>820</v>
      </c>
    </row>
    <row r="12224" spans="1:19" x14ac:dyDescent="0.35">
      <c r="A12224" s="1" t="s">
        <v>2774</v>
      </c>
    </row>
    <row r="12225" spans="1:17" x14ac:dyDescent="0.35">
      <c r="A12225" t="s">
        <v>219</v>
      </c>
      <c r="B12225" t="s">
        <v>301</v>
      </c>
      <c r="C12225" t="s">
        <v>540</v>
      </c>
      <c r="D12225" t="s">
        <v>1394</v>
      </c>
      <c r="E12225" t="s">
        <v>277</v>
      </c>
      <c r="F12225" t="s">
        <v>1397</v>
      </c>
      <c r="G12225" t="s">
        <v>1498</v>
      </c>
      <c r="H12225" t="s">
        <v>1396</v>
      </c>
      <c r="I12225" t="s">
        <v>1398</v>
      </c>
      <c r="J12225" t="s">
        <v>1402</v>
      </c>
      <c r="K12225" t="s">
        <v>1395</v>
      </c>
      <c r="L12225" t="s">
        <v>1400</v>
      </c>
      <c r="M12225" t="s">
        <v>282</v>
      </c>
      <c r="N12225" t="s">
        <v>1401</v>
      </c>
      <c r="O12225" t="s">
        <v>318</v>
      </c>
      <c r="P12225" t="s">
        <v>226</v>
      </c>
    </row>
    <row r="12226" spans="1:17" x14ac:dyDescent="0.35">
      <c r="A12226" t="s">
        <v>227</v>
      </c>
      <c r="B12226" t="s">
        <v>2726</v>
      </c>
      <c r="C12226" s="2">
        <v>0.39850000000000002</v>
      </c>
      <c r="D12226" s="2">
        <v>0.29320000000000002</v>
      </c>
      <c r="E12226" s="2">
        <v>0.26819999999999999</v>
      </c>
      <c r="F12226" s="2">
        <v>2.3599999999999999E-2</v>
      </c>
      <c r="G12226" s="2">
        <v>2.76E-2</v>
      </c>
      <c r="H12226" s="2">
        <v>1.2200000000000001E-2</v>
      </c>
      <c r="I12226" s="2">
        <v>2.3E-3</v>
      </c>
      <c r="J12226" s="2">
        <v>1.84E-2</v>
      </c>
      <c r="K12226" s="2">
        <v>1.03E-2</v>
      </c>
      <c r="L12226" s="2">
        <v>5.4999999999999997E-3</v>
      </c>
      <c r="M12226" s="2">
        <v>3.0999999999999999E-3</v>
      </c>
      <c r="O12226" s="2">
        <v>3.0999999999999999E-3</v>
      </c>
      <c r="P12226">
        <v>949</v>
      </c>
    </row>
    <row r="12227" spans="1:17" x14ac:dyDescent="0.35">
      <c r="A12227" t="s">
        <v>227</v>
      </c>
      <c r="B12227" t="s">
        <v>2727</v>
      </c>
      <c r="C12227" s="2">
        <v>0.51639999999999997</v>
      </c>
      <c r="D12227" s="2">
        <v>0.30580000000000002</v>
      </c>
      <c r="E12227" s="2">
        <v>0.13389999999999999</v>
      </c>
      <c r="F12227" s="2">
        <v>5.0500000000000003E-2</v>
      </c>
      <c r="G12227" s="2">
        <v>3.0300000000000001E-2</v>
      </c>
      <c r="H12227" s="2">
        <v>2.3900000000000001E-2</v>
      </c>
      <c r="J12227" s="2">
        <v>6.7999999999999996E-3</v>
      </c>
      <c r="K12227" s="2">
        <v>1.6999999999999999E-3</v>
      </c>
      <c r="L12227" s="2">
        <v>2.5000000000000001E-3</v>
      </c>
      <c r="P12227">
        <v>263</v>
      </c>
    </row>
    <row r="12228" spans="1:17" x14ac:dyDescent="0.35">
      <c r="A12228" t="s">
        <v>227</v>
      </c>
      <c r="B12228" t="s">
        <v>2728</v>
      </c>
      <c r="C12228" s="2">
        <v>0.52470000000000006</v>
      </c>
      <c r="D12228" s="2">
        <v>0.28799999999999998</v>
      </c>
      <c r="E12228" s="2">
        <v>0.13489999999999999</v>
      </c>
      <c r="F12228" s="2">
        <v>2.0299999999999999E-2</v>
      </c>
      <c r="G12228" s="2">
        <v>8.0999999999999996E-3</v>
      </c>
      <c r="H12228" s="2">
        <v>1.4E-2</v>
      </c>
      <c r="I12228" s="2">
        <v>1.66E-2</v>
      </c>
      <c r="J12228" s="2">
        <v>6.7000000000000002E-3</v>
      </c>
      <c r="K12228" s="2">
        <v>6.8999999999999999E-3</v>
      </c>
      <c r="L12228" s="2">
        <v>7.7000000000000002E-3</v>
      </c>
      <c r="M12228" s="2">
        <v>2E-3</v>
      </c>
      <c r="N12228" s="2">
        <v>2.8999999999999998E-3</v>
      </c>
      <c r="O12228" s="2">
        <v>1.1999999999999999E-3</v>
      </c>
      <c r="P12228">
        <v>1542</v>
      </c>
    </row>
    <row r="12229" spans="1:17" x14ac:dyDescent="0.35">
      <c r="A12229" t="s">
        <v>228</v>
      </c>
      <c r="B12229" t="s">
        <v>228</v>
      </c>
      <c r="C12229" s="2">
        <v>0.48409999999999997</v>
      </c>
      <c r="D12229" s="2">
        <v>0.29170000000000001</v>
      </c>
      <c r="E12229" s="2">
        <v>0.1764</v>
      </c>
      <c r="F12229" s="2">
        <v>2.41E-2</v>
      </c>
      <c r="G12229" s="2">
        <v>1.6299999999999999E-2</v>
      </c>
      <c r="H12229" s="2">
        <v>1.43E-2</v>
      </c>
      <c r="I12229" s="2">
        <v>1.06E-2</v>
      </c>
      <c r="J12229" s="2">
        <v>1.04E-2</v>
      </c>
      <c r="K12229" s="2">
        <v>7.4999999999999997E-3</v>
      </c>
      <c r="L12229" s="2">
        <v>6.4999999999999997E-3</v>
      </c>
      <c r="M12229" s="2">
        <v>2.2000000000000001E-3</v>
      </c>
      <c r="N12229" s="2">
        <v>1.6999999999999999E-3</v>
      </c>
      <c r="O12229" s="2">
        <v>1.6999999999999999E-3</v>
      </c>
      <c r="P12229">
        <v>2754</v>
      </c>
    </row>
    <row r="12231" spans="1:17" x14ac:dyDescent="0.35">
      <c r="A12231" s="1" t="s">
        <v>2775</v>
      </c>
    </row>
    <row r="12232" spans="1:17" x14ac:dyDescent="0.35">
      <c r="A12232" t="s">
        <v>219</v>
      </c>
      <c r="B12232" t="s">
        <v>301</v>
      </c>
      <c r="C12232" t="s">
        <v>540</v>
      </c>
      <c r="D12232" t="s">
        <v>277</v>
      </c>
      <c r="E12232" t="s">
        <v>1570</v>
      </c>
      <c r="F12232" t="s">
        <v>1395</v>
      </c>
      <c r="G12232" t="s">
        <v>1571</v>
      </c>
      <c r="H12232" t="s">
        <v>1572</v>
      </c>
      <c r="I12232" t="s">
        <v>1400</v>
      </c>
      <c r="J12232" t="s">
        <v>1573</v>
      </c>
      <c r="K12232" t="s">
        <v>318</v>
      </c>
      <c r="L12232" t="s">
        <v>1574</v>
      </c>
      <c r="M12232" t="s">
        <v>1498</v>
      </c>
      <c r="N12232" t="s">
        <v>1575</v>
      </c>
      <c r="O12232" t="s">
        <v>282</v>
      </c>
      <c r="P12232" t="s">
        <v>1402</v>
      </c>
      <c r="Q12232" t="s">
        <v>226</v>
      </c>
    </row>
    <row r="12233" spans="1:17" x14ac:dyDescent="0.35">
      <c r="A12233" t="s">
        <v>227</v>
      </c>
      <c r="B12233" t="s">
        <v>2726</v>
      </c>
      <c r="C12233" s="2">
        <v>0.65959999999999996</v>
      </c>
      <c r="D12233" s="2">
        <v>0.24349999999999999</v>
      </c>
      <c r="E12233" s="2">
        <v>4.5999999999999999E-2</v>
      </c>
      <c r="F12233" s="2">
        <v>2.23E-2</v>
      </c>
      <c r="G12233" s="2">
        <v>2.46E-2</v>
      </c>
      <c r="H12233" s="2">
        <v>7.7999999999999996E-3</v>
      </c>
      <c r="I12233" s="2">
        <v>2.1700000000000001E-2</v>
      </c>
      <c r="J12233" s="2">
        <v>1.1599999999999999E-2</v>
      </c>
      <c r="K12233" s="2">
        <v>1.0699999999999999E-2</v>
      </c>
      <c r="L12233" s="2">
        <v>6.4000000000000003E-3</v>
      </c>
      <c r="M12233" s="2">
        <v>6.3E-3</v>
      </c>
      <c r="N12233" s="2">
        <v>4.4000000000000003E-3</v>
      </c>
      <c r="O12233" s="2">
        <v>2.8E-3</v>
      </c>
      <c r="P12233" s="2">
        <v>2.5000000000000001E-3</v>
      </c>
      <c r="Q12233">
        <v>882</v>
      </c>
    </row>
    <row r="12234" spans="1:17" x14ac:dyDescent="0.35">
      <c r="A12234" t="s">
        <v>227</v>
      </c>
      <c r="B12234" t="s">
        <v>2727</v>
      </c>
      <c r="C12234" s="2">
        <v>0.73380000000000001</v>
      </c>
      <c r="D12234" s="2">
        <v>0.16689999999999999</v>
      </c>
      <c r="E12234" s="2">
        <v>5.9700000000000003E-2</v>
      </c>
      <c r="F12234" s="2">
        <v>2.63E-2</v>
      </c>
      <c r="G12234" s="2">
        <v>1.34E-2</v>
      </c>
      <c r="H12234" s="2">
        <v>5.8999999999999999E-3</v>
      </c>
      <c r="I12234" s="2">
        <v>2.5999999999999999E-3</v>
      </c>
      <c r="J12234" s="2">
        <v>2.2200000000000001E-2</v>
      </c>
      <c r="K12234" s="2">
        <v>2.5999999999999999E-3</v>
      </c>
      <c r="L12234" s="2">
        <v>1.83E-2</v>
      </c>
      <c r="M12234" s="2">
        <v>2.5999999999999999E-3</v>
      </c>
      <c r="N12234" s="2">
        <v>1.9E-3</v>
      </c>
      <c r="P12234" s="2">
        <v>2.5999999999999999E-3</v>
      </c>
      <c r="Q12234">
        <v>248</v>
      </c>
    </row>
    <row r="12235" spans="1:17" x14ac:dyDescent="0.35">
      <c r="A12235" t="s">
        <v>227</v>
      </c>
      <c r="B12235" t="s">
        <v>2728</v>
      </c>
      <c r="C12235" s="2">
        <v>0.70409999999999995</v>
      </c>
      <c r="D12235" s="2">
        <v>0.15939999999999999</v>
      </c>
      <c r="E12235" s="2">
        <v>3.4200000000000001E-2</v>
      </c>
      <c r="F12235" s="2">
        <v>3.61E-2</v>
      </c>
      <c r="G12235" s="2">
        <v>2.3900000000000001E-2</v>
      </c>
      <c r="H12235" s="2">
        <v>3.0099999999999998E-2</v>
      </c>
      <c r="I12235" s="2">
        <v>1.2E-2</v>
      </c>
      <c r="J12235" s="2">
        <v>9.4999999999999998E-3</v>
      </c>
      <c r="K12235" s="2">
        <v>1.06E-2</v>
      </c>
      <c r="L12235" s="2">
        <v>8.3999999999999995E-3</v>
      </c>
      <c r="M12235" s="2">
        <v>7.4999999999999997E-3</v>
      </c>
      <c r="N12235" s="2">
        <v>4.1000000000000003E-3</v>
      </c>
      <c r="O12235" s="2">
        <v>3.5000000000000001E-3</v>
      </c>
      <c r="P12235" s="2">
        <v>1.6000000000000001E-3</v>
      </c>
      <c r="Q12235">
        <v>1447</v>
      </c>
    </row>
    <row r="12236" spans="1:17" x14ac:dyDescent="0.35">
      <c r="A12236" t="s">
        <v>228</v>
      </c>
      <c r="B12236" t="s">
        <v>228</v>
      </c>
      <c r="C12236" s="2">
        <v>0.69269999999999998</v>
      </c>
      <c r="D12236" s="2">
        <v>0.186</v>
      </c>
      <c r="E12236" s="2">
        <v>4.0300000000000002E-2</v>
      </c>
      <c r="F12236" s="2">
        <v>3.09E-2</v>
      </c>
      <c r="G12236" s="2">
        <v>2.3099999999999999E-2</v>
      </c>
      <c r="H12236" s="2">
        <v>2.0899999999999998E-2</v>
      </c>
      <c r="I12236" s="2">
        <v>1.41E-2</v>
      </c>
      <c r="J12236" s="2">
        <v>1.14E-2</v>
      </c>
      <c r="K12236" s="2">
        <v>9.9000000000000008E-3</v>
      </c>
      <c r="L12236" s="2">
        <v>8.6999999999999994E-3</v>
      </c>
      <c r="M12236" s="2">
        <v>7.3000000000000001E-3</v>
      </c>
      <c r="N12236" s="2">
        <v>4.0000000000000001E-3</v>
      </c>
      <c r="O12236" s="2">
        <v>2.8999999999999998E-3</v>
      </c>
      <c r="P12236" s="2">
        <v>2E-3</v>
      </c>
      <c r="Q12236">
        <v>2577</v>
      </c>
    </row>
    <row r="12238" spans="1:17" x14ac:dyDescent="0.35">
      <c r="A12238" s="1" t="s">
        <v>2776</v>
      </c>
    </row>
    <row r="12239" spans="1:17" x14ac:dyDescent="0.35">
      <c r="A12239" t="s">
        <v>219</v>
      </c>
      <c r="B12239" t="s">
        <v>301</v>
      </c>
      <c r="C12239" t="s">
        <v>540</v>
      </c>
      <c r="D12239" t="s">
        <v>1591</v>
      </c>
      <c r="E12239" t="s">
        <v>1592</v>
      </c>
      <c r="F12239" t="s">
        <v>1593</v>
      </c>
      <c r="G12239" t="s">
        <v>1594</v>
      </c>
      <c r="H12239" t="s">
        <v>1595</v>
      </c>
      <c r="I12239" t="s">
        <v>277</v>
      </c>
      <c r="J12239" t="s">
        <v>1596</v>
      </c>
      <c r="K12239" t="s">
        <v>1597</v>
      </c>
      <c r="L12239" t="s">
        <v>1598</v>
      </c>
      <c r="M12239" t="s">
        <v>1599</v>
      </c>
      <c r="N12239" t="s">
        <v>282</v>
      </c>
      <c r="O12239" t="s">
        <v>226</v>
      </c>
    </row>
    <row r="12240" spans="1:17" x14ac:dyDescent="0.35">
      <c r="A12240" t="s">
        <v>227</v>
      </c>
      <c r="B12240" t="s">
        <v>2726</v>
      </c>
      <c r="C12240" s="2">
        <v>0.78680000000000005</v>
      </c>
      <c r="D12240" s="2">
        <v>6.8500000000000005E-2</v>
      </c>
      <c r="E12240" s="2">
        <v>6.7699999999999996E-2</v>
      </c>
      <c r="F12240" s="2">
        <v>4.5900000000000003E-2</v>
      </c>
      <c r="G12240" s="2">
        <v>2.41E-2</v>
      </c>
      <c r="H12240" s="2">
        <v>2.41E-2</v>
      </c>
      <c r="I12240" s="2">
        <v>1.0800000000000001E-2</v>
      </c>
      <c r="J12240" s="2">
        <v>1.6400000000000001E-2</v>
      </c>
      <c r="K12240" s="2">
        <v>3.3999999999999998E-3</v>
      </c>
      <c r="L12240" s="2">
        <v>4.4999999999999997E-3</v>
      </c>
      <c r="M12240" s="2">
        <v>1.4E-3</v>
      </c>
      <c r="N12240" s="2">
        <v>2.5999999999999999E-3</v>
      </c>
      <c r="O12240">
        <v>946</v>
      </c>
    </row>
    <row r="12241" spans="1:15" x14ac:dyDescent="0.35">
      <c r="A12241" t="s">
        <v>227</v>
      </c>
      <c r="B12241" t="s">
        <v>2727</v>
      </c>
      <c r="C12241" s="2">
        <v>0.87360000000000004</v>
      </c>
      <c r="D12241" s="2">
        <v>4.8399999999999999E-2</v>
      </c>
      <c r="E12241" s="2">
        <v>1.78E-2</v>
      </c>
      <c r="F12241" s="2">
        <v>1.47E-2</v>
      </c>
      <c r="G12241" s="2">
        <v>5.0000000000000001E-3</v>
      </c>
      <c r="H12241" s="2">
        <v>2.87E-2</v>
      </c>
      <c r="I12241" s="2">
        <v>1.3599999999999999E-2</v>
      </c>
      <c r="K12241" s="2">
        <v>1.4E-2</v>
      </c>
      <c r="L12241" s="2">
        <v>2.69E-2</v>
      </c>
      <c r="M12241" s="2">
        <v>6.8999999999999999E-3</v>
      </c>
      <c r="O12241">
        <v>267</v>
      </c>
    </row>
    <row r="12242" spans="1:15" x14ac:dyDescent="0.35">
      <c r="A12242" t="s">
        <v>227</v>
      </c>
      <c r="B12242" t="s">
        <v>2728</v>
      </c>
      <c r="C12242" s="2">
        <v>0.81140000000000001</v>
      </c>
      <c r="D12242" s="2">
        <v>7.1599999999999997E-2</v>
      </c>
      <c r="E12242" s="2">
        <v>3.4799999999999998E-2</v>
      </c>
      <c r="F12242" s="2">
        <v>3.9199999999999999E-2</v>
      </c>
      <c r="G12242" s="2">
        <v>1.84E-2</v>
      </c>
      <c r="H12242" s="2">
        <v>8.3999999999999995E-3</v>
      </c>
      <c r="I12242" s="2">
        <v>1.4200000000000001E-2</v>
      </c>
      <c r="J12242" s="2">
        <v>1.0200000000000001E-2</v>
      </c>
      <c r="K12242" s="2">
        <v>9.1000000000000004E-3</v>
      </c>
      <c r="L12242" s="2">
        <v>3.0999999999999999E-3</v>
      </c>
      <c r="M12242" s="2">
        <v>1.5E-3</v>
      </c>
      <c r="N12242" s="2">
        <v>1.2999999999999999E-3</v>
      </c>
      <c r="O12242">
        <v>1552</v>
      </c>
    </row>
    <row r="12243" spans="1:15" x14ac:dyDescent="0.35">
      <c r="A12243" t="s">
        <v>228</v>
      </c>
      <c r="B12243" t="s">
        <v>228</v>
      </c>
      <c r="C12243" s="2">
        <v>0.80920000000000003</v>
      </c>
      <c r="D12243" s="2">
        <v>6.9000000000000006E-2</v>
      </c>
      <c r="E12243" s="2">
        <v>4.3400000000000001E-2</v>
      </c>
      <c r="F12243" s="2">
        <v>3.8899999999999997E-2</v>
      </c>
      <c r="G12243" s="2">
        <v>1.89E-2</v>
      </c>
      <c r="H12243" s="2">
        <v>1.52E-2</v>
      </c>
      <c r="I12243" s="2">
        <v>1.3100000000000001E-2</v>
      </c>
      <c r="J12243" s="2">
        <v>1.11E-2</v>
      </c>
      <c r="K12243" s="2">
        <v>7.7999999999999996E-3</v>
      </c>
      <c r="L12243" s="2">
        <v>5.7999999999999996E-3</v>
      </c>
      <c r="M12243" s="2">
        <v>2E-3</v>
      </c>
      <c r="N12243" s="2">
        <v>1.6000000000000001E-3</v>
      </c>
      <c r="O12243">
        <v>2765</v>
      </c>
    </row>
    <row r="12245" spans="1:15" x14ac:dyDescent="0.35">
      <c r="A12245" s="1" t="s">
        <v>2777</v>
      </c>
    </row>
    <row r="12246" spans="1:15" x14ac:dyDescent="0.35">
      <c r="A12246" t="s">
        <v>219</v>
      </c>
      <c r="B12246" t="s">
        <v>301</v>
      </c>
      <c r="C12246" t="s">
        <v>298</v>
      </c>
      <c r="D12246" t="s">
        <v>277</v>
      </c>
      <c r="E12246" t="s">
        <v>1615</v>
      </c>
      <c r="F12246" t="s">
        <v>1616</v>
      </c>
      <c r="G12246" t="s">
        <v>282</v>
      </c>
      <c r="H12246" t="s">
        <v>226</v>
      </c>
    </row>
    <row r="12247" spans="1:15" x14ac:dyDescent="0.35">
      <c r="A12247" t="s">
        <v>227</v>
      </c>
      <c r="B12247" t="s">
        <v>2726</v>
      </c>
      <c r="C12247" s="2">
        <v>0.83179999999999998</v>
      </c>
      <c r="D12247" s="2">
        <v>0.1022</v>
      </c>
      <c r="E12247" s="2">
        <v>4.8599999999999997E-2</v>
      </c>
      <c r="F12247" s="2">
        <v>1.6799999999999999E-2</v>
      </c>
      <c r="G12247" s="2">
        <v>5.0000000000000001E-4</v>
      </c>
      <c r="H12247">
        <v>960</v>
      </c>
    </row>
    <row r="12248" spans="1:15" x14ac:dyDescent="0.35">
      <c r="A12248" t="s">
        <v>227</v>
      </c>
      <c r="B12248" t="s">
        <v>2727</v>
      </c>
      <c r="C12248" s="2">
        <v>0.81</v>
      </c>
      <c r="D12248" s="2">
        <v>8.72E-2</v>
      </c>
      <c r="E12248" s="2">
        <v>7.46E-2</v>
      </c>
      <c r="F12248" s="2">
        <v>2.8199999999999999E-2</v>
      </c>
      <c r="H12248">
        <v>269</v>
      </c>
    </row>
    <row r="12249" spans="1:15" x14ac:dyDescent="0.35">
      <c r="A12249" t="s">
        <v>227</v>
      </c>
      <c r="B12249" t="s">
        <v>2728</v>
      </c>
      <c r="C12249" s="2">
        <v>0.83069999999999999</v>
      </c>
      <c r="D12249" s="2">
        <v>8.7900000000000006E-2</v>
      </c>
      <c r="E12249" s="2">
        <v>5.3900000000000003E-2</v>
      </c>
      <c r="F12249" s="2">
        <v>2.7E-2</v>
      </c>
      <c r="G12249" s="2">
        <v>5.0000000000000001E-4</v>
      </c>
      <c r="H12249">
        <v>1578</v>
      </c>
    </row>
    <row r="12250" spans="1:15" x14ac:dyDescent="0.35">
      <c r="A12250" t="s">
        <v>228</v>
      </c>
      <c r="B12250" t="s">
        <v>228</v>
      </c>
      <c r="C12250" s="2">
        <v>0.82920000000000005</v>
      </c>
      <c r="D12250" s="2">
        <v>9.2299999999999993E-2</v>
      </c>
      <c r="E12250" s="2">
        <v>5.4199999999999998E-2</v>
      </c>
      <c r="F12250" s="2">
        <v>2.3900000000000001E-2</v>
      </c>
      <c r="G12250" s="2">
        <v>4.0000000000000002E-4</v>
      </c>
      <c r="H12250">
        <v>2807</v>
      </c>
    </row>
    <row r="12252" spans="1:15" x14ac:dyDescent="0.35">
      <c r="A12252" s="1" t="s">
        <v>2778</v>
      </c>
    </row>
    <row r="12253" spans="1:15" x14ac:dyDescent="0.35">
      <c r="A12253" t="s">
        <v>219</v>
      </c>
      <c r="B12253" t="s">
        <v>301</v>
      </c>
      <c r="C12253" t="s">
        <v>299</v>
      </c>
      <c r="D12253" t="s">
        <v>298</v>
      </c>
      <c r="E12253" t="s">
        <v>277</v>
      </c>
      <c r="F12253" t="s">
        <v>226</v>
      </c>
    </row>
    <row r="12254" spans="1:15" x14ac:dyDescent="0.35">
      <c r="A12254" t="s">
        <v>227</v>
      </c>
      <c r="B12254" t="s">
        <v>2726</v>
      </c>
      <c r="C12254" s="2">
        <v>0.46939999999999998</v>
      </c>
      <c r="D12254" s="2">
        <v>0.34970000000000001</v>
      </c>
      <c r="E12254" s="2">
        <v>0.18090000000000001</v>
      </c>
      <c r="F12254">
        <v>158</v>
      </c>
    </row>
    <row r="12255" spans="1:15" x14ac:dyDescent="0.35">
      <c r="A12255" t="s">
        <v>227</v>
      </c>
      <c r="B12255" t="s">
        <v>2727</v>
      </c>
      <c r="C12255" s="2">
        <v>0.6331</v>
      </c>
      <c r="D12255" s="2">
        <v>0.16919999999999999</v>
      </c>
      <c r="E12255" s="2">
        <v>0.19769999999999999</v>
      </c>
      <c r="F12255">
        <v>70</v>
      </c>
    </row>
    <row r="12256" spans="1:15" x14ac:dyDescent="0.35">
      <c r="A12256" t="s">
        <v>227</v>
      </c>
      <c r="B12256" t="s">
        <v>2728</v>
      </c>
      <c r="C12256" s="2">
        <v>0.54</v>
      </c>
      <c r="D12256" s="2">
        <v>0.38640000000000002</v>
      </c>
      <c r="E12256" s="2">
        <v>7.3599999999999999E-2</v>
      </c>
      <c r="F12256">
        <v>282</v>
      </c>
    </row>
    <row r="12257" spans="1:10" x14ac:dyDescent="0.35">
      <c r="A12257" t="s">
        <v>228</v>
      </c>
      <c r="B12257" t="s">
        <v>228</v>
      </c>
      <c r="C12257" s="2">
        <v>0.53410000000000002</v>
      </c>
      <c r="D12257" s="2">
        <v>0.34849999999999998</v>
      </c>
      <c r="E12257" s="2">
        <v>0.1174</v>
      </c>
      <c r="F12257">
        <v>510</v>
      </c>
    </row>
    <row r="12259" spans="1:10" x14ac:dyDescent="0.35">
      <c r="A12259" s="1" t="s">
        <v>2779</v>
      </c>
    </row>
    <row r="12260" spans="1:10" x14ac:dyDescent="0.35">
      <c r="A12260" t="s">
        <v>219</v>
      </c>
      <c r="B12260" t="s">
        <v>301</v>
      </c>
      <c r="C12260" t="s">
        <v>524</v>
      </c>
      <c r="D12260" t="s">
        <v>525</v>
      </c>
      <c r="E12260" t="s">
        <v>526</v>
      </c>
      <c r="F12260" t="s">
        <v>527</v>
      </c>
      <c r="G12260" t="s">
        <v>226</v>
      </c>
    </row>
    <row r="12261" spans="1:10" x14ac:dyDescent="0.35">
      <c r="A12261" t="s">
        <v>227</v>
      </c>
      <c r="B12261" t="s">
        <v>2726</v>
      </c>
      <c r="C12261">
        <v>1.72</v>
      </c>
      <c r="D12261">
        <v>0</v>
      </c>
      <c r="E12261">
        <v>0</v>
      </c>
      <c r="F12261">
        <v>24</v>
      </c>
      <c r="G12261">
        <v>951</v>
      </c>
    </row>
    <row r="12262" spans="1:10" x14ac:dyDescent="0.35">
      <c r="A12262" t="s">
        <v>227</v>
      </c>
      <c r="B12262" t="s">
        <v>2727</v>
      </c>
      <c r="C12262">
        <v>1.49</v>
      </c>
      <c r="D12262">
        <v>0</v>
      </c>
      <c r="E12262">
        <v>0</v>
      </c>
      <c r="F12262">
        <v>20</v>
      </c>
      <c r="G12262">
        <v>264</v>
      </c>
    </row>
    <row r="12263" spans="1:10" x14ac:dyDescent="0.35">
      <c r="A12263" t="s">
        <v>227</v>
      </c>
      <c r="B12263" t="s">
        <v>2728</v>
      </c>
      <c r="C12263">
        <v>1.65</v>
      </c>
      <c r="D12263">
        <v>0</v>
      </c>
      <c r="E12263">
        <v>0</v>
      </c>
      <c r="F12263">
        <v>20</v>
      </c>
      <c r="G12263">
        <v>1556</v>
      </c>
    </row>
    <row r="12264" spans="1:10" x14ac:dyDescent="0.35">
      <c r="A12264" t="s">
        <v>228</v>
      </c>
      <c r="B12264" t="s">
        <v>228</v>
      </c>
      <c r="C12264">
        <v>1.66</v>
      </c>
      <c r="D12264">
        <v>0</v>
      </c>
      <c r="E12264">
        <v>0</v>
      </c>
      <c r="F12264">
        <v>24</v>
      </c>
      <c r="G12264">
        <v>2772</v>
      </c>
    </row>
    <row r="12266" spans="1:10" x14ac:dyDescent="0.35">
      <c r="A12266" s="1" t="s">
        <v>2780</v>
      </c>
    </row>
    <row r="12267" spans="1:10" x14ac:dyDescent="0.35">
      <c r="A12267" t="s">
        <v>219</v>
      </c>
      <c r="B12267" t="s">
        <v>301</v>
      </c>
      <c r="C12267" t="s">
        <v>1662</v>
      </c>
      <c r="D12267" t="s">
        <v>1663</v>
      </c>
      <c r="E12267" t="s">
        <v>1664</v>
      </c>
      <c r="F12267" t="s">
        <v>1665</v>
      </c>
      <c r="G12267" t="s">
        <v>1666</v>
      </c>
      <c r="H12267" t="s">
        <v>282</v>
      </c>
      <c r="I12267" t="s">
        <v>277</v>
      </c>
      <c r="J12267" t="s">
        <v>226</v>
      </c>
    </row>
    <row r="12268" spans="1:10" x14ac:dyDescent="0.35">
      <c r="A12268" t="s">
        <v>227</v>
      </c>
      <c r="B12268" t="s">
        <v>2726</v>
      </c>
      <c r="C12268" s="2">
        <v>0.85160000000000002</v>
      </c>
      <c r="D12268" s="2">
        <v>5.8799999999999998E-2</v>
      </c>
      <c r="E12268" s="2">
        <v>5.6000000000000001E-2</v>
      </c>
      <c r="F12268" s="2">
        <v>2.1600000000000001E-2</v>
      </c>
      <c r="G12268" s="2">
        <v>8.9999999999999993E-3</v>
      </c>
      <c r="H12268" s="2">
        <v>2.7000000000000001E-3</v>
      </c>
      <c r="I12268" s="2">
        <v>2.0000000000000001E-4</v>
      </c>
      <c r="J12268">
        <v>961</v>
      </c>
    </row>
    <row r="12269" spans="1:10" x14ac:dyDescent="0.35">
      <c r="A12269" t="s">
        <v>227</v>
      </c>
      <c r="B12269" t="s">
        <v>2727</v>
      </c>
      <c r="C12269" s="2">
        <v>0.85570000000000002</v>
      </c>
      <c r="D12269" s="2">
        <v>6.2199999999999998E-2</v>
      </c>
      <c r="E12269" s="2">
        <v>4.6399999999999997E-2</v>
      </c>
      <c r="F12269" s="2">
        <v>1.04E-2</v>
      </c>
      <c r="G12269" s="2">
        <v>2.53E-2</v>
      </c>
      <c r="J12269">
        <v>270</v>
      </c>
    </row>
    <row r="12270" spans="1:10" x14ac:dyDescent="0.35">
      <c r="A12270" t="s">
        <v>227</v>
      </c>
      <c r="B12270" t="s">
        <v>2728</v>
      </c>
      <c r="C12270" s="2">
        <v>0.92130000000000001</v>
      </c>
      <c r="D12270" s="2">
        <v>3.27E-2</v>
      </c>
      <c r="E12270" s="2">
        <v>3.3599999999999998E-2</v>
      </c>
      <c r="F12270" s="2">
        <v>9.4000000000000004E-3</v>
      </c>
      <c r="G12270" s="2">
        <v>2.8E-3</v>
      </c>
      <c r="H12270" s="2">
        <v>2.0000000000000001E-4</v>
      </c>
      <c r="J12270">
        <v>1581</v>
      </c>
    </row>
    <row r="12271" spans="1:10" x14ac:dyDescent="0.35">
      <c r="A12271" t="s">
        <v>228</v>
      </c>
      <c r="B12271" t="s">
        <v>228</v>
      </c>
      <c r="C12271" s="2">
        <v>0.89359999999999995</v>
      </c>
      <c r="D12271" s="2">
        <v>4.36E-2</v>
      </c>
      <c r="E12271" s="2">
        <v>4.1700000000000001E-2</v>
      </c>
      <c r="F12271" s="2">
        <v>1.3299999999999999E-2</v>
      </c>
      <c r="G12271" s="2">
        <v>6.8999999999999999E-3</v>
      </c>
      <c r="H12271" s="2">
        <v>8.9999999999999998E-4</v>
      </c>
      <c r="I12271" s="2">
        <v>1E-4</v>
      </c>
      <c r="J12271">
        <v>2812</v>
      </c>
    </row>
    <row r="12273" spans="1:9" x14ac:dyDescent="0.35">
      <c r="A12273" s="1" t="s">
        <v>2781</v>
      </c>
    </row>
    <row r="12274" spans="1:9" x14ac:dyDescent="0.35">
      <c r="A12274" t="s">
        <v>219</v>
      </c>
      <c r="B12274" t="s">
        <v>301</v>
      </c>
      <c r="C12274" t="s">
        <v>1679</v>
      </c>
      <c r="D12274" t="s">
        <v>1680</v>
      </c>
      <c r="E12274" t="s">
        <v>1681</v>
      </c>
      <c r="F12274" t="s">
        <v>1682</v>
      </c>
      <c r="G12274" t="s">
        <v>282</v>
      </c>
      <c r="H12274" t="s">
        <v>277</v>
      </c>
      <c r="I12274" t="s">
        <v>226</v>
      </c>
    </row>
    <row r="12275" spans="1:9" x14ac:dyDescent="0.35">
      <c r="A12275" t="s">
        <v>227</v>
      </c>
      <c r="B12275" t="s">
        <v>2726</v>
      </c>
      <c r="C12275" s="2">
        <v>0.60329999999999995</v>
      </c>
      <c r="D12275" s="2">
        <v>0.3891</v>
      </c>
      <c r="E12275" s="2">
        <v>6.4999999999999997E-3</v>
      </c>
      <c r="F12275" s="2">
        <v>8.0000000000000004E-4</v>
      </c>
      <c r="G12275" s="2">
        <v>4.0000000000000002E-4</v>
      </c>
      <c r="I12275">
        <v>936</v>
      </c>
    </row>
    <row r="12276" spans="1:9" x14ac:dyDescent="0.35">
      <c r="A12276" t="s">
        <v>227</v>
      </c>
      <c r="B12276" t="s">
        <v>2727</v>
      </c>
      <c r="C12276" s="2">
        <v>0.4874</v>
      </c>
      <c r="D12276" s="2">
        <v>0.47320000000000001</v>
      </c>
      <c r="E12276" s="2">
        <v>3.9399999999999998E-2</v>
      </c>
      <c r="I12276">
        <v>266</v>
      </c>
    </row>
    <row r="12277" spans="1:9" x14ac:dyDescent="0.35">
      <c r="A12277" t="s">
        <v>227</v>
      </c>
      <c r="B12277" t="s">
        <v>2728</v>
      </c>
      <c r="C12277" s="2">
        <v>0.49619999999999997</v>
      </c>
      <c r="D12277" s="2">
        <v>0.49669999999999997</v>
      </c>
      <c r="E12277" s="2">
        <v>7.0000000000000001E-3</v>
      </c>
      <c r="H12277" s="2">
        <v>0</v>
      </c>
      <c r="I12277">
        <v>1545</v>
      </c>
    </row>
    <row r="12278" spans="1:9" x14ac:dyDescent="0.35">
      <c r="A12278" t="s">
        <v>228</v>
      </c>
      <c r="B12278" t="s">
        <v>228</v>
      </c>
      <c r="C12278" s="2">
        <v>0.52880000000000005</v>
      </c>
      <c r="D12278" s="2">
        <v>0.46100000000000002</v>
      </c>
      <c r="E12278" s="2">
        <v>9.9000000000000008E-3</v>
      </c>
      <c r="F12278" s="2">
        <v>2.0000000000000001E-4</v>
      </c>
      <c r="G12278" s="2">
        <v>1E-4</v>
      </c>
      <c r="H12278" s="2">
        <v>0</v>
      </c>
      <c r="I12278">
        <v>2747</v>
      </c>
    </row>
    <row r="12280" spans="1:9" x14ac:dyDescent="0.35">
      <c r="A12280" s="1" t="s">
        <v>2782</v>
      </c>
    </row>
    <row r="12281" spans="1:9" x14ac:dyDescent="0.35">
      <c r="A12281" t="s">
        <v>219</v>
      </c>
      <c r="B12281" t="s">
        <v>301</v>
      </c>
      <c r="C12281" t="s">
        <v>524</v>
      </c>
      <c r="D12281" t="s">
        <v>525</v>
      </c>
      <c r="E12281" t="s">
        <v>526</v>
      </c>
      <c r="F12281" t="s">
        <v>527</v>
      </c>
      <c r="G12281" t="s">
        <v>226</v>
      </c>
    </row>
    <row r="12282" spans="1:9" x14ac:dyDescent="0.35">
      <c r="A12282" t="s">
        <v>227</v>
      </c>
      <c r="B12282" t="s">
        <v>2726</v>
      </c>
      <c r="C12282">
        <v>53.64</v>
      </c>
      <c r="D12282">
        <v>50</v>
      </c>
      <c r="E12282">
        <v>5</v>
      </c>
      <c r="F12282">
        <v>220</v>
      </c>
      <c r="G12282">
        <v>780</v>
      </c>
    </row>
    <row r="12283" spans="1:9" x14ac:dyDescent="0.35">
      <c r="A12283" t="s">
        <v>227</v>
      </c>
      <c r="B12283" t="s">
        <v>2727</v>
      </c>
      <c r="C12283">
        <v>58.3</v>
      </c>
      <c r="D12283">
        <v>50</v>
      </c>
      <c r="E12283">
        <v>8</v>
      </c>
      <c r="F12283">
        <v>248</v>
      </c>
      <c r="G12283">
        <v>224</v>
      </c>
    </row>
    <row r="12284" spans="1:9" x14ac:dyDescent="0.35">
      <c r="A12284" t="s">
        <v>227</v>
      </c>
      <c r="B12284" t="s">
        <v>2728</v>
      </c>
      <c r="C12284">
        <v>69.34</v>
      </c>
      <c r="D12284">
        <v>61</v>
      </c>
      <c r="E12284">
        <v>6</v>
      </c>
      <c r="F12284">
        <v>285</v>
      </c>
      <c r="G12284">
        <v>1305</v>
      </c>
    </row>
    <row r="12285" spans="1:9" x14ac:dyDescent="0.35">
      <c r="A12285" t="s">
        <v>228</v>
      </c>
      <c r="B12285" t="s">
        <v>228</v>
      </c>
      <c r="C12285">
        <v>63.55</v>
      </c>
      <c r="D12285">
        <v>59</v>
      </c>
      <c r="E12285">
        <v>5</v>
      </c>
      <c r="F12285">
        <v>285</v>
      </c>
      <c r="G12285">
        <v>2310</v>
      </c>
    </row>
    <row r="12287" spans="1:9" x14ac:dyDescent="0.35">
      <c r="A12287" s="1" t="s">
        <v>2783</v>
      </c>
    </row>
    <row r="12288" spans="1:9" x14ac:dyDescent="0.35">
      <c r="A12288" t="s">
        <v>219</v>
      </c>
      <c r="B12288" t="s">
        <v>301</v>
      </c>
      <c r="C12288" t="s">
        <v>524</v>
      </c>
      <c r="D12288" t="s">
        <v>525</v>
      </c>
      <c r="E12288" t="s">
        <v>526</v>
      </c>
      <c r="F12288" t="s">
        <v>527</v>
      </c>
      <c r="G12288" t="s">
        <v>226</v>
      </c>
    </row>
    <row r="12289" spans="1:9" x14ac:dyDescent="0.35">
      <c r="A12289" t="s">
        <v>227</v>
      </c>
      <c r="B12289" t="s">
        <v>2726</v>
      </c>
      <c r="C12289">
        <v>1.47</v>
      </c>
      <c r="D12289">
        <v>1</v>
      </c>
      <c r="E12289">
        <v>1</v>
      </c>
      <c r="F12289">
        <v>6</v>
      </c>
      <c r="G12289">
        <v>937</v>
      </c>
    </row>
    <row r="12290" spans="1:9" x14ac:dyDescent="0.35">
      <c r="A12290" t="s">
        <v>227</v>
      </c>
      <c r="B12290" t="s">
        <v>2727</v>
      </c>
      <c r="C12290">
        <v>1.36</v>
      </c>
      <c r="D12290">
        <v>1</v>
      </c>
      <c r="E12290">
        <v>1</v>
      </c>
      <c r="F12290">
        <v>10</v>
      </c>
      <c r="G12290">
        <v>266</v>
      </c>
    </row>
    <row r="12291" spans="1:9" x14ac:dyDescent="0.35">
      <c r="A12291" t="s">
        <v>227</v>
      </c>
      <c r="B12291" t="s">
        <v>2728</v>
      </c>
      <c r="C12291">
        <v>3.04</v>
      </c>
      <c r="D12291">
        <v>3</v>
      </c>
      <c r="E12291">
        <v>1</v>
      </c>
      <c r="F12291">
        <v>39</v>
      </c>
      <c r="G12291">
        <v>1546</v>
      </c>
    </row>
    <row r="12292" spans="1:9" x14ac:dyDescent="0.35">
      <c r="A12292" t="s">
        <v>228</v>
      </c>
      <c r="B12292" t="s">
        <v>228</v>
      </c>
      <c r="C12292">
        <v>2.4</v>
      </c>
      <c r="D12292">
        <v>2</v>
      </c>
      <c r="E12292">
        <v>1</v>
      </c>
      <c r="F12292">
        <v>39</v>
      </c>
      <c r="G12292">
        <v>2750</v>
      </c>
    </row>
    <row r="12294" spans="1:9" x14ac:dyDescent="0.35">
      <c r="A12294" s="1" t="s">
        <v>2784</v>
      </c>
    </row>
    <row r="12295" spans="1:9" x14ac:dyDescent="0.35">
      <c r="A12295" t="s">
        <v>219</v>
      </c>
      <c r="B12295" t="s">
        <v>301</v>
      </c>
      <c r="C12295" t="s">
        <v>1719</v>
      </c>
      <c r="D12295" t="s">
        <v>1720</v>
      </c>
      <c r="E12295" t="s">
        <v>1721</v>
      </c>
      <c r="F12295" t="s">
        <v>277</v>
      </c>
      <c r="G12295" t="s">
        <v>1722</v>
      </c>
      <c r="H12295" t="s">
        <v>282</v>
      </c>
      <c r="I12295" t="s">
        <v>226</v>
      </c>
    </row>
    <row r="12296" spans="1:9" x14ac:dyDescent="0.35">
      <c r="A12296" t="s">
        <v>227</v>
      </c>
      <c r="B12296" t="s">
        <v>2726</v>
      </c>
      <c r="C12296" s="2">
        <v>0.72899999999999998</v>
      </c>
      <c r="D12296" s="2">
        <v>0.19689999999999999</v>
      </c>
      <c r="E12296" s="2">
        <v>6.1600000000000002E-2</v>
      </c>
      <c r="F12296" s="2">
        <v>1.17E-2</v>
      </c>
      <c r="G12296" s="2">
        <v>2.0000000000000001E-4</v>
      </c>
      <c r="H12296" s="2">
        <v>5.9999999999999995E-4</v>
      </c>
      <c r="I12296">
        <v>937</v>
      </c>
    </row>
    <row r="12297" spans="1:9" x14ac:dyDescent="0.35">
      <c r="A12297" t="s">
        <v>227</v>
      </c>
      <c r="B12297" t="s">
        <v>2727</v>
      </c>
      <c r="C12297" s="2">
        <v>0.79420000000000002</v>
      </c>
      <c r="D12297" s="2">
        <v>0.1308</v>
      </c>
      <c r="E12297" s="2">
        <v>4.8099999999999997E-2</v>
      </c>
      <c r="F12297" s="2">
        <v>7.9000000000000008E-3</v>
      </c>
      <c r="G12297" s="2">
        <v>1.89E-2</v>
      </c>
      <c r="I12297">
        <v>266</v>
      </c>
    </row>
    <row r="12298" spans="1:9" x14ac:dyDescent="0.35">
      <c r="A12298" t="s">
        <v>227</v>
      </c>
      <c r="B12298" t="s">
        <v>2728</v>
      </c>
      <c r="C12298" s="2">
        <v>0.81559999999999999</v>
      </c>
      <c r="D12298" s="2">
        <v>0.14019999999999999</v>
      </c>
      <c r="E12298" s="2">
        <v>4.36E-2</v>
      </c>
      <c r="F12298" s="2">
        <v>5.0000000000000001E-4</v>
      </c>
      <c r="G12298" s="2">
        <v>2.0000000000000001E-4</v>
      </c>
      <c r="I12298">
        <v>1546</v>
      </c>
    </row>
    <row r="12299" spans="1:9" x14ac:dyDescent="0.35">
      <c r="A12299" t="s">
        <v>228</v>
      </c>
      <c r="B12299" t="s">
        <v>228</v>
      </c>
      <c r="C12299" s="2">
        <v>0.78700000000000003</v>
      </c>
      <c r="D12299" s="2">
        <v>0.15670000000000001</v>
      </c>
      <c r="E12299" s="2">
        <v>4.9500000000000002E-2</v>
      </c>
      <c r="F12299" s="2">
        <v>4.5999999999999999E-3</v>
      </c>
      <c r="G12299" s="2">
        <v>1.9E-3</v>
      </c>
      <c r="H12299" s="2">
        <v>2.0000000000000001E-4</v>
      </c>
      <c r="I12299">
        <v>2749</v>
      </c>
    </row>
    <row r="12301" spans="1:9" x14ac:dyDescent="0.35">
      <c r="A12301" s="1" t="s">
        <v>2785</v>
      </c>
    </row>
    <row r="12302" spans="1:9" x14ac:dyDescent="0.35">
      <c r="A12302" t="s">
        <v>219</v>
      </c>
      <c r="B12302" t="s">
        <v>301</v>
      </c>
      <c r="C12302" t="s">
        <v>298</v>
      </c>
      <c r="D12302" t="s">
        <v>277</v>
      </c>
      <c r="E12302" t="s">
        <v>299</v>
      </c>
      <c r="F12302" t="s">
        <v>282</v>
      </c>
      <c r="G12302" t="s">
        <v>226</v>
      </c>
    </row>
    <row r="12303" spans="1:9" x14ac:dyDescent="0.35">
      <c r="A12303" t="s">
        <v>227</v>
      </c>
      <c r="B12303" t="s">
        <v>2726</v>
      </c>
      <c r="C12303" s="2">
        <v>0.85540000000000005</v>
      </c>
      <c r="D12303" s="2">
        <v>0.1047</v>
      </c>
      <c r="E12303" s="2">
        <v>3.9899999999999998E-2</v>
      </c>
      <c r="G12303">
        <v>959</v>
      </c>
    </row>
    <row r="12304" spans="1:9" x14ac:dyDescent="0.35">
      <c r="A12304" t="s">
        <v>227</v>
      </c>
      <c r="B12304" t="s">
        <v>2727</v>
      </c>
      <c r="C12304" s="2">
        <v>0.88229999999999997</v>
      </c>
      <c r="D12304" s="2">
        <v>8.6300000000000002E-2</v>
      </c>
      <c r="E12304" s="2">
        <v>3.1399999999999997E-2</v>
      </c>
      <c r="G12304">
        <v>270</v>
      </c>
    </row>
    <row r="12305" spans="1:18" x14ac:dyDescent="0.35">
      <c r="A12305" t="s">
        <v>227</v>
      </c>
      <c r="B12305" t="s">
        <v>2728</v>
      </c>
      <c r="C12305" s="2">
        <v>0.90090000000000003</v>
      </c>
      <c r="D12305" s="2">
        <v>4.9799999999999997E-2</v>
      </c>
      <c r="E12305" s="2">
        <v>4.9299999999999997E-2</v>
      </c>
      <c r="F12305" s="2">
        <v>0</v>
      </c>
      <c r="G12305">
        <v>1580</v>
      </c>
    </row>
    <row r="12306" spans="1:18" x14ac:dyDescent="0.35">
      <c r="A12306" t="s">
        <v>228</v>
      </c>
      <c r="B12306" t="s">
        <v>228</v>
      </c>
      <c r="C12306" s="2">
        <v>0.8851</v>
      </c>
      <c r="D12306" s="2">
        <v>7.0199999999999999E-2</v>
      </c>
      <c r="E12306" s="2">
        <v>4.4699999999999997E-2</v>
      </c>
      <c r="F12306" s="2">
        <v>0</v>
      </c>
      <c r="G12306">
        <v>2809</v>
      </c>
    </row>
    <row r="12308" spans="1:18" x14ac:dyDescent="0.35">
      <c r="A12308" s="1" t="s">
        <v>2786</v>
      </c>
    </row>
    <row r="12309" spans="1:18" x14ac:dyDescent="0.35">
      <c r="A12309" t="s">
        <v>219</v>
      </c>
      <c r="B12309" t="s">
        <v>301</v>
      </c>
      <c r="C12309" t="s">
        <v>298</v>
      </c>
      <c r="D12309" t="s">
        <v>1747</v>
      </c>
      <c r="E12309" t="s">
        <v>1748</v>
      </c>
      <c r="F12309" t="s">
        <v>277</v>
      </c>
      <c r="G12309" t="s">
        <v>1749</v>
      </c>
      <c r="H12309" t="s">
        <v>282</v>
      </c>
      <c r="I12309" t="s">
        <v>226</v>
      </c>
    </row>
    <row r="12310" spans="1:18" x14ac:dyDescent="0.35">
      <c r="A12310" t="s">
        <v>227</v>
      </c>
      <c r="B12310" t="s">
        <v>2726</v>
      </c>
      <c r="C12310" s="2">
        <v>0.47910000000000003</v>
      </c>
      <c r="D12310" s="2">
        <v>0.25869999999999999</v>
      </c>
      <c r="E12310" s="2">
        <v>0.22919999999999999</v>
      </c>
      <c r="F12310" s="2">
        <v>1.0800000000000001E-2</v>
      </c>
      <c r="G12310" s="2">
        <v>2.2200000000000001E-2</v>
      </c>
      <c r="I12310">
        <v>35</v>
      </c>
    </row>
    <row r="12311" spans="1:18" x14ac:dyDescent="0.35">
      <c r="A12311" s="3" t="s">
        <v>227</v>
      </c>
      <c r="B12311" s="3" t="s">
        <v>2727</v>
      </c>
      <c r="C12311" s="4">
        <v>0.4289</v>
      </c>
      <c r="D12311" s="4">
        <v>1.5900000000000001E-2</v>
      </c>
      <c r="E12311" s="4">
        <v>0.5464</v>
      </c>
      <c r="F12311" s="5"/>
      <c r="G12311" s="4">
        <v>8.8999999999999999E-3</v>
      </c>
      <c r="H12311" s="5"/>
      <c r="I12311" s="5" t="s">
        <v>490</v>
      </c>
    </row>
    <row r="12312" spans="1:18" x14ac:dyDescent="0.35">
      <c r="A12312" t="s">
        <v>227</v>
      </c>
      <c r="B12312" t="s">
        <v>2728</v>
      </c>
      <c r="C12312" s="2">
        <v>0.53120000000000001</v>
      </c>
      <c r="D12312" s="2">
        <v>0.34239999999999998</v>
      </c>
      <c r="E12312" s="2">
        <v>7.8E-2</v>
      </c>
      <c r="F12312" s="2">
        <v>3.3700000000000001E-2</v>
      </c>
      <c r="G12312" s="2">
        <v>1.37E-2</v>
      </c>
      <c r="H12312" s="2">
        <v>8.9999999999999998E-4</v>
      </c>
      <c r="I12312">
        <v>81</v>
      </c>
    </row>
    <row r="12313" spans="1:18" x14ac:dyDescent="0.35">
      <c r="A12313" t="s">
        <v>228</v>
      </c>
      <c r="B12313" t="s">
        <v>228</v>
      </c>
      <c r="C12313" s="2">
        <v>0.51</v>
      </c>
      <c r="D12313" s="2">
        <v>0.29759999999999998</v>
      </c>
      <c r="E12313" s="2">
        <v>0.15090000000000001</v>
      </c>
      <c r="F12313" s="2">
        <v>2.5100000000000001E-2</v>
      </c>
      <c r="G12313" s="2">
        <v>1.5800000000000002E-2</v>
      </c>
      <c r="H12313" s="2">
        <v>5.9999999999999995E-4</v>
      </c>
      <c r="I12313">
        <v>128</v>
      </c>
    </row>
    <row r="12315" spans="1:18" x14ac:dyDescent="0.35">
      <c r="A12315" s="1" t="s">
        <v>2787</v>
      </c>
    </row>
    <row r="12316" spans="1:18" x14ac:dyDescent="0.35">
      <c r="A12316" t="s">
        <v>219</v>
      </c>
      <c r="B12316" t="s">
        <v>301</v>
      </c>
      <c r="C12316" t="s">
        <v>1762</v>
      </c>
      <c r="D12316" t="s">
        <v>1763</v>
      </c>
      <c r="E12316" t="s">
        <v>1764</v>
      </c>
      <c r="F12316" t="s">
        <v>1765</v>
      </c>
      <c r="G12316" t="s">
        <v>1766</v>
      </c>
      <c r="H12316" t="s">
        <v>1767</v>
      </c>
      <c r="I12316" t="s">
        <v>1768</v>
      </c>
      <c r="J12316" t="s">
        <v>1769</v>
      </c>
      <c r="K12316" t="s">
        <v>1770</v>
      </c>
      <c r="L12316" t="s">
        <v>318</v>
      </c>
      <c r="M12316" t="s">
        <v>1771</v>
      </c>
      <c r="N12316" t="s">
        <v>1772</v>
      </c>
      <c r="O12316" t="s">
        <v>277</v>
      </c>
      <c r="P12316" t="s">
        <v>1773</v>
      </c>
      <c r="Q12316" t="s">
        <v>282</v>
      </c>
      <c r="R12316" t="s">
        <v>226</v>
      </c>
    </row>
    <row r="12317" spans="1:18" x14ac:dyDescent="0.35">
      <c r="A12317" t="s">
        <v>227</v>
      </c>
      <c r="B12317" t="s">
        <v>2726</v>
      </c>
      <c r="C12317" s="2">
        <v>0.70889999999999997</v>
      </c>
      <c r="D12317" s="2">
        <v>0.1474</v>
      </c>
      <c r="E12317" s="2">
        <v>6.59E-2</v>
      </c>
      <c r="F12317" s="2">
        <v>4.8300000000000003E-2</v>
      </c>
      <c r="G12317" s="2">
        <v>0.04</v>
      </c>
      <c r="H12317" s="2">
        <v>3.5400000000000001E-2</v>
      </c>
      <c r="I12317" s="2">
        <v>1.9900000000000001E-2</v>
      </c>
      <c r="J12317" s="2">
        <v>1.1900000000000001E-2</v>
      </c>
      <c r="K12317" s="2">
        <v>8.5000000000000006E-3</v>
      </c>
      <c r="L12317" s="2">
        <v>1.7600000000000001E-2</v>
      </c>
      <c r="M12317" s="2">
        <v>1.8100000000000002E-2</v>
      </c>
      <c r="N12317" s="2">
        <v>1.2E-2</v>
      </c>
      <c r="O12317" s="2">
        <v>9.4999999999999998E-3</v>
      </c>
      <c r="P12317" s="2">
        <v>4.3E-3</v>
      </c>
      <c r="Q12317" s="2">
        <v>2.9999999999999997E-4</v>
      </c>
      <c r="R12317">
        <v>941</v>
      </c>
    </row>
    <row r="12318" spans="1:18" x14ac:dyDescent="0.35">
      <c r="A12318" t="s">
        <v>227</v>
      </c>
      <c r="B12318" t="s">
        <v>2727</v>
      </c>
      <c r="C12318" s="2">
        <v>0.82220000000000004</v>
      </c>
      <c r="D12318" s="2">
        <v>6.6699999999999995E-2</v>
      </c>
      <c r="E12318" s="2">
        <v>4.9000000000000002E-2</v>
      </c>
      <c r="F12318" s="2">
        <v>5.8900000000000001E-2</v>
      </c>
      <c r="G12318" s="2">
        <v>4.8999999999999998E-3</v>
      </c>
      <c r="H12318" s="2">
        <v>1.8200000000000001E-2</v>
      </c>
      <c r="I12318" s="2">
        <v>1.8E-3</v>
      </c>
      <c r="J12318" s="2">
        <v>2.5000000000000001E-3</v>
      </c>
      <c r="K12318" s="2">
        <v>1.8499999999999999E-2</v>
      </c>
      <c r="L12318" s="2">
        <v>1.4200000000000001E-2</v>
      </c>
      <c r="M12318" s="2">
        <v>2.0299999999999999E-2</v>
      </c>
      <c r="N12318" s="2">
        <v>4.7000000000000002E-3</v>
      </c>
      <c r="R12318">
        <v>261</v>
      </c>
    </row>
    <row r="12319" spans="1:18" x14ac:dyDescent="0.35">
      <c r="A12319" t="s">
        <v>227</v>
      </c>
      <c r="B12319" t="s">
        <v>2728</v>
      </c>
      <c r="C12319" s="2">
        <v>0.74309999999999998</v>
      </c>
      <c r="D12319" s="2">
        <v>0.1153</v>
      </c>
      <c r="E12319" s="2">
        <v>5.28E-2</v>
      </c>
      <c r="F12319" s="2">
        <v>6.0100000000000001E-2</v>
      </c>
      <c r="G12319" s="2">
        <v>5.74E-2</v>
      </c>
      <c r="H12319" s="2">
        <v>3.0099999999999998E-2</v>
      </c>
      <c r="I12319" s="2">
        <v>2.41E-2</v>
      </c>
      <c r="J12319" s="2">
        <v>2.0400000000000001E-2</v>
      </c>
      <c r="K12319" s="2">
        <v>1.7600000000000001E-2</v>
      </c>
      <c r="L12319" s="2">
        <v>1.0500000000000001E-2</v>
      </c>
      <c r="M12319" s="2">
        <v>9.1999999999999998E-3</v>
      </c>
      <c r="N12319" s="2">
        <v>7.6E-3</v>
      </c>
      <c r="O12319" s="2">
        <v>1.5E-3</v>
      </c>
      <c r="P12319" s="2">
        <v>1.4E-3</v>
      </c>
      <c r="Q12319" s="2">
        <v>2.0000000000000001E-4</v>
      </c>
      <c r="R12319">
        <v>1547</v>
      </c>
    </row>
    <row r="12320" spans="1:18" x14ac:dyDescent="0.35">
      <c r="A12320" t="s">
        <v>228</v>
      </c>
      <c r="B12320" t="s">
        <v>228</v>
      </c>
      <c r="C12320" s="2">
        <v>0.73970000000000002</v>
      </c>
      <c r="D12320" s="2">
        <v>0.1208</v>
      </c>
      <c r="E12320" s="2">
        <v>5.6599999999999998E-2</v>
      </c>
      <c r="F12320" s="2">
        <v>5.6300000000000003E-2</v>
      </c>
      <c r="G12320" s="2">
        <v>4.7100000000000003E-2</v>
      </c>
      <c r="H12320" s="2">
        <v>3.0599999999999999E-2</v>
      </c>
      <c r="I12320" s="2">
        <v>2.07E-2</v>
      </c>
      <c r="J12320" s="2">
        <v>1.61E-2</v>
      </c>
      <c r="K12320" s="2">
        <v>1.4800000000000001E-2</v>
      </c>
      <c r="L12320" s="2">
        <v>1.3100000000000001E-2</v>
      </c>
      <c r="M12320" s="2">
        <v>1.2999999999999999E-2</v>
      </c>
      <c r="N12320" s="2">
        <v>8.6999999999999994E-3</v>
      </c>
      <c r="O12320" s="2">
        <v>3.8E-3</v>
      </c>
      <c r="P12320" s="2">
        <v>2.2000000000000001E-3</v>
      </c>
      <c r="Q12320" s="2">
        <v>2.0000000000000001E-4</v>
      </c>
      <c r="R12320">
        <v>2749</v>
      </c>
    </row>
    <row r="12322" spans="1:6" x14ac:dyDescent="0.35">
      <c r="A12322" s="1" t="s">
        <v>2788</v>
      </c>
    </row>
    <row r="12323" spans="1:6" x14ac:dyDescent="0.35">
      <c r="A12323" t="s">
        <v>219</v>
      </c>
      <c r="B12323" t="s">
        <v>301</v>
      </c>
      <c r="C12323" t="s">
        <v>298</v>
      </c>
      <c r="D12323" t="s">
        <v>299</v>
      </c>
      <c r="E12323" t="s">
        <v>282</v>
      </c>
      <c r="F12323" t="s">
        <v>226</v>
      </c>
    </row>
    <row r="12324" spans="1:6" x14ac:dyDescent="0.35">
      <c r="A12324" t="s">
        <v>227</v>
      </c>
      <c r="B12324" t="s">
        <v>2726</v>
      </c>
      <c r="C12324" s="2">
        <v>0.90720000000000001</v>
      </c>
      <c r="D12324" s="2">
        <v>9.2600000000000002E-2</v>
      </c>
      <c r="E12324" s="2">
        <v>2.0000000000000001E-4</v>
      </c>
      <c r="F12324">
        <v>959</v>
      </c>
    </row>
    <row r="12325" spans="1:6" x14ac:dyDescent="0.35">
      <c r="A12325" t="s">
        <v>227</v>
      </c>
      <c r="B12325" t="s">
        <v>2727</v>
      </c>
      <c r="C12325" s="2">
        <v>0.90259999999999996</v>
      </c>
      <c r="D12325" s="2">
        <v>9.74E-2</v>
      </c>
      <c r="F12325">
        <v>270</v>
      </c>
    </row>
    <row r="12326" spans="1:6" x14ac:dyDescent="0.35">
      <c r="A12326" t="s">
        <v>227</v>
      </c>
      <c r="B12326" t="s">
        <v>2728</v>
      </c>
      <c r="C12326" s="2">
        <v>0.90080000000000005</v>
      </c>
      <c r="D12326" s="2">
        <v>9.9000000000000005E-2</v>
      </c>
      <c r="E12326" s="2">
        <v>2.0000000000000001E-4</v>
      </c>
      <c r="F12326">
        <v>1580</v>
      </c>
    </row>
    <row r="12327" spans="1:6" x14ac:dyDescent="0.35">
      <c r="A12327" t="s">
        <v>228</v>
      </c>
      <c r="B12327" t="s">
        <v>228</v>
      </c>
      <c r="C12327" s="2">
        <v>0.90300000000000002</v>
      </c>
      <c r="D12327" s="2">
        <v>9.6799999999999997E-2</v>
      </c>
      <c r="E12327" s="2">
        <v>2.0000000000000001E-4</v>
      </c>
      <c r="F12327">
        <v>2809</v>
      </c>
    </row>
    <row r="12329" spans="1:6" x14ac:dyDescent="0.35">
      <c r="A12329" s="1" t="s">
        <v>2789</v>
      </c>
    </row>
    <row r="12330" spans="1:6" x14ac:dyDescent="0.35">
      <c r="A12330" t="s">
        <v>219</v>
      </c>
      <c r="B12330" t="s">
        <v>301</v>
      </c>
      <c r="C12330" t="s">
        <v>299</v>
      </c>
      <c r="D12330" t="s">
        <v>298</v>
      </c>
      <c r="E12330" t="s">
        <v>282</v>
      </c>
      <c r="F12330" t="s">
        <v>226</v>
      </c>
    </row>
    <row r="12331" spans="1:6" x14ac:dyDescent="0.35">
      <c r="A12331" t="s">
        <v>227</v>
      </c>
      <c r="B12331" t="s">
        <v>2726</v>
      </c>
      <c r="C12331" s="2">
        <v>0.70199999999999996</v>
      </c>
      <c r="D12331" s="2">
        <v>0.29339999999999999</v>
      </c>
      <c r="E12331" s="2">
        <v>4.5999999999999999E-3</v>
      </c>
      <c r="F12331">
        <v>209</v>
      </c>
    </row>
    <row r="12332" spans="1:6" x14ac:dyDescent="0.35">
      <c r="A12332" t="s">
        <v>227</v>
      </c>
      <c r="B12332" t="s">
        <v>2727</v>
      </c>
      <c r="C12332" s="2">
        <v>0.69950000000000001</v>
      </c>
      <c r="D12332" s="2">
        <v>0.30049999999999999</v>
      </c>
      <c r="F12332">
        <v>54</v>
      </c>
    </row>
    <row r="12333" spans="1:6" x14ac:dyDescent="0.35">
      <c r="A12333" t="s">
        <v>227</v>
      </c>
      <c r="B12333" t="s">
        <v>2728</v>
      </c>
      <c r="C12333" s="2">
        <v>0.69420000000000004</v>
      </c>
      <c r="D12333" s="2">
        <v>0.30580000000000002</v>
      </c>
      <c r="F12333">
        <v>346</v>
      </c>
    </row>
    <row r="12334" spans="1:6" x14ac:dyDescent="0.35">
      <c r="A12334" t="s">
        <v>228</v>
      </c>
      <c r="B12334" t="s">
        <v>228</v>
      </c>
      <c r="C12334" s="2">
        <v>0.69699999999999995</v>
      </c>
      <c r="D12334" s="2">
        <v>0.30159999999999998</v>
      </c>
      <c r="E12334" s="2">
        <v>1.4E-3</v>
      </c>
      <c r="F12334">
        <v>609</v>
      </c>
    </row>
    <row r="12336" spans="1:6" x14ac:dyDescent="0.35">
      <c r="A12336" s="1" t="s">
        <v>2790</v>
      </c>
    </row>
    <row r="12337" spans="1:11" x14ac:dyDescent="0.35">
      <c r="A12337" t="s">
        <v>219</v>
      </c>
      <c r="B12337" t="s">
        <v>301</v>
      </c>
      <c r="C12337" t="s">
        <v>1810</v>
      </c>
      <c r="D12337" t="s">
        <v>1811</v>
      </c>
      <c r="E12337" t="s">
        <v>277</v>
      </c>
      <c r="F12337" t="s">
        <v>1812</v>
      </c>
      <c r="G12337" t="s">
        <v>1813</v>
      </c>
      <c r="H12337" t="s">
        <v>1814</v>
      </c>
      <c r="I12337" t="s">
        <v>1815</v>
      </c>
      <c r="J12337" t="s">
        <v>1816</v>
      </c>
      <c r="K12337" t="s">
        <v>226</v>
      </c>
    </row>
    <row r="12338" spans="1:11" x14ac:dyDescent="0.35">
      <c r="A12338" t="s">
        <v>227</v>
      </c>
      <c r="B12338" t="s">
        <v>2726</v>
      </c>
      <c r="C12338" s="2">
        <v>0.49730000000000002</v>
      </c>
      <c r="D12338" s="2">
        <v>0.18410000000000001</v>
      </c>
      <c r="E12338" s="2">
        <v>4.02E-2</v>
      </c>
      <c r="F12338" s="2">
        <v>0.26850000000000002</v>
      </c>
      <c r="G12338" s="2">
        <v>5.5500000000000001E-2</v>
      </c>
      <c r="H12338" s="2">
        <v>0.19009999999999999</v>
      </c>
      <c r="I12338" s="2">
        <v>6.2399999999999997E-2</v>
      </c>
      <c r="J12338" s="2">
        <v>1.54E-2</v>
      </c>
      <c r="K12338">
        <v>81</v>
      </c>
    </row>
    <row r="12339" spans="1:11" x14ac:dyDescent="0.35">
      <c r="A12339" s="3" t="s">
        <v>227</v>
      </c>
      <c r="B12339" s="3" t="s">
        <v>2727</v>
      </c>
      <c r="C12339" s="4">
        <v>0.68320000000000003</v>
      </c>
      <c r="D12339" s="4">
        <v>0.1472</v>
      </c>
      <c r="E12339" s="5"/>
      <c r="F12339" s="5"/>
      <c r="G12339" s="4">
        <v>0.1128</v>
      </c>
      <c r="H12339" s="4">
        <v>9.4999999999999998E-3</v>
      </c>
      <c r="I12339" s="4">
        <v>5.9900000000000002E-2</v>
      </c>
      <c r="J12339" s="4">
        <v>5.8500000000000003E-2</v>
      </c>
      <c r="K12339" s="5" t="s">
        <v>848</v>
      </c>
    </row>
    <row r="12340" spans="1:11" x14ac:dyDescent="0.35">
      <c r="A12340" t="s">
        <v>227</v>
      </c>
      <c r="B12340" t="s">
        <v>2728</v>
      </c>
      <c r="C12340" s="2">
        <v>0.44579999999999997</v>
      </c>
      <c r="D12340" s="2">
        <v>0.27</v>
      </c>
      <c r="E12340" s="2">
        <v>0.20649999999999999</v>
      </c>
      <c r="F12340" s="2">
        <v>7.8600000000000003E-2</v>
      </c>
      <c r="G12340" s="2">
        <v>0.14430000000000001</v>
      </c>
      <c r="H12340" s="2">
        <v>8.7900000000000006E-2</v>
      </c>
      <c r="I12340" s="2">
        <v>3.0800000000000001E-2</v>
      </c>
      <c r="J12340" s="2">
        <v>3.49E-2</v>
      </c>
      <c r="K12340">
        <v>126</v>
      </c>
    </row>
    <row r="12341" spans="1:11" x14ac:dyDescent="0.35">
      <c r="A12341" t="s">
        <v>228</v>
      </c>
      <c r="B12341" t="s">
        <v>228</v>
      </c>
      <c r="C12341" s="2">
        <v>0.48330000000000001</v>
      </c>
      <c r="D12341" s="2">
        <v>0.23419999999999999</v>
      </c>
      <c r="E12341" s="2">
        <v>0.14030000000000001</v>
      </c>
      <c r="F12341" s="2">
        <v>0.1235</v>
      </c>
      <c r="G12341" s="2">
        <v>0.1167</v>
      </c>
      <c r="H12341" s="2">
        <v>0.1085</v>
      </c>
      <c r="I12341" s="2">
        <v>4.24E-2</v>
      </c>
      <c r="J12341" s="2">
        <v>3.1800000000000002E-2</v>
      </c>
      <c r="K12341">
        <v>222</v>
      </c>
    </row>
    <row r="12343" spans="1:11" x14ac:dyDescent="0.35">
      <c r="A12343" s="1" t="s">
        <v>2791</v>
      </c>
    </row>
    <row r="12344" spans="1:11" x14ac:dyDescent="0.35">
      <c r="A12344" t="s">
        <v>219</v>
      </c>
      <c r="B12344" t="s">
        <v>301</v>
      </c>
      <c r="C12344" t="s">
        <v>1829</v>
      </c>
      <c r="D12344" t="s">
        <v>1830</v>
      </c>
      <c r="E12344" t="s">
        <v>1831</v>
      </c>
      <c r="F12344" t="s">
        <v>1832</v>
      </c>
      <c r="G12344" t="s">
        <v>1833</v>
      </c>
      <c r="H12344" t="s">
        <v>277</v>
      </c>
      <c r="I12344" t="s">
        <v>226</v>
      </c>
    </row>
    <row r="12345" spans="1:11" x14ac:dyDescent="0.35">
      <c r="A12345" t="s">
        <v>227</v>
      </c>
      <c r="B12345" t="s">
        <v>2726</v>
      </c>
      <c r="C12345" s="2">
        <v>0.61240000000000006</v>
      </c>
      <c r="D12345" s="2">
        <v>0.25119999999999998</v>
      </c>
      <c r="E12345" s="2">
        <v>7.3899999999999993E-2</v>
      </c>
      <c r="F12345" s="2">
        <v>5.9700000000000003E-2</v>
      </c>
      <c r="G12345" s="2">
        <v>2.8E-3</v>
      </c>
      <c r="I12345">
        <v>209</v>
      </c>
    </row>
    <row r="12346" spans="1:11" x14ac:dyDescent="0.35">
      <c r="A12346" t="s">
        <v>227</v>
      </c>
      <c r="B12346" t="s">
        <v>2727</v>
      </c>
      <c r="C12346" s="2">
        <v>0.5786</v>
      </c>
      <c r="D12346" s="2">
        <v>0.31969999999999998</v>
      </c>
      <c r="E12346" s="2">
        <v>5.0099999999999999E-2</v>
      </c>
      <c r="F12346" s="2">
        <v>3.4000000000000002E-2</v>
      </c>
      <c r="G12346" s="2">
        <v>1.7600000000000001E-2</v>
      </c>
      <c r="I12346">
        <v>54</v>
      </c>
    </row>
    <row r="12347" spans="1:11" x14ac:dyDescent="0.35">
      <c r="A12347" t="s">
        <v>227</v>
      </c>
      <c r="B12347" t="s">
        <v>2728</v>
      </c>
      <c r="C12347" s="2">
        <v>0.49340000000000001</v>
      </c>
      <c r="D12347" s="2">
        <v>0.2878</v>
      </c>
      <c r="E12347" s="2">
        <v>9.9599999999999994E-2</v>
      </c>
      <c r="F12347" s="2">
        <v>5.8999999999999997E-2</v>
      </c>
      <c r="G12347" s="2">
        <v>3.1199999999999999E-2</v>
      </c>
      <c r="H12347" s="2">
        <v>2.9000000000000001E-2</v>
      </c>
      <c r="I12347">
        <v>346</v>
      </c>
    </row>
    <row r="12348" spans="1:11" x14ac:dyDescent="0.35">
      <c r="A12348" t="s">
        <v>228</v>
      </c>
      <c r="B12348" t="s">
        <v>228</v>
      </c>
      <c r="C12348" s="2">
        <v>0.53680000000000005</v>
      </c>
      <c r="D12348" s="2">
        <v>0.28000000000000003</v>
      </c>
      <c r="E12348" s="2">
        <v>8.7300000000000003E-2</v>
      </c>
      <c r="F12348" s="2">
        <v>5.6800000000000003E-2</v>
      </c>
      <c r="G12348" s="2">
        <v>2.1499999999999998E-2</v>
      </c>
      <c r="H12348" s="2">
        <v>1.77E-2</v>
      </c>
      <c r="I12348">
        <v>609</v>
      </c>
    </row>
    <row r="12350" spans="1:11" x14ac:dyDescent="0.35">
      <c r="A12350" s="1" t="s">
        <v>2792</v>
      </c>
    </row>
    <row r="12351" spans="1:11" x14ac:dyDescent="0.35">
      <c r="A12351" t="s">
        <v>219</v>
      </c>
      <c r="B12351" t="s">
        <v>301</v>
      </c>
      <c r="C12351" t="s">
        <v>299</v>
      </c>
      <c r="D12351" t="s">
        <v>1846</v>
      </c>
      <c r="E12351" t="s">
        <v>1847</v>
      </c>
      <c r="F12351" t="s">
        <v>226</v>
      </c>
    </row>
    <row r="12352" spans="1:11" x14ac:dyDescent="0.35">
      <c r="A12352" t="s">
        <v>227</v>
      </c>
      <c r="B12352" t="s">
        <v>2726</v>
      </c>
      <c r="C12352" s="2">
        <v>0.97840000000000005</v>
      </c>
      <c r="D12352" s="2">
        <v>1.95E-2</v>
      </c>
      <c r="E12352" s="2">
        <v>2.0999999999999999E-3</v>
      </c>
      <c r="F12352">
        <v>959</v>
      </c>
    </row>
    <row r="12353" spans="1:6" x14ac:dyDescent="0.35">
      <c r="A12353" t="s">
        <v>227</v>
      </c>
      <c r="B12353" t="s">
        <v>2727</v>
      </c>
      <c r="C12353" s="2">
        <v>0.99219999999999997</v>
      </c>
      <c r="D12353" s="2">
        <v>7.7999999999999996E-3</v>
      </c>
      <c r="F12353">
        <v>270</v>
      </c>
    </row>
    <row r="12354" spans="1:6" x14ac:dyDescent="0.35">
      <c r="A12354" t="s">
        <v>227</v>
      </c>
      <c r="B12354" t="s">
        <v>2728</v>
      </c>
      <c r="C12354" s="2">
        <v>0.97550000000000003</v>
      </c>
      <c r="D12354" s="2">
        <v>2.4500000000000001E-2</v>
      </c>
      <c r="F12354">
        <v>1580</v>
      </c>
    </row>
    <row r="12355" spans="1:6" x14ac:dyDescent="0.35">
      <c r="A12355" t="s">
        <v>228</v>
      </c>
      <c r="B12355" t="s">
        <v>228</v>
      </c>
      <c r="C12355" s="2">
        <v>0.97799999999999998</v>
      </c>
      <c r="D12355" s="2">
        <v>2.1299999999999999E-2</v>
      </c>
      <c r="E12355" s="2">
        <v>5.9999999999999995E-4</v>
      </c>
      <c r="F12355">
        <v>2809</v>
      </c>
    </row>
    <row r="12357" spans="1:6" x14ac:dyDescent="0.35">
      <c r="A12357" s="1" t="s">
        <v>2793</v>
      </c>
    </row>
    <row r="12358" spans="1:6" x14ac:dyDescent="0.35">
      <c r="A12358" t="s">
        <v>219</v>
      </c>
      <c r="B12358" t="s">
        <v>301</v>
      </c>
      <c r="C12358" t="s">
        <v>299</v>
      </c>
      <c r="D12358" t="s">
        <v>298</v>
      </c>
      <c r="E12358" t="s">
        <v>226</v>
      </c>
    </row>
    <row r="12359" spans="1:6" x14ac:dyDescent="0.35">
      <c r="A12359" t="s">
        <v>227</v>
      </c>
      <c r="B12359" t="s">
        <v>2726</v>
      </c>
      <c r="C12359" s="2">
        <v>0.98070000000000002</v>
      </c>
      <c r="D12359" s="2">
        <v>1.9300000000000001E-2</v>
      </c>
      <c r="E12359">
        <v>959</v>
      </c>
    </row>
    <row r="12360" spans="1:6" x14ac:dyDescent="0.35">
      <c r="A12360" t="s">
        <v>227</v>
      </c>
      <c r="B12360" t="s">
        <v>2727</v>
      </c>
      <c r="C12360" s="2">
        <v>1</v>
      </c>
      <c r="E12360">
        <v>270</v>
      </c>
    </row>
    <row r="12361" spans="1:6" x14ac:dyDescent="0.35">
      <c r="A12361" t="s">
        <v>227</v>
      </c>
      <c r="B12361" t="s">
        <v>2728</v>
      </c>
      <c r="C12361" s="2">
        <v>0.98270000000000002</v>
      </c>
      <c r="D12361" s="2">
        <v>1.7299999999999999E-2</v>
      </c>
      <c r="E12361">
        <v>1580</v>
      </c>
    </row>
    <row r="12362" spans="1:6" x14ac:dyDescent="0.35">
      <c r="A12362" t="s">
        <v>228</v>
      </c>
      <c r="B12362" t="s">
        <v>228</v>
      </c>
      <c r="C12362" s="2">
        <v>0.98370000000000002</v>
      </c>
      <c r="D12362" s="2">
        <v>1.6299999999999999E-2</v>
      </c>
      <c r="E12362">
        <v>2809</v>
      </c>
    </row>
    <row r="12364" spans="1:6" x14ac:dyDescent="0.35">
      <c r="A12364" s="1" t="s">
        <v>2794</v>
      </c>
    </row>
    <row r="12365" spans="1:6" x14ac:dyDescent="0.35">
      <c r="A12365" t="s">
        <v>219</v>
      </c>
      <c r="B12365" t="s">
        <v>301</v>
      </c>
      <c r="C12365" t="s">
        <v>299</v>
      </c>
      <c r="D12365" t="s">
        <v>298</v>
      </c>
      <c r="E12365" t="s">
        <v>282</v>
      </c>
      <c r="F12365" t="s">
        <v>226</v>
      </c>
    </row>
    <row r="12366" spans="1:6" x14ac:dyDescent="0.35">
      <c r="A12366" t="s">
        <v>227</v>
      </c>
      <c r="B12366" t="s">
        <v>2726</v>
      </c>
      <c r="C12366" s="2">
        <v>0.98809999999999998</v>
      </c>
      <c r="D12366" s="2">
        <v>1.18E-2</v>
      </c>
      <c r="E12366" s="2">
        <v>1E-4</v>
      </c>
      <c r="F12366">
        <v>959</v>
      </c>
    </row>
    <row r="12367" spans="1:6" x14ac:dyDescent="0.35">
      <c r="A12367" t="s">
        <v>227</v>
      </c>
      <c r="B12367" t="s">
        <v>2727</v>
      </c>
      <c r="C12367" s="2">
        <v>0.99919999999999998</v>
      </c>
      <c r="D12367" s="2">
        <v>8.0000000000000004E-4</v>
      </c>
      <c r="F12367">
        <v>270</v>
      </c>
    </row>
    <row r="12368" spans="1:6" x14ac:dyDescent="0.35">
      <c r="A12368" t="s">
        <v>227</v>
      </c>
      <c r="B12368" t="s">
        <v>2728</v>
      </c>
      <c r="C12368" s="2">
        <v>0.99050000000000005</v>
      </c>
      <c r="D12368" s="2">
        <v>9.4999999999999998E-3</v>
      </c>
      <c r="F12368">
        <v>1580</v>
      </c>
    </row>
    <row r="12369" spans="1:11" x14ac:dyDescent="0.35">
      <c r="A12369" t="s">
        <v>228</v>
      </c>
      <c r="B12369" t="s">
        <v>228</v>
      </c>
      <c r="C12369" s="2">
        <v>0.99060000000000004</v>
      </c>
      <c r="D12369" s="2">
        <v>9.4000000000000004E-3</v>
      </c>
      <c r="E12369" s="2">
        <v>0</v>
      </c>
      <c r="F12369">
        <v>2809</v>
      </c>
    </row>
    <row r="12371" spans="1:11" x14ac:dyDescent="0.35">
      <c r="A12371" s="1" t="s">
        <v>2795</v>
      </c>
    </row>
    <row r="12372" spans="1:11" x14ac:dyDescent="0.35">
      <c r="A12372" t="s">
        <v>219</v>
      </c>
      <c r="B12372" t="s">
        <v>301</v>
      </c>
      <c r="C12372" t="s">
        <v>1884</v>
      </c>
      <c r="D12372" t="s">
        <v>1885</v>
      </c>
      <c r="E12372" t="s">
        <v>1886</v>
      </c>
      <c r="F12372" t="s">
        <v>1887</v>
      </c>
      <c r="G12372" t="s">
        <v>277</v>
      </c>
      <c r="H12372" t="s">
        <v>1888</v>
      </c>
      <c r="I12372" t="s">
        <v>1889</v>
      </c>
      <c r="J12372" t="s">
        <v>282</v>
      </c>
      <c r="K12372" t="s">
        <v>226</v>
      </c>
    </row>
    <row r="12373" spans="1:11" x14ac:dyDescent="0.35">
      <c r="A12373" t="s">
        <v>227</v>
      </c>
      <c r="B12373" t="s">
        <v>2726</v>
      </c>
      <c r="C12373" s="2">
        <v>0.49399999999999999</v>
      </c>
      <c r="D12373" s="2">
        <v>0.27850000000000003</v>
      </c>
      <c r="E12373" s="2">
        <v>0.15709999999999999</v>
      </c>
      <c r="F12373" s="2">
        <v>4.6800000000000001E-2</v>
      </c>
      <c r="G12373" s="2">
        <v>1.2800000000000001E-2</v>
      </c>
      <c r="H12373" s="2">
        <v>5.3E-3</v>
      </c>
      <c r="I12373" s="2">
        <v>5.4999999999999997E-3</v>
      </c>
      <c r="K12373">
        <v>960</v>
      </c>
    </row>
    <row r="12374" spans="1:11" x14ac:dyDescent="0.35">
      <c r="A12374" t="s">
        <v>227</v>
      </c>
      <c r="B12374" t="s">
        <v>2727</v>
      </c>
      <c r="C12374" s="2">
        <v>0.42909999999999998</v>
      </c>
      <c r="D12374" s="2">
        <v>0.32479999999999998</v>
      </c>
      <c r="E12374" s="2">
        <v>0.19819999999999999</v>
      </c>
      <c r="F12374" s="2">
        <v>3.56E-2</v>
      </c>
      <c r="G12374" s="2">
        <v>1.15E-2</v>
      </c>
      <c r="H12374" s="2">
        <v>8.0000000000000004E-4</v>
      </c>
      <c r="K12374">
        <v>270</v>
      </c>
    </row>
    <row r="12375" spans="1:11" x14ac:dyDescent="0.35">
      <c r="A12375" t="s">
        <v>227</v>
      </c>
      <c r="B12375" t="s">
        <v>2728</v>
      </c>
      <c r="C12375" s="2">
        <v>0.46129999999999999</v>
      </c>
      <c r="D12375" s="2">
        <v>0.28320000000000001</v>
      </c>
      <c r="E12375" s="2">
        <v>0.17910000000000001</v>
      </c>
      <c r="F12375" s="2">
        <v>5.2999999999999999E-2</v>
      </c>
      <c r="G12375" s="2">
        <v>1.01E-2</v>
      </c>
      <c r="H12375" s="2">
        <v>7.7000000000000002E-3</v>
      </c>
      <c r="I12375" s="2">
        <v>5.3E-3</v>
      </c>
      <c r="J12375" s="2">
        <v>2.9999999999999997E-4</v>
      </c>
      <c r="K12375">
        <v>1581</v>
      </c>
    </row>
    <row r="12376" spans="1:11" x14ac:dyDescent="0.35">
      <c r="A12376" t="s">
        <v>228</v>
      </c>
      <c r="B12376" t="s">
        <v>228</v>
      </c>
      <c r="C12376" s="2">
        <v>0.46879999999999999</v>
      </c>
      <c r="D12376" s="2">
        <v>0.28549999999999998</v>
      </c>
      <c r="E12376" s="2">
        <v>0.1739</v>
      </c>
      <c r="F12376" s="2">
        <v>4.9399999999999999E-2</v>
      </c>
      <c r="G12376" s="2">
        <v>1.11E-2</v>
      </c>
      <c r="H12376" s="2">
        <v>6.3E-3</v>
      </c>
      <c r="I12376" s="2">
        <v>4.8999999999999998E-3</v>
      </c>
      <c r="J12376" s="2">
        <v>2.0000000000000001E-4</v>
      </c>
      <c r="K12376">
        <v>2811</v>
      </c>
    </row>
    <row r="12378" spans="1:11" x14ac:dyDescent="0.35">
      <c r="A12378" s="1" t="s">
        <v>2796</v>
      </c>
    </row>
    <row r="12379" spans="1:11" x14ac:dyDescent="0.35">
      <c r="A12379" t="s">
        <v>219</v>
      </c>
      <c r="B12379" t="s">
        <v>301</v>
      </c>
      <c r="C12379" t="s">
        <v>1902</v>
      </c>
      <c r="D12379" t="s">
        <v>1903</v>
      </c>
      <c r="E12379" t="s">
        <v>1904</v>
      </c>
      <c r="F12379" t="s">
        <v>1905</v>
      </c>
      <c r="G12379" t="s">
        <v>1906</v>
      </c>
      <c r="H12379" t="s">
        <v>1907</v>
      </c>
      <c r="I12379" t="s">
        <v>1908</v>
      </c>
      <c r="J12379" t="s">
        <v>1909</v>
      </c>
      <c r="K12379" t="s">
        <v>226</v>
      </c>
    </row>
    <row r="12380" spans="1:11" x14ac:dyDescent="0.35">
      <c r="A12380" t="s">
        <v>227</v>
      </c>
      <c r="B12380" t="s">
        <v>2726</v>
      </c>
      <c r="C12380" s="2">
        <v>0.99509999999999998</v>
      </c>
      <c r="D12380" s="2">
        <v>2.2000000000000001E-3</v>
      </c>
      <c r="E12380" s="2">
        <v>2.0999999999999999E-3</v>
      </c>
      <c r="H12380" s="2">
        <v>1E-4</v>
      </c>
      <c r="I12380" s="2">
        <v>5.0000000000000001E-4</v>
      </c>
      <c r="J12380" s="2">
        <v>1E-4</v>
      </c>
      <c r="K12380">
        <v>961</v>
      </c>
    </row>
    <row r="12381" spans="1:11" x14ac:dyDescent="0.35">
      <c r="A12381" t="s">
        <v>227</v>
      </c>
      <c r="B12381" t="s">
        <v>2727</v>
      </c>
      <c r="C12381" s="2">
        <v>1</v>
      </c>
      <c r="K12381">
        <v>270</v>
      </c>
    </row>
    <row r="12382" spans="1:11" x14ac:dyDescent="0.35">
      <c r="A12382" t="s">
        <v>227</v>
      </c>
      <c r="B12382" t="s">
        <v>2728</v>
      </c>
      <c r="C12382" s="2">
        <v>0.99880000000000002</v>
      </c>
      <c r="D12382" s="2">
        <v>2.9999999999999997E-4</v>
      </c>
      <c r="E12382" s="2">
        <v>1E-4</v>
      </c>
      <c r="F12382" s="2">
        <v>2.9999999999999997E-4</v>
      </c>
      <c r="G12382" s="2">
        <v>2.9999999999999997E-4</v>
      </c>
      <c r="H12382" s="2">
        <v>2.0000000000000001E-4</v>
      </c>
      <c r="K12382">
        <v>1581</v>
      </c>
    </row>
    <row r="12383" spans="1:11" x14ac:dyDescent="0.35">
      <c r="A12383" t="s">
        <v>228</v>
      </c>
      <c r="B12383" t="s">
        <v>228</v>
      </c>
      <c r="C12383" s="2">
        <v>0.99780000000000002</v>
      </c>
      <c r="D12383" s="2">
        <v>8.9999999999999998E-4</v>
      </c>
      <c r="E12383" s="2">
        <v>6.9999999999999999E-4</v>
      </c>
      <c r="F12383" s="2">
        <v>2.0000000000000001E-4</v>
      </c>
      <c r="G12383" s="2">
        <v>2.0000000000000001E-4</v>
      </c>
      <c r="H12383" s="2">
        <v>1E-4</v>
      </c>
      <c r="I12383" s="2">
        <v>1E-4</v>
      </c>
      <c r="J12383" s="2">
        <v>0</v>
      </c>
      <c r="K12383">
        <v>2812</v>
      </c>
    </row>
    <row r="12385" spans="1:11" x14ac:dyDescent="0.35">
      <c r="A12385" s="1" t="s">
        <v>2797</v>
      </c>
    </row>
    <row r="12386" spans="1:11" x14ac:dyDescent="0.35">
      <c r="A12386" t="s">
        <v>219</v>
      </c>
      <c r="B12386" t="s">
        <v>301</v>
      </c>
      <c r="C12386" t="s">
        <v>1922</v>
      </c>
      <c r="D12386" t="s">
        <v>1923</v>
      </c>
      <c r="E12386" t="s">
        <v>1924</v>
      </c>
      <c r="F12386" t="s">
        <v>277</v>
      </c>
      <c r="G12386" t="s">
        <v>282</v>
      </c>
      <c r="H12386" t="s">
        <v>226</v>
      </c>
    </row>
    <row r="12387" spans="1:11" x14ac:dyDescent="0.35">
      <c r="A12387" t="s">
        <v>227</v>
      </c>
      <c r="B12387" t="s">
        <v>2726</v>
      </c>
      <c r="C12387" s="2">
        <v>0.72860000000000003</v>
      </c>
      <c r="D12387" s="2">
        <v>0.2487</v>
      </c>
      <c r="E12387" s="2">
        <v>2.1600000000000001E-2</v>
      </c>
      <c r="F12387" s="2">
        <v>4.0000000000000002E-4</v>
      </c>
      <c r="G12387" s="2">
        <v>6.9999999999999999E-4</v>
      </c>
      <c r="H12387">
        <v>955</v>
      </c>
    </row>
    <row r="12388" spans="1:11" x14ac:dyDescent="0.35">
      <c r="A12388" t="s">
        <v>227</v>
      </c>
      <c r="B12388" t="s">
        <v>2727</v>
      </c>
      <c r="C12388" s="2">
        <v>0.63560000000000005</v>
      </c>
      <c r="D12388" s="2">
        <v>0.32400000000000001</v>
      </c>
      <c r="E12388" s="2">
        <v>4.0300000000000002E-2</v>
      </c>
      <c r="H12388">
        <v>270</v>
      </c>
    </row>
    <row r="12389" spans="1:11" x14ac:dyDescent="0.35">
      <c r="A12389" t="s">
        <v>227</v>
      </c>
      <c r="B12389" t="s">
        <v>2728</v>
      </c>
      <c r="C12389" s="2">
        <v>0.64559999999999995</v>
      </c>
      <c r="D12389" s="2">
        <v>0.3196</v>
      </c>
      <c r="E12389" s="2">
        <v>2.69E-2</v>
      </c>
      <c r="F12389" s="2">
        <v>7.7000000000000002E-3</v>
      </c>
      <c r="G12389" s="2">
        <v>1E-4</v>
      </c>
      <c r="H12389">
        <v>1577</v>
      </c>
    </row>
    <row r="12390" spans="1:11" x14ac:dyDescent="0.35">
      <c r="A12390" t="s">
        <v>228</v>
      </c>
      <c r="B12390" t="s">
        <v>228</v>
      </c>
      <c r="C12390" s="2">
        <v>0.67049999999999998</v>
      </c>
      <c r="D12390" s="2">
        <v>0.2979</v>
      </c>
      <c r="E12390" s="2">
        <v>2.6499999999999999E-2</v>
      </c>
      <c r="F12390" s="2">
        <v>4.7000000000000002E-3</v>
      </c>
      <c r="G12390" s="2">
        <v>2.9999999999999997E-4</v>
      </c>
      <c r="H12390">
        <v>2802</v>
      </c>
    </row>
    <row r="12392" spans="1:11" x14ac:dyDescent="0.35">
      <c r="A12392" s="1" t="s">
        <v>2798</v>
      </c>
    </row>
    <row r="12393" spans="1:11" x14ac:dyDescent="0.35">
      <c r="A12393" t="s">
        <v>219</v>
      </c>
      <c r="B12393" t="s">
        <v>301</v>
      </c>
      <c r="C12393" t="s">
        <v>1937</v>
      </c>
      <c r="D12393" t="s">
        <v>1938</v>
      </c>
      <c r="E12393" t="s">
        <v>1939</v>
      </c>
      <c r="F12393" t="s">
        <v>1940</v>
      </c>
      <c r="G12393" t="s">
        <v>1941</v>
      </c>
      <c r="H12393" t="s">
        <v>1942</v>
      </c>
      <c r="I12393" t="s">
        <v>277</v>
      </c>
      <c r="J12393" t="s">
        <v>282</v>
      </c>
      <c r="K12393" t="s">
        <v>226</v>
      </c>
    </row>
    <row r="12394" spans="1:11" x14ac:dyDescent="0.35">
      <c r="A12394" t="s">
        <v>227</v>
      </c>
      <c r="B12394" t="s">
        <v>2726</v>
      </c>
      <c r="C12394" s="2">
        <v>0.79479999999999995</v>
      </c>
      <c r="D12394" s="2">
        <v>0.10929999999999999</v>
      </c>
      <c r="E12394" s="2">
        <v>5.0799999999999998E-2</v>
      </c>
      <c r="F12394" s="2">
        <v>4.36E-2</v>
      </c>
      <c r="G12394" s="2">
        <v>2.9600000000000001E-2</v>
      </c>
      <c r="H12394" s="2">
        <v>1.5599999999999999E-2</v>
      </c>
      <c r="I12394" s="2">
        <v>5.7999999999999996E-3</v>
      </c>
      <c r="J12394" s="2">
        <v>5.9999999999999995E-4</v>
      </c>
      <c r="K12394">
        <v>954</v>
      </c>
    </row>
    <row r="12395" spans="1:11" x14ac:dyDescent="0.35">
      <c r="A12395" t="s">
        <v>227</v>
      </c>
      <c r="B12395" t="s">
        <v>2727</v>
      </c>
      <c r="C12395" s="2">
        <v>0.76910000000000001</v>
      </c>
      <c r="D12395" s="2">
        <v>9.5200000000000007E-2</v>
      </c>
      <c r="E12395" s="2">
        <v>7.7799999999999994E-2</v>
      </c>
      <c r="F12395" s="2">
        <v>9.4899999999999998E-2</v>
      </c>
      <c r="G12395" s="2">
        <v>1.72E-2</v>
      </c>
      <c r="H12395" s="2">
        <v>1.43E-2</v>
      </c>
      <c r="K12395">
        <v>270</v>
      </c>
    </row>
    <row r="12396" spans="1:11" x14ac:dyDescent="0.35">
      <c r="A12396" t="s">
        <v>227</v>
      </c>
      <c r="B12396" t="s">
        <v>2728</v>
      </c>
      <c r="C12396" s="2">
        <v>0.7792</v>
      </c>
      <c r="D12396" s="2">
        <v>0.1118</v>
      </c>
      <c r="E12396" s="2">
        <v>8.3000000000000004E-2</v>
      </c>
      <c r="F12396" s="2">
        <v>5.0500000000000003E-2</v>
      </c>
      <c r="G12396" s="2">
        <v>2.69E-2</v>
      </c>
      <c r="H12396" s="2">
        <v>1.4999999999999999E-2</v>
      </c>
      <c r="I12396" s="2">
        <v>5.0000000000000001E-4</v>
      </c>
      <c r="J12396" s="2">
        <v>1E-4</v>
      </c>
      <c r="K12396">
        <v>1578</v>
      </c>
    </row>
    <row r="12397" spans="1:11" x14ac:dyDescent="0.35">
      <c r="A12397" t="s">
        <v>228</v>
      </c>
      <c r="B12397" t="s">
        <v>228</v>
      </c>
      <c r="C12397" s="2">
        <v>0.78259999999999996</v>
      </c>
      <c r="D12397" s="2">
        <v>0.1094</v>
      </c>
      <c r="E12397" s="2">
        <v>7.2499999999999995E-2</v>
      </c>
      <c r="F12397" s="2">
        <v>5.3100000000000001E-2</v>
      </c>
      <c r="G12397" s="2">
        <v>2.6800000000000001E-2</v>
      </c>
      <c r="H12397" s="2">
        <v>1.5100000000000001E-2</v>
      </c>
      <c r="I12397" s="2">
        <v>2.0999999999999999E-3</v>
      </c>
      <c r="J12397" s="2">
        <v>2.9999999999999997E-4</v>
      </c>
      <c r="K12397">
        <v>2802</v>
      </c>
    </row>
    <row r="12399" spans="1:11" x14ac:dyDescent="0.35">
      <c r="A12399" s="1" t="s">
        <v>2799</v>
      </c>
    </row>
    <row r="12400" spans="1:11" x14ac:dyDescent="0.35">
      <c r="A12400" t="s">
        <v>219</v>
      </c>
      <c r="B12400" t="s">
        <v>301</v>
      </c>
      <c r="C12400" t="s">
        <v>298</v>
      </c>
      <c r="D12400" t="s">
        <v>299</v>
      </c>
      <c r="E12400" t="s">
        <v>277</v>
      </c>
      <c r="F12400" t="s">
        <v>282</v>
      </c>
      <c r="G12400" t="s">
        <v>226</v>
      </c>
    </row>
    <row r="12401" spans="1:19" x14ac:dyDescent="0.35">
      <c r="A12401" t="s">
        <v>227</v>
      </c>
      <c r="B12401" t="s">
        <v>2726</v>
      </c>
      <c r="C12401" s="2">
        <v>0.77800000000000002</v>
      </c>
      <c r="D12401" s="2">
        <v>0.2109</v>
      </c>
      <c r="E12401" s="2">
        <v>1.0200000000000001E-2</v>
      </c>
      <c r="F12401" s="2">
        <v>8.9999999999999998E-4</v>
      </c>
      <c r="G12401">
        <v>959</v>
      </c>
    </row>
    <row r="12402" spans="1:19" x14ac:dyDescent="0.35">
      <c r="A12402" t="s">
        <v>227</v>
      </c>
      <c r="B12402" t="s">
        <v>2727</v>
      </c>
      <c r="C12402" s="2">
        <v>0.71440000000000003</v>
      </c>
      <c r="D12402" s="2">
        <v>0.28560000000000002</v>
      </c>
      <c r="G12402">
        <v>270</v>
      </c>
    </row>
    <row r="12403" spans="1:19" x14ac:dyDescent="0.35">
      <c r="A12403" t="s">
        <v>227</v>
      </c>
      <c r="B12403" t="s">
        <v>2728</v>
      </c>
      <c r="C12403" s="2">
        <v>0.67300000000000004</v>
      </c>
      <c r="D12403" s="2">
        <v>0.32140000000000002</v>
      </c>
      <c r="E12403" s="2">
        <v>5.5999999999999999E-3</v>
      </c>
      <c r="G12403">
        <v>1580</v>
      </c>
    </row>
    <row r="12404" spans="1:19" x14ac:dyDescent="0.35">
      <c r="A12404" t="s">
        <v>228</v>
      </c>
      <c r="B12404" t="s">
        <v>228</v>
      </c>
      <c r="C12404" s="2">
        <v>0.7097</v>
      </c>
      <c r="D12404" s="2">
        <v>0.28349999999999997</v>
      </c>
      <c r="E12404" s="2">
        <v>6.4999999999999997E-3</v>
      </c>
      <c r="F12404" s="2">
        <v>2.9999999999999997E-4</v>
      </c>
      <c r="G12404">
        <v>2809</v>
      </c>
    </row>
    <row r="12406" spans="1:19" x14ac:dyDescent="0.35">
      <c r="A12406" s="1" t="s">
        <v>2800</v>
      </c>
    </row>
    <row r="12407" spans="1:19" x14ac:dyDescent="0.35">
      <c r="A12407" t="s">
        <v>219</v>
      </c>
      <c r="B12407" t="s">
        <v>301</v>
      </c>
      <c r="C12407" t="s">
        <v>1967</v>
      </c>
      <c r="D12407" t="s">
        <v>1968</v>
      </c>
      <c r="E12407" t="s">
        <v>1969</v>
      </c>
      <c r="F12407" t="s">
        <v>1970</v>
      </c>
      <c r="G12407" t="s">
        <v>277</v>
      </c>
      <c r="H12407" t="s">
        <v>282</v>
      </c>
      <c r="I12407" t="s">
        <v>226</v>
      </c>
    </row>
    <row r="12408" spans="1:19" x14ac:dyDescent="0.35">
      <c r="A12408" t="s">
        <v>227</v>
      </c>
      <c r="B12408" t="s">
        <v>2726</v>
      </c>
      <c r="C12408" s="2">
        <v>0.76439999999999997</v>
      </c>
      <c r="D12408" s="2">
        <v>7.6700000000000004E-2</v>
      </c>
      <c r="E12408" s="2">
        <v>8.1299999999999997E-2</v>
      </c>
      <c r="F12408" s="2">
        <v>4.9200000000000001E-2</v>
      </c>
      <c r="G12408" s="2">
        <v>2.6800000000000001E-2</v>
      </c>
      <c r="H12408" s="2">
        <v>1.6000000000000001E-3</v>
      </c>
      <c r="I12408">
        <v>961</v>
      </c>
    </row>
    <row r="12409" spans="1:19" x14ac:dyDescent="0.35">
      <c r="A12409" t="s">
        <v>227</v>
      </c>
      <c r="B12409" t="s">
        <v>2727</v>
      </c>
      <c r="C12409" s="2">
        <v>0.72770000000000001</v>
      </c>
      <c r="D12409" s="2">
        <v>8.0600000000000005E-2</v>
      </c>
      <c r="E12409" s="2">
        <v>0.1229</v>
      </c>
      <c r="F12409" s="2">
        <v>5.4600000000000003E-2</v>
      </c>
      <c r="G12409" s="2">
        <v>1.4200000000000001E-2</v>
      </c>
      <c r="I12409">
        <v>270</v>
      </c>
    </row>
    <row r="12410" spans="1:19" x14ac:dyDescent="0.35">
      <c r="A12410" t="s">
        <v>227</v>
      </c>
      <c r="B12410" t="s">
        <v>2728</v>
      </c>
      <c r="C12410" s="2">
        <v>0.8417</v>
      </c>
      <c r="D12410" s="2">
        <v>7.1300000000000002E-2</v>
      </c>
      <c r="E12410" s="2">
        <v>3.9600000000000003E-2</v>
      </c>
      <c r="F12410" s="2">
        <v>3.1600000000000003E-2</v>
      </c>
      <c r="G12410" s="2">
        <v>1.4999999999999999E-2</v>
      </c>
      <c r="H12410" s="2">
        <v>8.0000000000000004E-4</v>
      </c>
      <c r="I12410">
        <v>1581</v>
      </c>
    </row>
    <row r="12411" spans="1:19" x14ac:dyDescent="0.35">
      <c r="A12411" t="s">
        <v>228</v>
      </c>
      <c r="B12411" t="s">
        <v>228</v>
      </c>
      <c r="C12411" s="2">
        <v>0.80640000000000001</v>
      </c>
      <c r="D12411" s="2">
        <v>7.3800000000000004E-2</v>
      </c>
      <c r="E12411" s="2">
        <v>6.0299999999999999E-2</v>
      </c>
      <c r="F12411" s="2">
        <v>3.9899999999999998E-2</v>
      </c>
      <c r="G12411" s="2">
        <v>1.8599999999999998E-2</v>
      </c>
      <c r="H12411" s="2">
        <v>1E-3</v>
      </c>
      <c r="I12411">
        <v>2812</v>
      </c>
    </row>
    <row r="12413" spans="1:19" x14ac:dyDescent="0.35">
      <c r="A12413" s="1" t="s">
        <v>2801</v>
      </c>
    </row>
    <row r="12414" spans="1:19" x14ac:dyDescent="0.35">
      <c r="A12414" t="s">
        <v>219</v>
      </c>
      <c r="B12414" t="s">
        <v>301</v>
      </c>
      <c r="C12414" t="s">
        <v>1983</v>
      </c>
      <c r="D12414" t="s">
        <v>1984</v>
      </c>
      <c r="E12414" t="s">
        <v>1985</v>
      </c>
      <c r="F12414" t="s">
        <v>1986</v>
      </c>
      <c r="G12414" t="s">
        <v>1987</v>
      </c>
      <c r="H12414" t="s">
        <v>1988</v>
      </c>
      <c r="I12414" t="s">
        <v>1989</v>
      </c>
      <c r="J12414" t="s">
        <v>1990</v>
      </c>
      <c r="K12414" t="s">
        <v>1991</v>
      </c>
      <c r="L12414" t="s">
        <v>1992</v>
      </c>
      <c r="M12414" t="s">
        <v>1993</v>
      </c>
      <c r="N12414" t="s">
        <v>1994</v>
      </c>
      <c r="O12414" t="s">
        <v>277</v>
      </c>
      <c r="P12414" t="s">
        <v>1995</v>
      </c>
      <c r="Q12414" t="s">
        <v>282</v>
      </c>
      <c r="R12414" t="s">
        <v>1996</v>
      </c>
      <c r="S12414" t="s">
        <v>226</v>
      </c>
    </row>
    <row r="12415" spans="1:19" x14ac:dyDescent="0.35">
      <c r="A12415" t="s">
        <v>227</v>
      </c>
      <c r="B12415" t="s">
        <v>2726</v>
      </c>
      <c r="C12415" s="2">
        <v>0.44290000000000002</v>
      </c>
      <c r="D12415" s="2">
        <v>0.20630000000000001</v>
      </c>
      <c r="E12415" s="2">
        <v>0.16039999999999999</v>
      </c>
      <c r="F12415" s="2">
        <v>5.8400000000000001E-2</v>
      </c>
      <c r="G12415" s="2">
        <v>4.6100000000000002E-2</v>
      </c>
      <c r="H12415" s="2">
        <v>2.7900000000000001E-2</v>
      </c>
      <c r="I12415" s="2">
        <v>2.63E-2</v>
      </c>
      <c r="J12415" s="2">
        <v>1.34E-2</v>
      </c>
      <c r="K12415" s="2">
        <v>1.12E-2</v>
      </c>
      <c r="L12415" s="2">
        <v>3.3E-3</v>
      </c>
      <c r="M12415" s="2">
        <v>1E-3</v>
      </c>
      <c r="N12415" s="2">
        <v>2.3E-3</v>
      </c>
      <c r="Q12415" s="2">
        <v>5.9999999999999995E-4</v>
      </c>
      <c r="S12415">
        <v>960</v>
      </c>
    </row>
    <row r="12416" spans="1:19" x14ac:dyDescent="0.35">
      <c r="A12416" t="s">
        <v>227</v>
      </c>
      <c r="B12416" t="s">
        <v>2727</v>
      </c>
      <c r="C12416" s="2">
        <v>0.41839999999999999</v>
      </c>
      <c r="D12416" s="2">
        <v>0.2238</v>
      </c>
      <c r="E12416" s="2">
        <v>9.9199999999999997E-2</v>
      </c>
      <c r="F12416" s="2">
        <v>0.12470000000000001</v>
      </c>
      <c r="G12416" s="2">
        <v>8.3000000000000004E-2</v>
      </c>
      <c r="H12416" s="2">
        <v>2.69E-2</v>
      </c>
      <c r="I12416" s="2">
        <v>9.9000000000000008E-3</v>
      </c>
      <c r="J12416" s="2">
        <v>8.0000000000000004E-4</v>
      </c>
      <c r="K12416" s="2">
        <v>9.5999999999999992E-3</v>
      </c>
      <c r="L12416" s="2">
        <v>2.8E-3</v>
      </c>
      <c r="M12416" s="2">
        <v>8.9999999999999998E-4</v>
      </c>
      <c r="S12416">
        <v>270</v>
      </c>
    </row>
    <row r="12417" spans="1:19" x14ac:dyDescent="0.35">
      <c r="A12417" t="s">
        <v>227</v>
      </c>
      <c r="B12417" t="s">
        <v>2728</v>
      </c>
      <c r="C12417" s="2">
        <v>0.38590000000000002</v>
      </c>
      <c r="D12417" s="2">
        <v>0.25800000000000001</v>
      </c>
      <c r="E12417" s="2">
        <v>0.13750000000000001</v>
      </c>
      <c r="F12417" s="2">
        <v>8.1600000000000006E-2</v>
      </c>
      <c r="G12417" s="2">
        <v>4.7300000000000002E-2</v>
      </c>
      <c r="H12417" s="2">
        <v>2.2599999999999999E-2</v>
      </c>
      <c r="I12417" s="2">
        <v>2.0299999999999999E-2</v>
      </c>
      <c r="J12417" s="2">
        <v>2.1600000000000001E-2</v>
      </c>
      <c r="K12417" s="2">
        <v>9.7000000000000003E-3</v>
      </c>
      <c r="L12417" s="2">
        <v>5.1999999999999998E-3</v>
      </c>
      <c r="M12417" s="2">
        <v>5.7999999999999996E-3</v>
      </c>
      <c r="N12417" s="2">
        <v>1.1999999999999999E-3</v>
      </c>
      <c r="O12417" s="2">
        <v>2.0999999999999999E-3</v>
      </c>
      <c r="P12417" s="2">
        <v>6.9999999999999999E-4</v>
      </c>
      <c r="Q12417" s="2">
        <v>2.0000000000000001E-4</v>
      </c>
      <c r="R12417" s="2">
        <v>1E-4</v>
      </c>
      <c r="S12417">
        <v>1581</v>
      </c>
    </row>
    <row r="12418" spans="1:19" x14ac:dyDescent="0.35">
      <c r="A12418" t="s">
        <v>228</v>
      </c>
      <c r="B12418" t="s">
        <v>228</v>
      </c>
      <c r="C12418" s="2">
        <v>0.40639999999999998</v>
      </c>
      <c r="D12418" s="2">
        <v>0.23860000000000001</v>
      </c>
      <c r="E12418" s="2">
        <v>0.1416</v>
      </c>
      <c r="F12418" s="2">
        <v>7.8399999999999997E-2</v>
      </c>
      <c r="G12418" s="2">
        <v>5.0200000000000002E-2</v>
      </c>
      <c r="H12418" s="2">
        <v>2.46E-2</v>
      </c>
      <c r="I12418" s="2">
        <v>2.12E-2</v>
      </c>
      <c r="J12418" s="2">
        <v>1.7100000000000001E-2</v>
      </c>
      <c r="K12418" s="2">
        <v>1.0200000000000001E-2</v>
      </c>
      <c r="L12418" s="2">
        <v>4.4000000000000003E-3</v>
      </c>
      <c r="M12418" s="2">
        <v>3.8E-3</v>
      </c>
      <c r="N12418" s="2">
        <v>1.4E-3</v>
      </c>
      <c r="O12418" s="2">
        <v>1.2999999999999999E-3</v>
      </c>
      <c r="P12418" s="2">
        <v>4.0000000000000002E-4</v>
      </c>
      <c r="Q12418" s="2">
        <v>2.9999999999999997E-4</v>
      </c>
      <c r="R12418" s="2">
        <v>1E-4</v>
      </c>
      <c r="S12418">
        <v>2811</v>
      </c>
    </row>
    <row r="12420" spans="1:19" x14ac:dyDescent="0.35">
      <c r="A12420" s="1" t="s">
        <v>2802</v>
      </c>
    </row>
    <row r="12421" spans="1:19" x14ac:dyDescent="0.35">
      <c r="A12421" t="s">
        <v>219</v>
      </c>
      <c r="B12421" t="s">
        <v>301</v>
      </c>
      <c r="C12421" t="s">
        <v>524</v>
      </c>
      <c r="D12421" t="s">
        <v>525</v>
      </c>
      <c r="E12421" t="s">
        <v>526</v>
      </c>
      <c r="F12421" t="s">
        <v>527</v>
      </c>
      <c r="G12421" t="s">
        <v>226</v>
      </c>
    </row>
    <row r="12422" spans="1:19" x14ac:dyDescent="0.35">
      <c r="A12422" t="s">
        <v>227</v>
      </c>
      <c r="B12422" t="s">
        <v>2726</v>
      </c>
      <c r="C12422">
        <v>15.74</v>
      </c>
      <c r="D12422">
        <v>10</v>
      </c>
      <c r="E12422">
        <v>0</v>
      </c>
      <c r="F12422">
        <v>240</v>
      </c>
      <c r="G12422">
        <v>471</v>
      </c>
    </row>
    <row r="12423" spans="1:19" x14ac:dyDescent="0.35">
      <c r="A12423" t="s">
        <v>227</v>
      </c>
      <c r="B12423" t="s">
        <v>2727</v>
      </c>
      <c r="C12423">
        <v>13.8</v>
      </c>
      <c r="D12423">
        <v>10</v>
      </c>
      <c r="E12423">
        <v>0</v>
      </c>
      <c r="F12423">
        <v>180</v>
      </c>
      <c r="G12423">
        <v>148</v>
      </c>
    </row>
    <row r="12424" spans="1:19" x14ac:dyDescent="0.35">
      <c r="A12424" t="s">
        <v>227</v>
      </c>
      <c r="B12424" t="s">
        <v>2728</v>
      </c>
      <c r="C12424">
        <v>13.55</v>
      </c>
      <c r="D12424">
        <v>10</v>
      </c>
      <c r="E12424">
        <v>0</v>
      </c>
      <c r="F12424">
        <v>180</v>
      </c>
      <c r="G12424">
        <v>825</v>
      </c>
    </row>
    <row r="12425" spans="1:19" x14ac:dyDescent="0.35">
      <c r="A12425" t="s">
        <v>228</v>
      </c>
      <c r="B12425" t="s">
        <v>228</v>
      </c>
      <c r="C12425">
        <v>14.22</v>
      </c>
      <c r="D12425">
        <v>10</v>
      </c>
      <c r="E12425">
        <v>0</v>
      </c>
      <c r="F12425">
        <v>240</v>
      </c>
      <c r="G12425">
        <v>1445</v>
      </c>
    </row>
    <row r="12427" spans="1:19" x14ac:dyDescent="0.35">
      <c r="A12427" s="1" t="s">
        <v>2803</v>
      </c>
    </row>
    <row r="12428" spans="1:19" x14ac:dyDescent="0.35">
      <c r="A12428" t="s">
        <v>219</v>
      </c>
      <c r="B12428" t="s">
        <v>301</v>
      </c>
      <c r="C12428" t="s">
        <v>299</v>
      </c>
      <c r="D12428" t="s">
        <v>298</v>
      </c>
      <c r="E12428" t="s">
        <v>277</v>
      </c>
      <c r="F12428" t="s">
        <v>2021</v>
      </c>
      <c r="G12428" t="s">
        <v>226</v>
      </c>
    </row>
    <row r="12429" spans="1:19" x14ac:dyDescent="0.35">
      <c r="A12429" t="s">
        <v>227</v>
      </c>
      <c r="B12429" t="s">
        <v>2726</v>
      </c>
      <c r="C12429" s="2">
        <v>0.86960000000000004</v>
      </c>
      <c r="D12429" s="2">
        <v>0.1031</v>
      </c>
      <c r="E12429" s="2">
        <v>2.3599999999999999E-2</v>
      </c>
      <c r="F12429" s="2">
        <v>3.7000000000000002E-3</v>
      </c>
      <c r="G12429">
        <v>940</v>
      </c>
    </row>
    <row r="12430" spans="1:19" x14ac:dyDescent="0.35">
      <c r="A12430" t="s">
        <v>227</v>
      </c>
      <c r="B12430" t="s">
        <v>2727</v>
      </c>
      <c r="C12430" s="2">
        <v>0.9073</v>
      </c>
      <c r="D12430" s="2">
        <v>9.1300000000000006E-2</v>
      </c>
      <c r="E12430" s="2">
        <v>1.4E-3</v>
      </c>
      <c r="G12430">
        <v>270</v>
      </c>
    </row>
    <row r="12431" spans="1:19" x14ac:dyDescent="0.35">
      <c r="A12431" t="s">
        <v>227</v>
      </c>
      <c r="B12431" t="s">
        <v>2728</v>
      </c>
      <c r="C12431" s="2">
        <v>0.89949999999999997</v>
      </c>
      <c r="D12431" s="2">
        <v>8.3299999999999999E-2</v>
      </c>
      <c r="E12431" s="2">
        <v>1.7299999999999999E-2</v>
      </c>
      <c r="G12431">
        <v>1548</v>
      </c>
    </row>
    <row r="12432" spans="1:19" x14ac:dyDescent="0.35">
      <c r="A12432" t="s">
        <v>228</v>
      </c>
      <c r="B12432" t="s">
        <v>228</v>
      </c>
      <c r="C12432" s="2">
        <v>0.89100000000000001</v>
      </c>
      <c r="D12432" s="2">
        <v>9.01E-2</v>
      </c>
      <c r="E12432" s="2">
        <v>1.77E-2</v>
      </c>
      <c r="F12432" s="2">
        <v>1.1999999999999999E-3</v>
      </c>
      <c r="G12432">
        <v>2758</v>
      </c>
    </row>
    <row r="12434" spans="1:10" x14ac:dyDescent="0.35">
      <c r="A12434" s="1" t="s">
        <v>2804</v>
      </c>
    </row>
    <row r="12435" spans="1:10" x14ac:dyDescent="0.35">
      <c r="A12435" t="s">
        <v>219</v>
      </c>
      <c r="B12435" t="s">
        <v>301</v>
      </c>
      <c r="C12435" t="s">
        <v>298</v>
      </c>
      <c r="D12435" t="s">
        <v>299</v>
      </c>
      <c r="E12435" t="s">
        <v>277</v>
      </c>
      <c r="F12435" t="s">
        <v>2021</v>
      </c>
      <c r="G12435" t="s">
        <v>226</v>
      </c>
    </row>
    <row r="12436" spans="1:10" x14ac:dyDescent="0.35">
      <c r="A12436" t="s">
        <v>227</v>
      </c>
      <c r="B12436" t="s">
        <v>2726</v>
      </c>
      <c r="C12436" s="2">
        <v>0.76270000000000004</v>
      </c>
      <c r="D12436" s="2">
        <v>0.2364</v>
      </c>
      <c r="F12436" s="2">
        <v>1E-3</v>
      </c>
      <c r="G12436">
        <v>961</v>
      </c>
    </row>
    <row r="12437" spans="1:10" x14ac:dyDescent="0.35">
      <c r="A12437" t="s">
        <v>227</v>
      </c>
      <c r="B12437" t="s">
        <v>2727</v>
      </c>
      <c r="C12437" s="2">
        <v>0.83460000000000001</v>
      </c>
      <c r="D12437" s="2">
        <v>0.16539999999999999</v>
      </c>
      <c r="G12437">
        <v>270</v>
      </c>
    </row>
    <row r="12438" spans="1:10" x14ac:dyDescent="0.35">
      <c r="A12438" t="s">
        <v>227</v>
      </c>
      <c r="B12438" t="s">
        <v>2728</v>
      </c>
      <c r="C12438" s="2">
        <v>0.72350000000000003</v>
      </c>
      <c r="D12438" s="2">
        <v>0.27450000000000002</v>
      </c>
      <c r="E12438" s="2">
        <v>1.6999999999999999E-3</v>
      </c>
      <c r="F12438" s="2">
        <v>2.9999999999999997E-4</v>
      </c>
      <c r="G12438">
        <v>1581</v>
      </c>
    </row>
    <row r="12439" spans="1:10" x14ac:dyDescent="0.35">
      <c r="A12439" t="s">
        <v>228</v>
      </c>
      <c r="B12439" t="s">
        <v>228</v>
      </c>
      <c r="C12439" s="2">
        <v>0.74629999999999996</v>
      </c>
      <c r="D12439" s="2">
        <v>0.25219999999999998</v>
      </c>
      <c r="E12439" s="2">
        <v>1E-3</v>
      </c>
      <c r="F12439" s="2">
        <v>5.0000000000000001E-4</v>
      </c>
      <c r="G12439">
        <v>2812</v>
      </c>
    </row>
    <row r="12441" spans="1:10" x14ac:dyDescent="0.35">
      <c r="A12441" s="1" t="s">
        <v>2805</v>
      </c>
    </row>
    <row r="12442" spans="1:10" x14ac:dyDescent="0.35">
      <c r="A12442" t="s">
        <v>219</v>
      </c>
      <c r="B12442" t="s">
        <v>301</v>
      </c>
      <c r="C12442" t="s">
        <v>2046</v>
      </c>
      <c r="D12442" t="s">
        <v>2047</v>
      </c>
      <c r="E12442" t="s">
        <v>2048</v>
      </c>
      <c r="F12442" t="s">
        <v>2049</v>
      </c>
      <c r="G12442" t="s">
        <v>2050</v>
      </c>
      <c r="H12442" t="s">
        <v>277</v>
      </c>
      <c r="I12442" t="s">
        <v>282</v>
      </c>
      <c r="J12442" t="s">
        <v>226</v>
      </c>
    </row>
    <row r="12443" spans="1:10" x14ac:dyDescent="0.35">
      <c r="A12443" t="s">
        <v>227</v>
      </c>
      <c r="B12443" t="s">
        <v>2726</v>
      </c>
      <c r="C12443" s="2">
        <v>0.91559999999999997</v>
      </c>
      <c r="D12443" s="2">
        <v>4.65E-2</v>
      </c>
      <c r="E12443" s="2">
        <v>2.3699999999999999E-2</v>
      </c>
      <c r="F12443" s="2">
        <v>7.1000000000000004E-3</v>
      </c>
      <c r="G12443" s="2">
        <v>2.8E-3</v>
      </c>
      <c r="H12443" s="2">
        <v>3.5999999999999999E-3</v>
      </c>
      <c r="I12443" s="2">
        <v>5.9999999999999995E-4</v>
      </c>
      <c r="J12443">
        <v>961</v>
      </c>
    </row>
    <row r="12444" spans="1:10" x14ac:dyDescent="0.35">
      <c r="A12444" t="s">
        <v>227</v>
      </c>
      <c r="B12444" t="s">
        <v>2727</v>
      </c>
      <c r="C12444" s="2">
        <v>0.93789999999999996</v>
      </c>
      <c r="D12444" s="2">
        <v>4.1700000000000001E-2</v>
      </c>
      <c r="E12444" s="2">
        <v>9.1999999999999998E-3</v>
      </c>
      <c r="F12444" s="2">
        <v>2.9999999999999997E-4</v>
      </c>
      <c r="G12444" s="2">
        <v>1.09E-2</v>
      </c>
      <c r="J12444">
        <v>270</v>
      </c>
    </row>
    <row r="12445" spans="1:10" x14ac:dyDescent="0.35">
      <c r="A12445" t="s">
        <v>227</v>
      </c>
      <c r="B12445" t="s">
        <v>2728</v>
      </c>
      <c r="C12445" s="2">
        <v>0.91649999999999998</v>
      </c>
      <c r="D12445" s="2">
        <v>5.5199999999999999E-2</v>
      </c>
      <c r="E12445" s="2">
        <v>2.1600000000000001E-2</v>
      </c>
      <c r="F12445" s="2">
        <v>2.5000000000000001E-3</v>
      </c>
      <c r="G12445" s="2">
        <v>2.2000000000000001E-3</v>
      </c>
      <c r="H12445" s="2">
        <v>1.6000000000000001E-3</v>
      </c>
      <c r="I12445" s="2">
        <v>2.9999999999999997E-4</v>
      </c>
      <c r="J12445">
        <v>1581</v>
      </c>
    </row>
    <row r="12446" spans="1:10" x14ac:dyDescent="0.35">
      <c r="A12446" t="s">
        <v>228</v>
      </c>
      <c r="B12446" t="s">
        <v>228</v>
      </c>
      <c r="C12446" s="2">
        <v>0.91830000000000001</v>
      </c>
      <c r="D12446" s="2">
        <v>5.1200000000000002E-2</v>
      </c>
      <c r="E12446" s="2">
        <v>2.1100000000000001E-2</v>
      </c>
      <c r="F12446" s="2">
        <v>3.7000000000000002E-3</v>
      </c>
      <c r="G12446" s="2">
        <v>3.2000000000000002E-3</v>
      </c>
      <c r="H12446" s="2">
        <v>2.0999999999999999E-3</v>
      </c>
      <c r="I12446" s="2">
        <v>4.0000000000000002E-4</v>
      </c>
      <c r="J12446">
        <v>2812</v>
      </c>
    </row>
    <row r="12448" spans="1:10" x14ac:dyDescent="0.35">
      <c r="A12448" s="1" t="s">
        <v>2806</v>
      </c>
    </row>
    <row r="12449" spans="1:20" x14ac:dyDescent="0.35">
      <c r="A12449" t="s">
        <v>219</v>
      </c>
      <c r="B12449" t="s">
        <v>301</v>
      </c>
      <c r="C12449" t="s">
        <v>2063</v>
      </c>
      <c r="D12449" t="s">
        <v>1986</v>
      </c>
      <c r="E12449" t="s">
        <v>1987</v>
      </c>
      <c r="F12449" t="s">
        <v>1990</v>
      </c>
      <c r="G12449" t="s">
        <v>1989</v>
      </c>
      <c r="H12449" t="s">
        <v>1993</v>
      </c>
      <c r="I12449" t="s">
        <v>1988</v>
      </c>
      <c r="J12449" t="s">
        <v>1984</v>
      </c>
      <c r="K12449" t="s">
        <v>1992</v>
      </c>
      <c r="L12449" t="s">
        <v>1994</v>
      </c>
      <c r="M12449" t="s">
        <v>1996</v>
      </c>
      <c r="N12449" t="s">
        <v>1991</v>
      </c>
      <c r="O12449" t="s">
        <v>1995</v>
      </c>
      <c r="P12449" t="s">
        <v>1985</v>
      </c>
      <c r="Q12449" t="s">
        <v>282</v>
      </c>
      <c r="R12449" t="s">
        <v>277</v>
      </c>
      <c r="S12449" t="s">
        <v>2064</v>
      </c>
      <c r="T12449" t="s">
        <v>226</v>
      </c>
    </row>
    <row r="12450" spans="1:20" x14ac:dyDescent="0.35">
      <c r="A12450" t="s">
        <v>227</v>
      </c>
      <c r="B12450" t="s">
        <v>2726</v>
      </c>
      <c r="C12450" s="2">
        <v>0.87629999999999997</v>
      </c>
      <c r="D12450" s="2">
        <v>6.3E-2</v>
      </c>
      <c r="E12450" s="2">
        <v>2.6700000000000002E-2</v>
      </c>
      <c r="F12450" s="2">
        <v>1.21E-2</v>
      </c>
      <c r="G12450" s="2">
        <v>5.7000000000000002E-3</v>
      </c>
      <c r="I12450" s="2">
        <v>2.8E-3</v>
      </c>
      <c r="J12450" s="2">
        <v>4.8999999999999998E-3</v>
      </c>
      <c r="K12450" s="2">
        <v>2.7000000000000001E-3</v>
      </c>
      <c r="L12450" s="2">
        <v>2.3E-3</v>
      </c>
      <c r="M12450" s="2">
        <v>2.9999999999999997E-4</v>
      </c>
      <c r="N12450" s="2">
        <v>1.4E-3</v>
      </c>
      <c r="P12450" s="2">
        <v>5.9999999999999995E-4</v>
      </c>
      <c r="Q12450" s="2">
        <v>5.9999999999999995E-4</v>
      </c>
      <c r="R12450" s="2">
        <v>2.9999999999999997E-4</v>
      </c>
      <c r="T12450">
        <v>961</v>
      </c>
    </row>
    <row r="12451" spans="1:20" x14ac:dyDescent="0.35">
      <c r="A12451" t="s">
        <v>227</v>
      </c>
      <c r="B12451" t="s">
        <v>2727</v>
      </c>
      <c r="C12451" s="2">
        <v>0.80810000000000004</v>
      </c>
      <c r="D12451" s="2">
        <v>7.6700000000000004E-2</v>
      </c>
      <c r="E12451" s="2">
        <v>7.5800000000000006E-2</v>
      </c>
      <c r="F12451" s="2">
        <v>1.9400000000000001E-2</v>
      </c>
      <c r="G12451" s="2">
        <v>2.9999999999999997E-4</v>
      </c>
      <c r="I12451" s="2">
        <v>1.09E-2</v>
      </c>
      <c r="J12451" s="2">
        <v>4.4000000000000003E-3</v>
      </c>
      <c r="K12451" s="2">
        <v>2.7000000000000001E-3</v>
      </c>
      <c r="M12451" s="2">
        <v>5.0000000000000001E-4</v>
      </c>
      <c r="N12451" s="2">
        <v>5.0000000000000001E-4</v>
      </c>
      <c r="R12451" s="2">
        <v>6.9999999999999999E-4</v>
      </c>
      <c r="T12451">
        <v>270</v>
      </c>
    </row>
    <row r="12452" spans="1:20" x14ac:dyDescent="0.35">
      <c r="A12452" t="s">
        <v>227</v>
      </c>
      <c r="B12452" t="s">
        <v>2728</v>
      </c>
      <c r="C12452" s="2">
        <v>0.82010000000000005</v>
      </c>
      <c r="D12452" s="2">
        <v>8.3299999999999999E-2</v>
      </c>
      <c r="E12452" s="2">
        <v>5.0599999999999999E-2</v>
      </c>
      <c r="F12452" s="2">
        <v>2.1299999999999999E-2</v>
      </c>
      <c r="G12452" s="2">
        <v>1.09E-2</v>
      </c>
      <c r="H12452" s="2">
        <v>4.1999999999999997E-3</v>
      </c>
      <c r="I12452" s="2">
        <v>1.1000000000000001E-3</v>
      </c>
      <c r="J12452" s="2">
        <v>6.9999999999999999E-4</v>
      </c>
      <c r="K12452" s="2">
        <v>1.2999999999999999E-3</v>
      </c>
      <c r="L12452" s="2">
        <v>1.1999999999999999E-3</v>
      </c>
      <c r="M12452" s="2">
        <v>1.5E-3</v>
      </c>
      <c r="N12452" s="2">
        <v>6.9999999999999999E-4</v>
      </c>
      <c r="O12452" s="2">
        <v>1.6000000000000001E-3</v>
      </c>
      <c r="P12452" s="2">
        <v>1E-3</v>
      </c>
      <c r="Q12452" s="2">
        <v>2.9999999999999997E-4</v>
      </c>
      <c r="R12452" s="2">
        <v>0</v>
      </c>
      <c r="S12452" s="2">
        <v>1E-4</v>
      </c>
      <c r="T12452">
        <v>1580</v>
      </c>
    </row>
    <row r="12453" spans="1:20" x14ac:dyDescent="0.35">
      <c r="A12453" t="s">
        <v>228</v>
      </c>
      <c r="B12453" t="s">
        <v>228</v>
      </c>
      <c r="C12453" s="2">
        <v>0.83660000000000001</v>
      </c>
      <c r="D12453" s="2">
        <v>7.6300000000000007E-2</v>
      </c>
      <c r="E12453" s="2">
        <v>4.5499999999999999E-2</v>
      </c>
      <c r="F12453" s="2">
        <v>1.8200000000000001E-2</v>
      </c>
      <c r="G12453" s="2">
        <v>8.3000000000000001E-3</v>
      </c>
      <c r="H12453" s="2">
        <v>2.5000000000000001E-3</v>
      </c>
      <c r="I12453" s="2">
        <v>2.5000000000000001E-3</v>
      </c>
      <c r="J12453" s="2">
        <v>2.3999999999999998E-3</v>
      </c>
      <c r="K12453" s="2">
        <v>1.9E-3</v>
      </c>
      <c r="L12453" s="2">
        <v>1.4E-3</v>
      </c>
      <c r="M12453" s="2">
        <v>1E-3</v>
      </c>
      <c r="N12453" s="2">
        <v>8.9999999999999998E-4</v>
      </c>
      <c r="O12453" s="2">
        <v>8.9999999999999998E-4</v>
      </c>
      <c r="P12453" s="2">
        <v>8.0000000000000004E-4</v>
      </c>
      <c r="Q12453" s="2">
        <v>4.0000000000000002E-4</v>
      </c>
      <c r="R12453" s="2">
        <v>2.0000000000000001E-4</v>
      </c>
      <c r="S12453" s="2">
        <v>1E-4</v>
      </c>
      <c r="T12453">
        <v>2811</v>
      </c>
    </row>
    <row r="12455" spans="1:20" x14ac:dyDescent="0.35">
      <c r="A12455" s="1" t="s">
        <v>2807</v>
      </c>
    </row>
    <row r="12456" spans="1:20" x14ac:dyDescent="0.35">
      <c r="A12456" t="s">
        <v>219</v>
      </c>
      <c r="B12456" t="s">
        <v>301</v>
      </c>
      <c r="C12456" t="s">
        <v>2046</v>
      </c>
      <c r="D12456" t="s">
        <v>2047</v>
      </c>
      <c r="E12456" t="s">
        <v>2048</v>
      </c>
      <c r="F12456" t="s">
        <v>2049</v>
      </c>
      <c r="G12456" t="s">
        <v>2050</v>
      </c>
      <c r="H12456" t="s">
        <v>277</v>
      </c>
      <c r="I12456" t="s">
        <v>282</v>
      </c>
      <c r="J12456" t="s">
        <v>226</v>
      </c>
    </row>
    <row r="12457" spans="1:20" x14ac:dyDescent="0.35">
      <c r="A12457" t="s">
        <v>227</v>
      </c>
      <c r="B12457" t="s">
        <v>2726</v>
      </c>
      <c r="C12457" s="2">
        <v>0.87790000000000001</v>
      </c>
      <c r="D12457" s="2">
        <v>7.85E-2</v>
      </c>
      <c r="E12457" s="2">
        <v>2.69E-2</v>
      </c>
      <c r="F12457" s="2">
        <v>8.3000000000000001E-3</v>
      </c>
      <c r="G12457" s="2">
        <v>7.4000000000000003E-3</v>
      </c>
      <c r="H12457" s="2">
        <v>2.9999999999999997E-4</v>
      </c>
      <c r="I12457" s="2">
        <v>5.9999999999999995E-4</v>
      </c>
      <c r="J12457">
        <v>961</v>
      </c>
    </row>
    <row r="12458" spans="1:20" x14ac:dyDescent="0.35">
      <c r="A12458" t="s">
        <v>227</v>
      </c>
      <c r="B12458" t="s">
        <v>2727</v>
      </c>
      <c r="C12458" s="2">
        <v>0.88329999999999997</v>
      </c>
      <c r="D12458" s="2">
        <v>8.4000000000000005E-2</v>
      </c>
      <c r="E12458" s="2">
        <v>2.9000000000000001E-2</v>
      </c>
      <c r="F12458" s="2">
        <v>2.8E-3</v>
      </c>
      <c r="G12458" s="2">
        <v>8.9999999999999998E-4</v>
      </c>
      <c r="J12458">
        <v>270</v>
      </c>
    </row>
    <row r="12459" spans="1:20" x14ac:dyDescent="0.35">
      <c r="A12459" t="s">
        <v>227</v>
      </c>
      <c r="B12459" t="s">
        <v>2728</v>
      </c>
      <c r="C12459" s="2">
        <v>0.86809999999999998</v>
      </c>
      <c r="D12459" s="2">
        <v>8.0199999999999994E-2</v>
      </c>
      <c r="E12459" s="2">
        <v>3.7600000000000001E-2</v>
      </c>
      <c r="F12459" s="2">
        <v>7.4000000000000003E-3</v>
      </c>
      <c r="G12459" s="2">
        <v>3.2000000000000002E-3</v>
      </c>
      <c r="H12459" s="2">
        <v>3.2000000000000002E-3</v>
      </c>
      <c r="I12459" s="2">
        <v>2.9999999999999997E-4</v>
      </c>
      <c r="J12459">
        <v>1581</v>
      </c>
    </row>
    <row r="12460" spans="1:20" x14ac:dyDescent="0.35">
      <c r="A12460" t="s">
        <v>228</v>
      </c>
      <c r="B12460" t="s">
        <v>228</v>
      </c>
      <c r="C12460" s="2">
        <v>0.87270000000000003</v>
      </c>
      <c r="D12460" s="2">
        <v>0.08</v>
      </c>
      <c r="E12460" s="2">
        <v>3.3500000000000002E-2</v>
      </c>
      <c r="F12460" s="2">
        <v>7.1999999999999998E-3</v>
      </c>
      <c r="G12460" s="2">
        <v>4.3E-3</v>
      </c>
      <c r="H12460" s="2">
        <v>2E-3</v>
      </c>
      <c r="I12460" s="2">
        <v>4.0000000000000002E-4</v>
      </c>
      <c r="J12460">
        <v>2812</v>
      </c>
    </row>
    <row r="12462" spans="1:20" x14ac:dyDescent="0.35">
      <c r="A12462" s="1" t="s">
        <v>2808</v>
      </c>
    </row>
    <row r="12463" spans="1:20" x14ac:dyDescent="0.35">
      <c r="A12463" t="s">
        <v>219</v>
      </c>
      <c r="B12463" t="s">
        <v>301</v>
      </c>
      <c r="C12463" t="s">
        <v>299</v>
      </c>
      <c r="D12463" t="s">
        <v>298</v>
      </c>
      <c r="E12463" t="s">
        <v>282</v>
      </c>
      <c r="F12463" t="s">
        <v>226</v>
      </c>
    </row>
    <row r="12464" spans="1:20" x14ac:dyDescent="0.35">
      <c r="A12464" t="s">
        <v>227</v>
      </c>
      <c r="B12464" t="s">
        <v>2726</v>
      </c>
      <c r="C12464" s="2">
        <v>0.97570000000000001</v>
      </c>
      <c r="D12464" s="2">
        <v>1.8200000000000001E-2</v>
      </c>
      <c r="E12464" s="2">
        <v>6.1000000000000004E-3</v>
      </c>
      <c r="F12464">
        <v>961</v>
      </c>
    </row>
    <row r="12465" spans="1:9" x14ac:dyDescent="0.35">
      <c r="A12465" t="s">
        <v>227</v>
      </c>
      <c r="B12465" t="s">
        <v>2727</v>
      </c>
      <c r="C12465" s="2">
        <v>0.97409999999999997</v>
      </c>
      <c r="D12465" s="2">
        <v>2.5899999999999999E-2</v>
      </c>
      <c r="F12465">
        <v>270</v>
      </c>
    </row>
    <row r="12466" spans="1:9" x14ac:dyDescent="0.35">
      <c r="A12466" t="s">
        <v>227</v>
      </c>
      <c r="B12466" t="s">
        <v>2728</v>
      </c>
      <c r="C12466" s="2">
        <v>0.98150000000000004</v>
      </c>
      <c r="D12466" s="2">
        <v>1.67E-2</v>
      </c>
      <c r="E12466" s="2">
        <v>1.8E-3</v>
      </c>
      <c r="F12466">
        <v>1581</v>
      </c>
    </row>
    <row r="12467" spans="1:9" x14ac:dyDescent="0.35">
      <c r="A12467" t="s">
        <v>228</v>
      </c>
      <c r="B12467" t="s">
        <v>228</v>
      </c>
      <c r="C12467" s="2">
        <v>0.97899999999999998</v>
      </c>
      <c r="D12467" s="2">
        <v>1.7999999999999999E-2</v>
      </c>
      <c r="E12467" s="2">
        <v>2.8999999999999998E-3</v>
      </c>
      <c r="F12467">
        <v>2812</v>
      </c>
    </row>
    <row r="12469" spans="1:9" x14ac:dyDescent="0.35">
      <c r="A12469" s="1" t="s">
        <v>2809</v>
      </c>
    </row>
    <row r="12470" spans="1:9" x14ac:dyDescent="0.35">
      <c r="A12470" t="s">
        <v>219</v>
      </c>
      <c r="B12470" t="s">
        <v>301</v>
      </c>
      <c r="C12470" t="s">
        <v>2101</v>
      </c>
      <c r="D12470" t="s">
        <v>2102</v>
      </c>
      <c r="E12470" t="s">
        <v>2103</v>
      </c>
      <c r="F12470" t="s">
        <v>2104</v>
      </c>
      <c r="G12470" t="s">
        <v>282</v>
      </c>
      <c r="H12470" t="s">
        <v>277</v>
      </c>
      <c r="I12470" t="s">
        <v>226</v>
      </c>
    </row>
    <row r="12471" spans="1:9" x14ac:dyDescent="0.35">
      <c r="A12471" t="s">
        <v>227</v>
      </c>
      <c r="B12471" t="s">
        <v>2726</v>
      </c>
      <c r="C12471" s="2">
        <v>0.93359999999999999</v>
      </c>
      <c r="D12471" s="2">
        <v>3.5499999999999997E-2</v>
      </c>
      <c r="E12471" s="2">
        <v>2.81E-2</v>
      </c>
      <c r="F12471" s="2">
        <v>2.0999999999999999E-3</v>
      </c>
      <c r="G12471" s="2">
        <v>5.9999999999999995E-4</v>
      </c>
      <c r="H12471" s="2">
        <v>1E-4</v>
      </c>
      <c r="I12471">
        <v>961</v>
      </c>
    </row>
    <row r="12472" spans="1:9" x14ac:dyDescent="0.35">
      <c r="A12472" t="s">
        <v>227</v>
      </c>
      <c r="B12472" t="s">
        <v>2727</v>
      </c>
      <c r="C12472" s="2">
        <v>0.90190000000000003</v>
      </c>
      <c r="D12472" s="2">
        <v>6.5600000000000006E-2</v>
      </c>
      <c r="E12472" s="2">
        <v>3.2500000000000001E-2</v>
      </c>
      <c r="I12472">
        <v>270</v>
      </c>
    </row>
    <row r="12473" spans="1:9" x14ac:dyDescent="0.35">
      <c r="A12473" t="s">
        <v>227</v>
      </c>
      <c r="B12473" t="s">
        <v>2728</v>
      </c>
      <c r="C12473" s="2">
        <v>0.94730000000000003</v>
      </c>
      <c r="D12473" s="2">
        <v>2.3900000000000001E-2</v>
      </c>
      <c r="E12473" s="2">
        <v>2.5499999999999998E-2</v>
      </c>
      <c r="F12473" s="2">
        <v>3.0000000000000001E-3</v>
      </c>
      <c r="G12473" s="2">
        <v>2.9999999999999997E-4</v>
      </c>
      <c r="I12473">
        <v>1581</v>
      </c>
    </row>
    <row r="12474" spans="1:9" x14ac:dyDescent="0.35">
      <c r="A12474" t="s">
        <v>228</v>
      </c>
      <c r="B12474" t="s">
        <v>228</v>
      </c>
      <c r="C12474" s="2">
        <v>0.93879999999999997</v>
      </c>
      <c r="D12474" s="2">
        <v>3.1399999999999997E-2</v>
      </c>
      <c r="E12474" s="2">
        <v>2.69E-2</v>
      </c>
      <c r="F12474" s="2">
        <v>2.3999999999999998E-3</v>
      </c>
      <c r="G12474" s="2">
        <v>4.0000000000000002E-4</v>
      </c>
      <c r="H12474" s="2">
        <v>0</v>
      </c>
      <c r="I12474">
        <v>2812</v>
      </c>
    </row>
    <row r="12476" spans="1:9" x14ac:dyDescent="0.35">
      <c r="A12476" s="1" t="s">
        <v>2810</v>
      </c>
    </row>
    <row r="12477" spans="1:9" x14ac:dyDescent="0.35">
      <c r="A12477" t="s">
        <v>219</v>
      </c>
      <c r="B12477" t="s">
        <v>301</v>
      </c>
      <c r="C12477" t="s">
        <v>299</v>
      </c>
      <c r="D12477" t="s">
        <v>298</v>
      </c>
      <c r="E12477" t="s">
        <v>282</v>
      </c>
      <c r="F12477" t="s">
        <v>226</v>
      </c>
    </row>
    <row r="12478" spans="1:9" x14ac:dyDescent="0.35">
      <c r="A12478" t="s">
        <v>227</v>
      </c>
      <c r="B12478" t="s">
        <v>2726</v>
      </c>
      <c r="C12478" s="2">
        <v>0.99880000000000002</v>
      </c>
      <c r="D12478" s="2">
        <v>5.9999999999999995E-4</v>
      </c>
      <c r="E12478" s="2">
        <v>5.9999999999999995E-4</v>
      </c>
      <c r="F12478">
        <v>961</v>
      </c>
    </row>
    <row r="12479" spans="1:9" x14ac:dyDescent="0.35">
      <c r="A12479" t="s">
        <v>227</v>
      </c>
      <c r="B12479" t="s">
        <v>2727</v>
      </c>
      <c r="C12479" s="2">
        <v>0.99909999999999999</v>
      </c>
      <c r="D12479" s="2">
        <v>8.9999999999999998E-4</v>
      </c>
      <c r="F12479">
        <v>270</v>
      </c>
    </row>
    <row r="12480" spans="1:9" x14ac:dyDescent="0.35">
      <c r="A12480" t="s">
        <v>227</v>
      </c>
      <c r="B12480" t="s">
        <v>2728</v>
      </c>
      <c r="C12480" s="2">
        <v>0.99519999999999997</v>
      </c>
      <c r="D12480" s="2">
        <v>4.4999999999999997E-3</v>
      </c>
      <c r="E12480" s="2">
        <v>2.9999999999999997E-4</v>
      </c>
      <c r="F12480">
        <v>1581</v>
      </c>
    </row>
    <row r="12481" spans="1:14" x14ac:dyDescent="0.35">
      <c r="A12481" t="s">
        <v>228</v>
      </c>
      <c r="B12481" t="s">
        <v>228</v>
      </c>
      <c r="C12481" s="2">
        <v>0.99670000000000003</v>
      </c>
      <c r="D12481" s="2">
        <v>2.8999999999999998E-3</v>
      </c>
      <c r="E12481" s="2">
        <v>4.0000000000000002E-4</v>
      </c>
      <c r="F12481">
        <v>2812</v>
      </c>
    </row>
    <row r="12483" spans="1:14" x14ac:dyDescent="0.35">
      <c r="A12483" s="1" t="s">
        <v>2811</v>
      </c>
    </row>
    <row r="12484" spans="1:14" x14ac:dyDescent="0.35">
      <c r="A12484" t="s">
        <v>219</v>
      </c>
      <c r="B12484" t="s">
        <v>301</v>
      </c>
      <c r="C12484" t="s">
        <v>2129</v>
      </c>
      <c r="D12484" t="s">
        <v>2130</v>
      </c>
      <c r="E12484" t="s">
        <v>2131</v>
      </c>
      <c r="F12484" t="s">
        <v>2132</v>
      </c>
      <c r="G12484" t="s">
        <v>2133</v>
      </c>
      <c r="H12484" t="s">
        <v>2134</v>
      </c>
      <c r="I12484" t="s">
        <v>277</v>
      </c>
      <c r="J12484" t="s">
        <v>2135</v>
      </c>
      <c r="K12484" t="s">
        <v>2136</v>
      </c>
      <c r="L12484" t="s">
        <v>282</v>
      </c>
      <c r="M12484" t="s">
        <v>2137</v>
      </c>
      <c r="N12484" t="s">
        <v>226</v>
      </c>
    </row>
    <row r="12485" spans="1:14" x14ac:dyDescent="0.35">
      <c r="A12485" t="s">
        <v>227</v>
      </c>
      <c r="B12485" t="s">
        <v>2726</v>
      </c>
      <c r="C12485" s="2">
        <v>0.69240000000000002</v>
      </c>
      <c r="D12485" s="2">
        <v>0.1229</v>
      </c>
      <c r="E12485" s="2">
        <v>0.1167</v>
      </c>
      <c r="F12485" s="2">
        <v>3.7900000000000003E-2</v>
      </c>
      <c r="G12485" s="2">
        <v>7.9000000000000008E-3</v>
      </c>
      <c r="H12485" s="2">
        <v>2E-3</v>
      </c>
      <c r="I12485" s="2">
        <v>5.7000000000000002E-3</v>
      </c>
      <c r="J12485" s="2">
        <v>9.1000000000000004E-3</v>
      </c>
      <c r="K12485" s="2">
        <v>2.3999999999999998E-3</v>
      </c>
      <c r="L12485" s="2">
        <v>1E-3</v>
      </c>
      <c r="M12485" s="2">
        <v>2.0999999999999999E-3</v>
      </c>
      <c r="N12485">
        <v>961</v>
      </c>
    </row>
    <row r="12486" spans="1:14" x14ac:dyDescent="0.35">
      <c r="A12486" t="s">
        <v>227</v>
      </c>
      <c r="B12486" t="s">
        <v>2727</v>
      </c>
      <c r="C12486" s="2">
        <v>0.61550000000000005</v>
      </c>
      <c r="D12486" s="2">
        <v>9.1399999999999995E-2</v>
      </c>
      <c r="E12486" s="2">
        <v>0.13700000000000001</v>
      </c>
      <c r="F12486" s="2">
        <v>9.9400000000000002E-2</v>
      </c>
      <c r="G12486" s="2">
        <v>3.5499999999999997E-2</v>
      </c>
      <c r="H12486" s="2">
        <v>6.3E-3</v>
      </c>
      <c r="I12486" s="2">
        <v>1.1000000000000001E-3</v>
      </c>
      <c r="J12486" s="2">
        <v>1.15E-2</v>
      </c>
      <c r="K12486" s="2">
        <v>5.0000000000000001E-4</v>
      </c>
      <c r="L12486" s="2">
        <v>1.6999999999999999E-3</v>
      </c>
      <c r="N12486">
        <v>270</v>
      </c>
    </row>
    <row r="12487" spans="1:14" x14ac:dyDescent="0.35">
      <c r="A12487" t="s">
        <v>227</v>
      </c>
      <c r="B12487" t="s">
        <v>2728</v>
      </c>
      <c r="C12487" s="2">
        <v>0.59730000000000005</v>
      </c>
      <c r="D12487" s="2">
        <v>0.1668</v>
      </c>
      <c r="E12487" s="2">
        <v>0.12790000000000001</v>
      </c>
      <c r="F12487" s="2">
        <v>8.4000000000000005E-2</v>
      </c>
      <c r="G12487" s="2">
        <v>8.0999999999999996E-3</v>
      </c>
      <c r="H12487" s="2">
        <v>8.6999999999999994E-3</v>
      </c>
      <c r="I12487" s="2">
        <v>4.5999999999999999E-3</v>
      </c>
      <c r="J12487" s="2">
        <v>6.9999999999999999E-4</v>
      </c>
      <c r="K12487" s="2">
        <v>1.1999999999999999E-3</v>
      </c>
      <c r="L12487" s="2">
        <v>5.9999999999999995E-4</v>
      </c>
      <c r="N12487">
        <v>1581</v>
      </c>
    </row>
    <row r="12488" spans="1:14" x14ac:dyDescent="0.35">
      <c r="A12488" t="s">
        <v>228</v>
      </c>
      <c r="B12488" t="s">
        <v>228</v>
      </c>
      <c r="C12488" s="2">
        <v>0.62880000000000003</v>
      </c>
      <c r="D12488" s="2">
        <v>0.14599999999999999</v>
      </c>
      <c r="E12488" s="2">
        <v>0.12520000000000001</v>
      </c>
      <c r="F12488" s="2">
        <v>7.1099999999999997E-2</v>
      </c>
      <c r="G12488" s="2">
        <v>1.06E-2</v>
      </c>
      <c r="H12488" s="2">
        <v>6.4000000000000003E-3</v>
      </c>
      <c r="I12488" s="2">
        <v>4.5999999999999999E-3</v>
      </c>
      <c r="J12488" s="2">
        <v>4.3E-3</v>
      </c>
      <c r="K12488" s="2">
        <v>1.5E-3</v>
      </c>
      <c r="L12488" s="2">
        <v>8.0000000000000004E-4</v>
      </c>
      <c r="M12488" s="2">
        <v>5.9999999999999995E-4</v>
      </c>
      <c r="N12488">
        <v>2812</v>
      </c>
    </row>
    <row r="12490" spans="1:14" x14ac:dyDescent="0.35">
      <c r="A12490" s="1" t="s">
        <v>2812</v>
      </c>
    </row>
    <row r="12491" spans="1:14" x14ac:dyDescent="0.35">
      <c r="A12491" t="s">
        <v>219</v>
      </c>
      <c r="B12491" t="s">
        <v>301</v>
      </c>
      <c r="C12491" t="s">
        <v>298</v>
      </c>
      <c r="D12491" t="s">
        <v>299</v>
      </c>
      <c r="E12491" t="s">
        <v>277</v>
      </c>
      <c r="F12491" t="s">
        <v>282</v>
      </c>
      <c r="G12491" t="s">
        <v>226</v>
      </c>
    </row>
    <row r="12492" spans="1:14" x14ac:dyDescent="0.35">
      <c r="A12492" t="s">
        <v>227</v>
      </c>
      <c r="B12492" t="s">
        <v>2726</v>
      </c>
      <c r="C12492" s="2">
        <v>0.93179999999999996</v>
      </c>
      <c r="D12492" s="2">
        <v>6.2600000000000003E-2</v>
      </c>
      <c r="E12492" s="2">
        <v>5.5999999999999999E-3</v>
      </c>
      <c r="G12492">
        <v>948</v>
      </c>
    </row>
    <row r="12493" spans="1:14" x14ac:dyDescent="0.35">
      <c r="A12493" t="s">
        <v>227</v>
      </c>
      <c r="B12493" t="s">
        <v>2727</v>
      </c>
      <c r="C12493" s="2">
        <v>0.89290000000000003</v>
      </c>
      <c r="D12493" s="2">
        <v>0.1066</v>
      </c>
      <c r="F12493" s="2">
        <v>5.0000000000000001E-4</v>
      </c>
      <c r="G12493">
        <v>266</v>
      </c>
    </row>
    <row r="12494" spans="1:14" x14ac:dyDescent="0.35">
      <c r="A12494" t="s">
        <v>227</v>
      </c>
      <c r="B12494" t="s">
        <v>2728</v>
      </c>
      <c r="C12494" s="2">
        <v>0.96599999999999997</v>
      </c>
      <c r="D12494" s="2">
        <v>3.4000000000000002E-2</v>
      </c>
      <c r="G12494">
        <v>1568</v>
      </c>
    </row>
    <row r="12495" spans="1:14" x14ac:dyDescent="0.35">
      <c r="A12495" t="s">
        <v>228</v>
      </c>
      <c r="B12495" t="s">
        <v>228</v>
      </c>
      <c r="C12495" s="2">
        <v>0.94869999999999999</v>
      </c>
      <c r="D12495" s="2">
        <v>4.9500000000000002E-2</v>
      </c>
      <c r="E12495" s="2">
        <v>1.6999999999999999E-3</v>
      </c>
      <c r="F12495" s="2">
        <v>0</v>
      </c>
      <c r="G12495">
        <v>2782</v>
      </c>
    </row>
    <row r="12497" spans="1:13" x14ac:dyDescent="0.35">
      <c r="A12497" s="1" t="s">
        <v>2813</v>
      </c>
    </row>
    <row r="12498" spans="1:13" x14ac:dyDescent="0.35">
      <c r="A12498" t="s">
        <v>219</v>
      </c>
      <c r="B12498" t="s">
        <v>301</v>
      </c>
      <c r="C12498" t="s">
        <v>524</v>
      </c>
      <c r="D12498" t="s">
        <v>525</v>
      </c>
      <c r="E12498" t="s">
        <v>526</v>
      </c>
      <c r="F12498" t="s">
        <v>527</v>
      </c>
      <c r="G12498" t="s">
        <v>226</v>
      </c>
    </row>
    <row r="12499" spans="1:13" x14ac:dyDescent="0.35">
      <c r="A12499" t="s">
        <v>227</v>
      </c>
      <c r="B12499" t="s">
        <v>2726</v>
      </c>
      <c r="C12499">
        <v>4.93</v>
      </c>
      <c r="D12499">
        <v>3</v>
      </c>
      <c r="E12499">
        <v>1</v>
      </c>
      <c r="F12499">
        <v>15</v>
      </c>
      <c r="G12499">
        <v>32</v>
      </c>
    </row>
    <row r="12500" spans="1:13" x14ac:dyDescent="0.35">
      <c r="A12500" s="3" t="s">
        <v>227</v>
      </c>
      <c r="B12500" s="3" t="s">
        <v>2727</v>
      </c>
      <c r="C12500" s="5">
        <v>5.46</v>
      </c>
      <c r="D12500" s="5">
        <v>5</v>
      </c>
      <c r="E12500" s="5">
        <v>2</v>
      </c>
      <c r="F12500" s="5">
        <v>10</v>
      </c>
      <c r="G12500" s="5">
        <v>9</v>
      </c>
    </row>
    <row r="12501" spans="1:13" x14ac:dyDescent="0.35">
      <c r="A12501" t="s">
        <v>227</v>
      </c>
      <c r="B12501" t="s">
        <v>2728</v>
      </c>
      <c r="C12501">
        <v>3.64</v>
      </c>
      <c r="D12501">
        <v>2</v>
      </c>
      <c r="E12501">
        <v>1</v>
      </c>
      <c r="F12501">
        <v>35</v>
      </c>
      <c r="G12501">
        <v>37</v>
      </c>
    </row>
    <row r="12502" spans="1:13" x14ac:dyDescent="0.35">
      <c r="A12502" t="s">
        <v>228</v>
      </c>
      <c r="B12502" t="s">
        <v>228</v>
      </c>
      <c r="C12502">
        <v>4.47</v>
      </c>
      <c r="D12502">
        <v>3</v>
      </c>
      <c r="E12502">
        <v>1</v>
      </c>
      <c r="F12502">
        <v>35</v>
      </c>
      <c r="G12502">
        <v>78</v>
      </c>
    </row>
    <row r="12504" spans="1:13" x14ac:dyDescent="0.35">
      <c r="A12504" s="1" t="s">
        <v>2814</v>
      </c>
    </row>
    <row r="12505" spans="1:13" x14ac:dyDescent="0.35">
      <c r="A12505" t="s">
        <v>219</v>
      </c>
      <c r="B12505" t="s">
        <v>301</v>
      </c>
      <c r="C12505" t="s">
        <v>2174</v>
      </c>
      <c r="D12505" t="s">
        <v>2175</v>
      </c>
      <c r="E12505" t="s">
        <v>2176</v>
      </c>
      <c r="F12505" t="s">
        <v>2177</v>
      </c>
      <c r="G12505" t="s">
        <v>2178</v>
      </c>
      <c r="H12505" t="s">
        <v>2179</v>
      </c>
      <c r="I12505" t="s">
        <v>2180</v>
      </c>
      <c r="J12505" t="s">
        <v>2181</v>
      </c>
      <c r="K12505" t="s">
        <v>277</v>
      </c>
      <c r="L12505" t="s">
        <v>282</v>
      </c>
      <c r="M12505" t="s">
        <v>226</v>
      </c>
    </row>
    <row r="12506" spans="1:13" x14ac:dyDescent="0.35">
      <c r="A12506" t="s">
        <v>227</v>
      </c>
      <c r="B12506" t="s">
        <v>2726</v>
      </c>
      <c r="C12506" s="2">
        <v>0.67969999999999997</v>
      </c>
      <c r="D12506" s="2">
        <v>0.17180000000000001</v>
      </c>
      <c r="E12506" s="2">
        <v>4.8399999999999999E-2</v>
      </c>
      <c r="F12506" s="2">
        <v>3.9199999999999999E-2</v>
      </c>
      <c r="G12506" s="2">
        <v>3.3799999999999997E-2</v>
      </c>
      <c r="H12506" s="2">
        <v>3.3999999999999998E-3</v>
      </c>
      <c r="I12506" s="2">
        <v>8.8000000000000005E-3</v>
      </c>
      <c r="J12506" s="2">
        <v>1.18E-2</v>
      </c>
      <c r="K12506" s="2">
        <v>2.5000000000000001E-3</v>
      </c>
      <c r="L12506" s="2">
        <v>5.0000000000000001E-4</v>
      </c>
      <c r="M12506">
        <v>337</v>
      </c>
    </row>
    <row r="12507" spans="1:13" x14ac:dyDescent="0.35">
      <c r="A12507" t="s">
        <v>227</v>
      </c>
      <c r="B12507" t="s">
        <v>2727</v>
      </c>
      <c r="C12507" s="2">
        <v>0.69810000000000005</v>
      </c>
      <c r="D12507" s="2">
        <v>0.25190000000000001</v>
      </c>
      <c r="E12507" s="2">
        <v>4.2900000000000001E-2</v>
      </c>
      <c r="F12507" s="2">
        <v>1.5E-3</v>
      </c>
      <c r="I12507" s="2">
        <v>8.0000000000000004E-4</v>
      </c>
      <c r="J12507" s="2">
        <v>2.5000000000000001E-3</v>
      </c>
      <c r="K12507" s="2">
        <v>2.2000000000000001E-3</v>
      </c>
      <c r="M12507">
        <v>101</v>
      </c>
    </row>
    <row r="12508" spans="1:13" x14ac:dyDescent="0.35">
      <c r="A12508" t="s">
        <v>227</v>
      </c>
      <c r="B12508" t="s">
        <v>2728</v>
      </c>
      <c r="C12508" s="2">
        <v>0.68469999999999998</v>
      </c>
      <c r="D12508" s="2">
        <v>0.1691</v>
      </c>
      <c r="E12508" s="2">
        <v>8.48E-2</v>
      </c>
      <c r="F12508" s="2">
        <v>3.9300000000000002E-2</v>
      </c>
      <c r="G12508" s="2">
        <v>6.9999999999999999E-4</v>
      </c>
      <c r="H12508" s="2">
        <v>1.0999999999999999E-2</v>
      </c>
      <c r="I12508" s="2">
        <v>4.4000000000000003E-3</v>
      </c>
      <c r="J12508" s="2">
        <v>1.6999999999999999E-3</v>
      </c>
      <c r="K12508" s="2">
        <v>3.8E-3</v>
      </c>
      <c r="L12508" s="2">
        <v>4.0000000000000002E-4</v>
      </c>
      <c r="M12508">
        <v>655</v>
      </c>
    </row>
    <row r="12509" spans="1:13" x14ac:dyDescent="0.35">
      <c r="A12509" t="s">
        <v>228</v>
      </c>
      <c r="B12509" t="s">
        <v>228</v>
      </c>
      <c r="C12509" s="2">
        <v>0.68469999999999998</v>
      </c>
      <c r="D12509" s="2">
        <v>0.17730000000000001</v>
      </c>
      <c r="E12509" s="2">
        <v>7.1999999999999995E-2</v>
      </c>
      <c r="F12509" s="2">
        <v>3.5799999999999998E-2</v>
      </c>
      <c r="G12509" s="2">
        <v>8.8999999999999999E-3</v>
      </c>
      <c r="H12509" s="2">
        <v>8.0999999999999996E-3</v>
      </c>
      <c r="I12509" s="2">
        <v>5.1999999999999998E-3</v>
      </c>
      <c r="J12509" s="2">
        <v>4.3E-3</v>
      </c>
      <c r="K12509" s="2">
        <v>3.3999999999999998E-3</v>
      </c>
      <c r="L12509" s="2">
        <v>4.0000000000000002E-4</v>
      </c>
      <c r="M12509">
        <v>1093</v>
      </c>
    </row>
    <row r="12511" spans="1:13" x14ac:dyDescent="0.35">
      <c r="A12511" s="1" t="s">
        <v>2815</v>
      </c>
    </row>
    <row r="12512" spans="1:13" x14ac:dyDescent="0.35">
      <c r="A12512" t="s">
        <v>219</v>
      </c>
      <c r="B12512" t="s">
        <v>301</v>
      </c>
      <c r="C12512" t="s">
        <v>2046</v>
      </c>
      <c r="D12512" t="s">
        <v>2047</v>
      </c>
      <c r="E12512" t="s">
        <v>2048</v>
      </c>
      <c r="F12512" t="s">
        <v>277</v>
      </c>
      <c r="G12512" t="s">
        <v>2049</v>
      </c>
      <c r="H12512" t="s">
        <v>2050</v>
      </c>
      <c r="I12512" t="s">
        <v>282</v>
      </c>
      <c r="J12512" t="s">
        <v>226</v>
      </c>
    </row>
    <row r="12513" spans="1:10" x14ac:dyDescent="0.35">
      <c r="A12513" t="s">
        <v>227</v>
      </c>
      <c r="B12513" t="s">
        <v>2726</v>
      </c>
      <c r="C12513" s="2">
        <v>0.96760000000000002</v>
      </c>
      <c r="D12513" s="2">
        <v>2.23E-2</v>
      </c>
      <c r="E12513" s="2">
        <v>2.3E-3</v>
      </c>
      <c r="F12513" s="2">
        <v>2.9999999999999997E-4</v>
      </c>
      <c r="G12513" s="2">
        <v>4.0000000000000001E-3</v>
      </c>
      <c r="H12513" s="2">
        <v>2.5999999999999999E-3</v>
      </c>
      <c r="I12513" s="2">
        <v>8.9999999999999998E-4</v>
      </c>
      <c r="J12513">
        <v>961</v>
      </c>
    </row>
    <row r="12514" spans="1:10" x14ac:dyDescent="0.35">
      <c r="A12514" t="s">
        <v>227</v>
      </c>
      <c r="B12514" t="s">
        <v>2727</v>
      </c>
      <c r="C12514" s="2">
        <v>0.96260000000000001</v>
      </c>
      <c r="D12514" s="2">
        <v>1.03E-2</v>
      </c>
      <c r="E12514" s="2">
        <v>9.2999999999999992E-3</v>
      </c>
      <c r="F12514" s="2">
        <v>1.78E-2</v>
      </c>
      <c r="J12514">
        <v>270</v>
      </c>
    </row>
    <row r="12515" spans="1:10" x14ac:dyDescent="0.35">
      <c r="A12515" t="s">
        <v>227</v>
      </c>
      <c r="B12515" t="s">
        <v>2728</v>
      </c>
      <c r="C12515" s="2">
        <v>0.96460000000000001</v>
      </c>
      <c r="D12515" s="2">
        <v>2.5399999999999999E-2</v>
      </c>
      <c r="E12515" s="2">
        <v>6.1000000000000004E-3</v>
      </c>
      <c r="F12515" s="2">
        <v>2.8E-3</v>
      </c>
      <c r="G12515" s="2">
        <v>4.0000000000000002E-4</v>
      </c>
      <c r="H12515" s="2">
        <v>1E-4</v>
      </c>
      <c r="I12515" s="2">
        <v>5.0000000000000001E-4</v>
      </c>
      <c r="J12515">
        <v>1581</v>
      </c>
    </row>
    <row r="12516" spans="1:10" x14ac:dyDescent="0.35">
      <c r="A12516" t="s">
        <v>228</v>
      </c>
      <c r="B12516" t="s">
        <v>228</v>
      </c>
      <c r="C12516" s="2">
        <v>0.96540000000000004</v>
      </c>
      <c r="D12516" s="2">
        <v>2.3E-2</v>
      </c>
      <c r="E12516" s="2">
        <v>5.1999999999999998E-3</v>
      </c>
      <c r="F12516" s="2">
        <v>3.3999999999999998E-3</v>
      </c>
      <c r="G12516" s="2">
        <v>1.5E-3</v>
      </c>
      <c r="H12516" s="2">
        <v>8.9999999999999998E-4</v>
      </c>
      <c r="I12516" s="2">
        <v>5.9999999999999995E-4</v>
      </c>
      <c r="J12516">
        <v>2812</v>
      </c>
    </row>
    <row r="12518" spans="1:10" x14ac:dyDescent="0.35">
      <c r="A12518" s="1" t="s">
        <v>2816</v>
      </c>
    </row>
    <row r="12519" spans="1:10" x14ac:dyDescent="0.35">
      <c r="A12519" t="s">
        <v>219</v>
      </c>
      <c r="B12519" t="s">
        <v>301</v>
      </c>
      <c r="C12519" t="s">
        <v>2046</v>
      </c>
      <c r="D12519" t="s">
        <v>2047</v>
      </c>
      <c r="E12519" t="s">
        <v>2048</v>
      </c>
      <c r="F12519" t="s">
        <v>2050</v>
      </c>
      <c r="G12519" t="s">
        <v>2049</v>
      </c>
      <c r="H12519" t="s">
        <v>277</v>
      </c>
      <c r="I12519" t="s">
        <v>282</v>
      </c>
      <c r="J12519" t="s">
        <v>226</v>
      </c>
    </row>
    <row r="12520" spans="1:10" x14ac:dyDescent="0.35">
      <c r="A12520" t="s">
        <v>227</v>
      </c>
      <c r="B12520" t="s">
        <v>2726</v>
      </c>
      <c r="C12520" s="2">
        <v>0.91369999999999996</v>
      </c>
      <c r="D12520" s="2">
        <v>3.9399999999999998E-2</v>
      </c>
      <c r="E12520" s="2">
        <v>1.9E-2</v>
      </c>
      <c r="F12520" s="2">
        <v>8.6999999999999994E-3</v>
      </c>
      <c r="G12520" s="2">
        <v>9.1999999999999998E-3</v>
      </c>
      <c r="H12520" s="2">
        <v>6.3E-3</v>
      </c>
      <c r="I12520" s="2">
        <v>3.5999999999999999E-3</v>
      </c>
      <c r="J12520">
        <v>961</v>
      </c>
    </row>
    <row r="12521" spans="1:10" x14ac:dyDescent="0.35">
      <c r="A12521" t="s">
        <v>227</v>
      </c>
      <c r="B12521" t="s">
        <v>2727</v>
      </c>
      <c r="C12521" s="2">
        <v>0.92879999999999996</v>
      </c>
      <c r="D12521" s="2">
        <v>4.7899999999999998E-2</v>
      </c>
      <c r="E12521" s="2">
        <v>1.26E-2</v>
      </c>
      <c r="F12521" s="2">
        <v>5.0000000000000001E-4</v>
      </c>
      <c r="G12521" s="2">
        <v>2.9999999999999997E-4</v>
      </c>
      <c r="H12521" s="2">
        <v>0.01</v>
      </c>
      <c r="J12521">
        <v>270</v>
      </c>
    </row>
    <row r="12522" spans="1:10" x14ac:dyDescent="0.35">
      <c r="A12522" t="s">
        <v>227</v>
      </c>
      <c r="B12522" t="s">
        <v>2728</v>
      </c>
      <c r="C12522" s="2">
        <v>0.92910000000000004</v>
      </c>
      <c r="D12522" s="2">
        <v>4.3999999999999997E-2</v>
      </c>
      <c r="E12522" s="2">
        <v>1.72E-2</v>
      </c>
      <c r="F12522" s="2">
        <v>4.8999999999999998E-3</v>
      </c>
      <c r="G12522" s="2">
        <v>3.2000000000000002E-3</v>
      </c>
      <c r="H12522" s="2">
        <v>8.0000000000000004E-4</v>
      </c>
      <c r="I12522" s="2">
        <v>8.0000000000000004E-4</v>
      </c>
      <c r="J12522">
        <v>1581</v>
      </c>
    </row>
    <row r="12523" spans="1:10" x14ac:dyDescent="0.35">
      <c r="A12523" t="s">
        <v>228</v>
      </c>
      <c r="B12523" t="s">
        <v>228</v>
      </c>
      <c r="C12523" s="2">
        <v>0.92430000000000001</v>
      </c>
      <c r="D12523" s="2">
        <v>4.2900000000000001E-2</v>
      </c>
      <c r="E12523" s="2">
        <v>1.7299999999999999E-2</v>
      </c>
      <c r="F12523" s="2">
        <v>5.7000000000000002E-3</v>
      </c>
      <c r="G12523" s="2">
        <v>4.7999999999999996E-3</v>
      </c>
      <c r="H12523" s="2">
        <v>3.3999999999999998E-3</v>
      </c>
      <c r="I12523" s="2">
        <v>1.6000000000000001E-3</v>
      </c>
      <c r="J12523">
        <v>2812</v>
      </c>
    </row>
    <row r="12525" spans="1:10" x14ac:dyDescent="0.35">
      <c r="A12525" s="1" t="s">
        <v>2817</v>
      </c>
    </row>
    <row r="12526" spans="1:10" x14ac:dyDescent="0.35">
      <c r="A12526" t="s">
        <v>219</v>
      </c>
      <c r="B12526" t="s">
        <v>301</v>
      </c>
      <c r="C12526" t="s">
        <v>2046</v>
      </c>
      <c r="D12526" t="s">
        <v>2047</v>
      </c>
      <c r="E12526" t="s">
        <v>2048</v>
      </c>
      <c r="F12526" t="s">
        <v>2049</v>
      </c>
      <c r="G12526" t="s">
        <v>2050</v>
      </c>
      <c r="H12526" t="s">
        <v>277</v>
      </c>
      <c r="I12526" t="s">
        <v>282</v>
      </c>
      <c r="J12526" t="s">
        <v>226</v>
      </c>
    </row>
    <row r="12527" spans="1:10" x14ac:dyDescent="0.35">
      <c r="A12527" t="s">
        <v>227</v>
      </c>
      <c r="B12527" t="s">
        <v>2726</v>
      </c>
      <c r="C12527" s="2">
        <v>0.90559999999999996</v>
      </c>
      <c r="D12527" s="2">
        <v>5.8099999999999999E-2</v>
      </c>
      <c r="E12527" s="2">
        <v>2.41E-2</v>
      </c>
      <c r="F12527" s="2">
        <v>3.3999999999999998E-3</v>
      </c>
      <c r="G12527" s="2">
        <v>4.5999999999999999E-3</v>
      </c>
      <c r="H12527" s="2">
        <v>3.3E-3</v>
      </c>
      <c r="I12527" s="2">
        <v>8.9999999999999998E-4</v>
      </c>
      <c r="J12527">
        <v>961</v>
      </c>
    </row>
    <row r="12528" spans="1:10" x14ac:dyDescent="0.35">
      <c r="A12528" t="s">
        <v>227</v>
      </c>
      <c r="B12528" t="s">
        <v>2727</v>
      </c>
      <c r="C12528" s="2">
        <v>0.91420000000000001</v>
      </c>
      <c r="D12528" s="2">
        <v>5.3999999999999999E-2</v>
      </c>
      <c r="E12528" s="2">
        <v>2.35E-2</v>
      </c>
      <c r="F12528" s="2">
        <v>2.9999999999999997E-4</v>
      </c>
      <c r="G12528" s="2">
        <v>5.0000000000000001E-4</v>
      </c>
      <c r="H12528" s="2">
        <v>7.6E-3</v>
      </c>
      <c r="J12528">
        <v>270</v>
      </c>
    </row>
    <row r="12529" spans="1:10" x14ac:dyDescent="0.35">
      <c r="A12529" t="s">
        <v>227</v>
      </c>
      <c r="B12529" t="s">
        <v>2728</v>
      </c>
      <c r="C12529" s="2">
        <v>0.91169999999999995</v>
      </c>
      <c r="D12529" s="2">
        <v>6.1800000000000001E-2</v>
      </c>
      <c r="E12529" s="2">
        <v>0.02</v>
      </c>
      <c r="F12529" s="2">
        <v>4.0000000000000001E-3</v>
      </c>
      <c r="G12529" s="2">
        <v>1.4E-3</v>
      </c>
      <c r="H12529" s="2">
        <v>5.0000000000000001E-4</v>
      </c>
      <c r="I12529" s="2">
        <v>4.0000000000000002E-4</v>
      </c>
      <c r="J12529">
        <v>1581</v>
      </c>
    </row>
    <row r="12530" spans="1:10" x14ac:dyDescent="0.35">
      <c r="A12530" t="s">
        <v>228</v>
      </c>
      <c r="B12530" t="s">
        <v>228</v>
      </c>
      <c r="C12530" s="2">
        <v>0.91010000000000002</v>
      </c>
      <c r="D12530" s="2">
        <v>5.9900000000000002E-2</v>
      </c>
      <c r="E12530" s="2">
        <v>2.1600000000000001E-2</v>
      </c>
      <c r="F12530" s="2">
        <v>3.5000000000000001E-3</v>
      </c>
      <c r="G12530" s="2">
        <v>2.3E-3</v>
      </c>
      <c r="H12530" s="2">
        <v>2.0999999999999999E-3</v>
      </c>
      <c r="I12530" s="2">
        <v>5.0000000000000001E-4</v>
      </c>
      <c r="J12530">
        <v>2812</v>
      </c>
    </row>
    <row r="12532" spans="1:10" x14ac:dyDescent="0.35">
      <c r="A12532" s="1" t="s">
        <v>2818</v>
      </c>
    </row>
    <row r="12533" spans="1:10" x14ac:dyDescent="0.35">
      <c r="A12533" t="s">
        <v>219</v>
      </c>
      <c r="B12533" t="s">
        <v>301</v>
      </c>
      <c r="C12533" t="s">
        <v>2230</v>
      </c>
      <c r="D12533" t="s">
        <v>2231</v>
      </c>
      <c r="E12533" t="s">
        <v>2232</v>
      </c>
      <c r="F12533" t="s">
        <v>226</v>
      </c>
    </row>
    <row r="12534" spans="1:10" x14ac:dyDescent="0.35">
      <c r="A12534" t="s">
        <v>227</v>
      </c>
      <c r="B12534" t="s">
        <v>2726</v>
      </c>
      <c r="C12534" s="2">
        <v>0.62329999999999997</v>
      </c>
      <c r="D12534" s="2">
        <v>0.29449999999999998</v>
      </c>
      <c r="E12534" s="2">
        <v>8.2199999999999995E-2</v>
      </c>
      <c r="F12534">
        <v>961</v>
      </c>
    </row>
    <row r="12535" spans="1:10" x14ac:dyDescent="0.35">
      <c r="A12535" t="s">
        <v>227</v>
      </c>
      <c r="B12535" t="s">
        <v>2727</v>
      </c>
      <c r="C12535" s="2">
        <v>0.73219999999999996</v>
      </c>
      <c r="D12535" s="2">
        <v>0.2233</v>
      </c>
      <c r="E12535" s="2">
        <v>4.4600000000000001E-2</v>
      </c>
      <c r="F12535">
        <v>270</v>
      </c>
    </row>
    <row r="12536" spans="1:10" x14ac:dyDescent="0.35">
      <c r="A12536" t="s">
        <v>227</v>
      </c>
      <c r="B12536" t="s">
        <v>2728</v>
      </c>
      <c r="C12536" s="2">
        <v>0.77569999999999995</v>
      </c>
      <c r="D12536" s="2">
        <v>0.17660000000000001</v>
      </c>
      <c r="E12536" s="2">
        <v>4.7699999999999999E-2</v>
      </c>
      <c r="F12536">
        <v>1581</v>
      </c>
    </row>
    <row r="12537" spans="1:10" x14ac:dyDescent="0.35">
      <c r="A12537" t="s">
        <v>228</v>
      </c>
      <c r="B12537" t="s">
        <v>228</v>
      </c>
      <c r="C12537" s="2">
        <v>0.72440000000000004</v>
      </c>
      <c r="D12537" s="2">
        <v>0.2175</v>
      </c>
      <c r="E12537" s="2">
        <v>5.8099999999999999E-2</v>
      </c>
      <c r="F12537">
        <v>2812</v>
      </c>
    </row>
    <row r="12539" spans="1:10" x14ac:dyDescent="0.35">
      <c r="A12539" s="1" t="s">
        <v>2819</v>
      </c>
    </row>
    <row r="12540" spans="1:10" x14ac:dyDescent="0.35">
      <c r="A12540" t="s">
        <v>219</v>
      </c>
      <c r="B12540" t="s">
        <v>301</v>
      </c>
      <c r="C12540" t="s">
        <v>2245</v>
      </c>
      <c r="D12540" t="s">
        <v>2246</v>
      </c>
      <c r="E12540" t="s">
        <v>2247</v>
      </c>
      <c r="F12540" t="s">
        <v>226</v>
      </c>
    </row>
    <row r="12541" spans="1:10" x14ac:dyDescent="0.35">
      <c r="A12541" t="s">
        <v>227</v>
      </c>
      <c r="B12541" t="s">
        <v>2726</v>
      </c>
      <c r="C12541" s="2">
        <v>0.88200000000000001</v>
      </c>
      <c r="D12541" s="2">
        <v>8.7999999999999995E-2</v>
      </c>
      <c r="E12541" s="2">
        <v>0.03</v>
      </c>
      <c r="F12541">
        <v>958</v>
      </c>
    </row>
    <row r="12542" spans="1:10" x14ac:dyDescent="0.35">
      <c r="A12542" t="s">
        <v>227</v>
      </c>
      <c r="B12542" t="s">
        <v>2727</v>
      </c>
      <c r="C12542" s="2">
        <v>0.8911</v>
      </c>
      <c r="D12542" s="2">
        <v>9.8799999999999999E-2</v>
      </c>
      <c r="E12542" s="2">
        <v>1.01E-2</v>
      </c>
      <c r="F12542">
        <v>266</v>
      </c>
    </row>
    <row r="12543" spans="1:10" x14ac:dyDescent="0.35">
      <c r="A12543" t="s">
        <v>227</v>
      </c>
      <c r="B12543" t="s">
        <v>2728</v>
      </c>
      <c r="C12543" s="2">
        <v>0.94610000000000005</v>
      </c>
      <c r="D12543" s="2">
        <v>4.6199999999999998E-2</v>
      </c>
      <c r="E12543" s="2">
        <v>7.7000000000000002E-3</v>
      </c>
      <c r="F12543">
        <v>1576</v>
      </c>
    </row>
    <row r="12544" spans="1:10" x14ac:dyDescent="0.35">
      <c r="A12544" t="s">
        <v>228</v>
      </c>
      <c r="B12544" t="s">
        <v>228</v>
      </c>
      <c r="C12544" s="2">
        <v>0.92110000000000003</v>
      </c>
      <c r="D12544" s="2">
        <v>6.4100000000000004E-2</v>
      </c>
      <c r="E12544" s="2">
        <v>1.49E-2</v>
      </c>
      <c r="F12544">
        <v>2800</v>
      </c>
    </row>
    <row r="12546" spans="1:9" x14ac:dyDescent="0.35">
      <c r="A12546" s="1" t="s">
        <v>2820</v>
      </c>
    </row>
    <row r="12547" spans="1:9" x14ac:dyDescent="0.35">
      <c r="A12547" t="s">
        <v>219</v>
      </c>
      <c r="B12547" t="s">
        <v>301</v>
      </c>
      <c r="C12547" t="s">
        <v>1264</v>
      </c>
      <c r="D12547" t="s">
        <v>2259</v>
      </c>
      <c r="E12547" t="s">
        <v>2260</v>
      </c>
      <c r="F12547" t="s">
        <v>2261</v>
      </c>
      <c r="G12547" t="s">
        <v>2262</v>
      </c>
      <c r="H12547" t="s">
        <v>2263</v>
      </c>
      <c r="I12547" t="s">
        <v>957</v>
      </c>
    </row>
    <row r="12548" spans="1:9" x14ac:dyDescent="0.35">
      <c r="A12548" t="s">
        <v>227</v>
      </c>
      <c r="B12548" t="s">
        <v>2726</v>
      </c>
      <c r="C12548">
        <v>0</v>
      </c>
      <c r="D12548" s="2">
        <v>0.58069999999999999</v>
      </c>
      <c r="E12548" s="2">
        <v>0.86519999999999997</v>
      </c>
      <c r="F12548" s="2">
        <v>0.79139999999999999</v>
      </c>
      <c r="G12548" s="2">
        <v>0.9536</v>
      </c>
      <c r="H12548" s="2">
        <v>0.7923</v>
      </c>
      <c r="I12548">
        <v>961</v>
      </c>
    </row>
    <row r="12549" spans="1:9" x14ac:dyDescent="0.35">
      <c r="A12549" t="s">
        <v>227</v>
      </c>
      <c r="B12549" t="s">
        <v>2728</v>
      </c>
      <c r="C12549">
        <v>7</v>
      </c>
      <c r="D12549" s="2">
        <v>8.0699999999999994E-2</v>
      </c>
      <c r="E12549" s="2">
        <v>4.5999999999999999E-3</v>
      </c>
      <c r="F12549" s="2">
        <v>3.3799999999999997E-2</v>
      </c>
      <c r="G12549" s="2">
        <v>1.3299999999999999E-2</v>
      </c>
      <c r="H12549" s="2">
        <v>2.6700000000000002E-2</v>
      </c>
      <c r="I12549">
        <v>1581</v>
      </c>
    </row>
    <row r="12550" spans="1:9" x14ac:dyDescent="0.35">
      <c r="A12550" t="s">
        <v>227</v>
      </c>
      <c r="B12550" t="s">
        <v>2728</v>
      </c>
      <c r="C12550">
        <v>6</v>
      </c>
      <c r="D12550" s="2">
        <v>3.3999999999999998E-3</v>
      </c>
      <c r="E12550" s="2">
        <v>2.8E-3</v>
      </c>
      <c r="F12550" s="2">
        <v>2.9999999999999997E-4</v>
      </c>
      <c r="G12550" s="2">
        <v>4.0000000000000001E-3</v>
      </c>
      <c r="H12550" s="2">
        <v>3.0000000000000001E-3</v>
      </c>
      <c r="I12550">
        <v>1581</v>
      </c>
    </row>
    <row r="12551" spans="1:9" x14ac:dyDescent="0.35">
      <c r="A12551" t="s">
        <v>227</v>
      </c>
      <c r="B12551" t="s">
        <v>2728</v>
      </c>
      <c r="C12551">
        <v>5</v>
      </c>
      <c r="D12551" s="2">
        <v>1.55E-2</v>
      </c>
      <c r="E12551" s="2">
        <v>2E-3</v>
      </c>
      <c r="F12551" s="2">
        <v>9.9000000000000008E-3</v>
      </c>
      <c r="G12551" s="2">
        <v>8.0000000000000004E-4</v>
      </c>
      <c r="H12551" s="2">
        <v>8.0000000000000002E-3</v>
      </c>
      <c r="I12551">
        <v>1581</v>
      </c>
    </row>
    <row r="12552" spans="1:9" x14ac:dyDescent="0.35">
      <c r="A12552" t="s">
        <v>227</v>
      </c>
      <c r="B12552" t="s">
        <v>2728</v>
      </c>
      <c r="C12552">
        <v>4</v>
      </c>
      <c r="D12552" s="2">
        <v>2.1299999999999999E-2</v>
      </c>
      <c r="E12552" s="2">
        <v>2.9999999999999997E-4</v>
      </c>
      <c r="F12552" s="2">
        <v>1.18E-2</v>
      </c>
      <c r="G12552" s="2">
        <v>1.38E-2</v>
      </c>
      <c r="H12552" s="2">
        <v>1.01E-2</v>
      </c>
      <c r="I12552">
        <v>1581</v>
      </c>
    </row>
    <row r="12553" spans="1:9" x14ac:dyDescent="0.35">
      <c r="A12553" t="s">
        <v>227</v>
      </c>
      <c r="B12553" t="s">
        <v>2728</v>
      </c>
      <c r="C12553">
        <v>3</v>
      </c>
      <c r="D12553" s="2">
        <v>6.4199999999999993E-2</v>
      </c>
      <c r="E12553" s="2">
        <v>1.44E-2</v>
      </c>
      <c r="F12553" s="2">
        <v>1.3299999999999999E-2</v>
      </c>
      <c r="G12553" s="2">
        <v>1.09E-2</v>
      </c>
      <c r="H12553" s="2">
        <v>1.2800000000000001E-2</v>
      </c>
      <c r="I12553">
        <v>1581</v>
      </c>
    </row>
    <row r="12554" spans="1:9" x14ac:dyDescent="0.35">
      <c r="A12554" t="s">
        <v>227</v>
      </c>
      <c r="B12554" t="s">
        <v>2728</v>
      </c>
      <c r="C12554">
        <v>2</v>
      </c>
      <c r="D12554" s="2">
        <v>7.7200000000000005E-2</v>
      </c>
      <c r="E12554" s="2">
        <v>2.58E-2</v>
      </c>
      <c r="F12554" s="2">
        <v>3.3500000000000002E-2</v>
      </c>
      <c r="G12554" s="2">
        <v>1.44E-2</v>
      </c>
      <c r="H12554" s="2">
        <v>2.1399999999999999E-2</v>
      </c>
      <c r="I12554">
        <v>1581</v>
      </c>
    </row>
    <row r="12555" spans="1:9" x14ac:dyDescent="0.35">
      <c r="A12555" t="s">
        <v>227</v>
      </c>
      <c r="B12555" t="s">
        <v>2728</v>
      </c>
      <c r="C12555">
        <v>1</v>
      </c>
      <c r="D12555" s="2">
        <v>2.6800000000000001E-2</v>
      </c>
      <c r="E12555" s="2">
        <v>3.3599999999999998E-2</v>
      </c>
      <c r="F12555" s="2">
        <v>1.6400000000000001E-2</v>
      </c>
      <c r="G12555" s="2">
        <v>7.6E-3</v>
      </c>
      <c r="H12555" s="2">
        <v>7.9000000000000008E-3</v>
      </c>
      <c r="I12555">
        <v>1581</v>
      </c>
    </row>
    <row r="12556" spans="1:9" x14ac:dyDescent="0.35">
      <c r="A12556" t="s">
        <v>227</v>
      </c>
      <c r="B12556" t="s">
        <v>2728</v>
      </c>
      <c r="C12556">
        <v>0</v>
      </c>
      <c r="D12556" s="2">
        <v>0.71089999999999998</v>
      </c>
      <c r="E12556" s="2">
        <v>0.91649999999999998</v>
      </c>
      <c r="F12556" s="2">
        <v>0.88100000000000001</v>
      </c>
      <c r="G12556" s="2">
        <v>0.93510000000000004</v>
      </c>
      <c r="H12556" s="2">
        <v>0.91010000000000002</v>
      </c>
      <c r="I12556">
        <v>1581</v>
      </c>
    </row>
    <row r="12557" spans="1:9" x14ac:dyDescent="0.35">
      <c r="A12557" t="s">
        <v>227</v>
      </c>
      <c r="B12557" t="s">
        <v>2727</v>
      </c>
      <c r="C12557">
        <v>6</v>
      </c>
      <c r="D12557" s="2">
        <v>2.2000000000000001E-3</v>
      </c>
      <c r="I12557">
        <v>270</v>
      </c>
    </row>
    <row r="12558" spans="1:9" x14ac:dyDescent="0.35">
      <c r="A12558" t="s">
        <v>227</v>
      </c>
      <c r="B12558" t="s">
        <v>2727</v>
      </c>
      <c r="C12558">
        <v>5</v>
      </c>
      <c r="D12558" s="2">
        <v>1.9400000000000001E-2</v>
      </c>
      <c r="F12558" s="2">
        <v>1E-3</v>
      </c>
      <c r="G12558" s="2">
        <v>1E-3</v>
      </c>
      <c r="H12558" s="2">
        <v>7.6E-3</v>
      </c>
      <c r="I12558">
        <v>270</v>
      </c>
    </row>
    <row r="12559" spans="1:9" x14ac:dyDescent="0.35">
      <c r="A12559" t="s">
        <v>227</v>
      </c>
      <c r="B12559" t="s">
        <v>2727</v>
      </c>
      <c r="C12559">
        <v>4</v>
      </c>
      <c r="D12559" s="2">
        <v>2.5499999999999998E-2</v>
      </c>
      <c r="E12559" s="2">
        <v>1.1000000000000001E-3</v>
      </c>
      <c r="F12559" s="2">
        <v>4.4999999999999997E-3</v>
      </c>
      <c r="G12559" s="2">
        <v>5.4999999999999997E-3</v>
      </c>
      <c r="H12559" s="2">
        <v>8.9999999999999998E-4</v>
      </c>
      <c r="I12559">
        <v>270</v>
      </c>
    </row>
    <row r="12560" spans="1:9" x14ac:dyDescent="0.35">
      <c r="A12560" t="s">
        <v>227</v>
      </c>
      <c r="B12560" t="s">
        <v>2727</v>
      </c>
      <c r="C12560">
        <v>7</v>
      </c>
      <c r="D12560" s="2">
        <v>0.12479999999999999</v>
      </c>
      <c r="E12560" s="2">
        <v>2.0199999999999999E-2</v>
      </c>
      <c r="F12560" s="2">
        <v>3.2199999999999999E-2</v>
      </c>
      <c r="G12560" s="2">
        <v>1.9099999999999999E-2</v>
      </c>
      <c r="H12560" s="2">
        <v>4.48E-2</v>
      </c>
      <c r="I12560">
        <v>270</v>
      </c>
    </row>
    <row r="12561" spans="1:9" x14ac:dyDescent="0.35">
      <c r="A12561" t="s">
        <v>227</v>
      </c>
      <c r="B12561" t="s">
        <v>2727</v>
      </c>
      <c r="C12561">
        <v>2</v>
      </c>
      <c r="D12561" s="2">
        <v>0.12740000000000001</v>
      </c>
      <c r="E12561" s="2">
        <v>1.3100000000000001E-2</v>
      </c>
      <c r="F12561" s="2">
        <v>4.7100000000000003E-2</v>
      </c>
      <c r="G12561" s="2">
        <v>1.6999999999999999E-3</v>
      </c>
      <c r="H12561" s="2">
        <v>1.4200000000000001E-2</v>
      </c>
      <c r="I12561">
        <v>270</v>
      </c>
    </row>
    <row r="12562" spans="1:9" x14ac:dyDescent="0.35">
      <c r="A12562" t="s">
        <v>227</v>
      </c>
      <c r="B12562" t="s">
        <v>2726</v>
      </c>
      <c r="C12562">
        <v>1</v>
      </c>
      <c r="D12562" s="2">
        <v>4.07E-2</v>
      </c>
      <c r="E12562" s="2">
        <v>5.7700000000000001E-2</v>
      </c>
      <c r="F12562" s="2">
        <v>1.83E-2</v>
      </c>
      <c r="G12562" s="2">
        <v>1.8E-3</v>
      </c>
      <c r="H12562" s="2">
        <v>2.92E-2</v>
      </c>
      <c r="I12562">
        <v>961</v>
      </c>
    </row>
    <row r="12563" spans="1:9" x14ac:dyDescent="0.35">
      <c r="A12563" t="s">
        <v>227</v>
      </c>
      <c r="B12563" t="s">
        <v>2727</v>
      </c>
      <c r="C12563">
        <v>3</v>
      </c>
      <c r="D12563" s="2">
        <v>3.1300000000000001E-2</v>
      </c>
      <c r="E12563" s="2">
        <v>2.0799999999999999E-2</v>
      </c>
      <c r="F12563" s="2">
        <v>1.34E-2</v>
      </c>
      <c r="H12563" s="2">
        <v>1.9800000000000002E-2</v>
      </c>
      <c r="I12563">
        <v>270</v>
      </c>
    </row>
    <row r="12564" spans="1:9" x14ac:dyDescent="0.35">
      <c r="A12564" t="s">
        <v>227</v>
      </c>
      <c r="B12564" t="s">
        <v>2726</v>
      </c>
      <c r="C12564">
        <v>3</v>
      </c>
      <c r="D12564" s="2">
        <v>5.6500000000000002E-2</v>
      </c>
      <c r="E12564" s="2">
        <v>2.8299999999999999E-2</v>
      </c>
      <c r="F12564" s="2">
        <v>5.4100000000000002E-2</v>
      </c>
      <c r="G12564" s="2">
        <v>1.1900000000000001E-2</v>
      </c>
      <c r="H12564" s="2">
        <v>3.7900000000000003E-2</v>
      </c>
      <c r="I12564">
        <v>961</v>
      </c>
    </row>
    <row r="12565" spans="1:9" x14ac:dyDescent="0.35">
      <c r="A12565" t="s">
        <v>227</v>
      </c>
      <c r="B12565" t="s">
        <v>2726</v>
      </c>
      <c r="C12565">
        <v>4</v>
      </c>
      <c r="D12565" s="2">
        <v>2.8899999999999999E-2</v>
      </c>
      <c r="E12565" s="2">
        <v>4.1999999999999997E-3</v>
      </c>
      <c r="F12565" s="2">
        <v>2.0400000000000001E-2</v>
      </c>
      <c r="G12565" s="2">
        <v>4.3E-3</v>
      </c>
      <c r="H12565" s="2">
        <v>1.32E-2</v>
      </c>
      <c r="I12565">
        <v>961</v>
      </c>
    </row>
    <row r="12566" spans="1:9" x14ac:dyDescent="0.35">
      <c r="A12566" t="s">
        <v>227</v>
      </c>
      <c r="B12566" t="s">
        <v>2726</v>
      </c>
      <c r="C12566">
        <v>5</v>
      </c>
      <c r="D12566" s="2">
        <v>3.44E-2</v>
      </c>
      <c r="E12566" s="2">
        <v>5.4000000000000003E-3</v>
      </c>
      <c r="F12566" s="2">
        <v>8.9999999999999993E-3</v>
      </c>
      <c r="G12566" s="2">
        <v>1.1000000000000001E-3</v>
      </c>
      <c r="H12566" s="2">
        <v>7.7000000000000002E-3</v>
      </c>
      <c r="I12566">
        <v>961</v>
      </c>
    </row>
    <row r="12567" spans="1:9" x14ac:dyDescent="0.35">
      <c r="A12567" t="s">
        <v>227</v>
      </c>
      <c r="B12567" t="s">
        <v>2726</v>
      </c>
      <c r="C12567">
        <v>2</v>
      </c>
      <c r="D12567" s="2">
        <v>9.2799999999999994E-2</v>
      </c>
      <c r="E12567" s="2">
        <v>2.6499999999999999E-2</v>
      </c>
      <c r="F12567" s="2">
        <v>3.5400000000000001E-2</v>
      </c>
      <c r="G12567" s="2">
        <v>1.04E-2</v>
      </c>
      <c r="H12567" s="2">
        <v>4.07E-2</v>
      </c>
      <c r="I12567">
        <v>961</v>
      </c>
    </row>
    <row r="12568" spans="1:9" x14ac:dyDescent="0.35">
      <c r="A12568" t="s">
        <v>227</v>
      </c>
      <c r="B12568" t="s">
        <v>2726</v>
      </c>
      <c r="C12568">
        <v>7</v>
      </c>
      <c r="D12568" s="2">
        <v>0.1643</v>
      </c>
      <c r="E12568" s="2">
        <v>1.2800000000000001E-2</v>
      </c>
      <c r="F12568" s="2">
        <v>7.0699999999999999E-2</v>
      </c>
      <c r="G12568" s="2">
        <v>1.6899999999999998E-2</v>
      </c>
      <c r="H12568" s="2">
        <v>7.8899999999999998E-2</v>
      </c>
      <c r="I12568">
        <v>961</v>
      </c>
    </row>
    <row r="12569" spans="1:9" x14ac:dyDescent="0.35">
      <c r="A12569" t="s">
        <v>227</v>
      </c>
      <c r="B12569" t="s">
        <v>2727</v>
      </c>
      <c r="C12569">
        <v>0</v>
      </c>
      <c r="D12569" s="2">
        <v>0.6573</v>
      </c>
      <c r="E12569" s="2">
        <v>0.8931</v>
      </c>
      <c r="F12569" s="2">
        <v>0.88839999999999997</v>
      </c>
      <c r="G12569" s="2">
        <v>0.97270000000000001</v>
      </c>
      <c r="H12569" s="2">
        <v>0.86799999999999999</v>
      </c>
      <c r="I12569">
        <v>270</v>
      </c>
    </row>
    <row r="12570" spans="1:9" x14ac:dyDescent="0.35">
      <c r="A12570" t="s">
        <v>227</v>
      </c>
      <c r="B12570" t="s">
        <v>2727</v>
      </c>
      <c r="C12570">
        <v>1</v>
      </c>
      <c r="D12570" s="2">
        <v>1.21E-2</v>
      </c>
      <c r="E12570" s="2">
        <v>5.1799999999999999E-2</v>
      </c>
      <c r="F12570" s="2">
        <v>1.3299999999999999E-2</v>
      </c>
      <c r="H12570" s="2">
        <v>4.48E-2</v>
      </c>
      <c r="I12570">
        <v>270</v>
      </c>
    </row>
    <row r="12571" spans="1:9" x14ac:dyDescent="0.35">
      <c r="A12571" t="s">
        <v>227</v>
      </c>
      <c r="B12571" t="s">
        <v>2726</v>
      </c>
      <c r="C12571">
        <v>6</v>
      </c>
      <c r="D12571" s="2">
        <v>1.6999999999999999E-3</v>
      </c>
      <c r="F12571" s="2">
        <v>6.9999999999999999E-4</v>
      </c>
      <c r="I12571">
        <v>961</v>
      </c>
    </row>
    <row r="12572" spans="1:9" x14ac:dyDescent="0.35">
      <c r="A12572" t="s">
        <v>228</v>
      </c>
      <c r="B12572" t="s">
        <v>228</v>
      </c>
      <c r="C12572">
        <v>6</v>
      </c>
      <c r="D12572" s="2">
        <v>2.8E-3</v>
      </c>
      <c r="E12572" s="2">
        <v>1.6999999999999999E-3</v>
      </c>
      <c r="F12572" s="2">
        <v>4.0000000000000002E-4</v>
      </c>
      <c r="G12572" s="2">
        <v>2.3999999999999998E-3</v>
      </c>
      <c r="H12572" s="2">
        <v>1.8E-3</v>
      </c>
      <c r="I12572">
        <v>2813</v>
      </c>
    </row>
    <row r="12573" spans="1:9" x14ac:dyDescent="0.35">
      <c r="A12573" t="s">
        <v>228</v>
      </c>
      <c r="B12573" t="s">
        <v>228</v>
      </c>
      <c r="C12573">
        <v>0</v>
      </c>
      <c r="D12573" s="2">
        <v>0.66559999999999997</v>
      </c>
      <c r="E12573" s="2">
        <v>0.89839999999999998</v>
      </c>
      <c r="F12573" s="2">
        <v>0.85399999999999998</v>
      </c>
      <c r="G12573" s="2">
        <v>0.94440000000000002</v>
      </c>
      <c r="H12573" s="2">
        <v>0.86960000000000004</v>
      </c>
      <c r="I12573">
        <v>2813</v>
      </c>
    </row>
    <row r="12574" spans="1:9" x14ac:dyDescent="0.35">
      <c r="A12574" t="s">
        <v>228</v>
      </c>
      <c r="B12574" t="s">
        <v>228</v>
      </c>
      <c r="C12574">
        <v>1</v>
      </c>
      <c r="D12574" s="2">
        <v>2.9700000000000001E-2</v>
      </c>
      <c r="E12574" s="2">
        <v>4.2799999999999998E-2</v>
      </c>
      <c r="F12574" s="2">
        <v>1.67E-2</v>
      </c>
      <c r="G12574" s="2">
        <v>5.1000000000000004E-3</v>
      </c>
      <c r="H12574" s="2">
        <v>1.7999999999999999E-2</v>
      </c>
      <c r="I12574">
        <v>2813</v>
      </c>
    </row>
    <row r="12575" spans="1:9" x14ac:dyDescent="0.35">
      <c r="A12575" t="s">
        <v>228</v>
      </c>
      <c r="B12575" t="s">
        <v>228</v>
      </c>
      <c r="C12575">
        <v>2</v>
      </c>
      <c r="D12575" s="2">
        <v>8.6699999999999999E-2</v>
      </c>
      <c r="E12575" s="2">
        <v>2.4799999999999999E-2</v>
      </c>
      <c r="F12575" s="2">
        <v>3.5400000000000001E-2</v>
      </c>
      <c r="G12575" s="2">
        <v>1.1900000000000001E-2</v>
      </c>
      <c r="H12575" s="2">
        <v>2.6700000000000002E-2</v>
      </c>
      <c r="I12575">
        <v>2813</v>
      </c>
    </row>
    <row r="12576" spans="1:9" x14ac:dyDescent="0.35">
      <c r="A12576" t="s">
        <v>228</v>
      </c>
      <c r="B12576" t="s">
        <v>228</v>
      </c>
      <c r="C12576">
        <v>3</v>
      </c>
      <c r="D12576" s="2">
        <v>5.8700000000000002E-2</v>
      </c>
      <c r="E12576" s="2">
        <v>1.9300000000000001E-2</v>
      </c>
      <c r="F12576" s="2">
        <v>2.5999999999999999E-2</v>
      </c>
      <c r="G12576" s="2">
        <v>1.0200000000000001E-2</v>
      </c>
      <c r="H12576" s="2">
        <v>2.1299999999999999E-2</v>
      </c>
      <c r="I12576">
        <v>2813</v>
      </c>
    </row>
    <row r="12577" spans="1:26" x14ac:dyDescent="0.35">
      <c r="A12577" t="s">
        <v>228</v>
      </c>
      <c r="B12577" t="s">
        <v>228</v>
      </c>
      <c r="C12577">
        <v>4</v>
      </c>
      <c r="D12577" s="2">
        <v>2.4E-2</v>
      </c>
      <c r="E12577" s="2">
        <v>1.6000000000000001E-3</v>
      </c>
      <c r="F12577" s="2">
        <v>1.38E-2</v>
      </c>
      <c r="G12577" s="2">
        <v>1.01E-2</v>
      </c>
      <c r="H12577" s="2">
        <v>1.0200000000000001E-2</v>
      </c>
      <c r="I12577">
        <v>2813</v>
      </c>
    </row>
    <row r="12578" spans="1:26" x14ac:dyDescent="0.35">
      <c r="A12578" t="s">
        <v>228</v>
      </c>
      <c r="B12578" t="s">
        <v>228</v>
      </c>
      <c r="C12578">
        <v>5</v>
      </c>
      <c r="D12578" s="2">
        <v>2.1700000000000001E-2</v>
      </c>
      <c r="E12578" s="2">
        <v>2.8E-3</v>
      </c>
      <c r="F12578" s="2">
        <v>8.8000000000000005E-3</v>
      </c>
      <c r="G12578" s="2">
        <v>8.9999999999999998E-4</v>
      </c>
      <c r="H12578" s="2">
        <v>7.9000000000000008E-3</v>
      </c>
      <c r="I12578">
        <v>2813</v>
      </c>
    </row>
    <row r="12579" spans="1:26" x14ac:dyDescent="0.35">
      <c r="A12579" t="s">
        <v>228</v>
      </c>
      <c r="B12579" t="s">
        <v>228</v>
      </c>
      <c r="C12579">
        <v>7</v>
      </c>
      <c r="D12579" s="2">
        <v>0.1108</v>
      </c>
      <c r="E12579" s="2">
        <v>8.6E-3</v>
      </c>
      <c r="F12579" s="2">
        <v>4.5100000000000001E-2</v>
      </c>
      <c r="G12579" s="2">
        <v>1.4999999999999999E-2</v>
      </c>
      <c r="H12579" s="2">
        <v>4.4600000000000001E-2</v>
      </c>
      <c r="I12579">
        <v>2813</v>
      </c>
    </row>
    <row r="12581" spans="1:26" x14ac:dyDescent="0.35">
      <c r="A12581" s="1" t="s">
        <v>2821</v>
      </c>
    </row>
    <row r="12582" spans="1:26" x14ac:dyDescent="0.35">
      <c r="A12582" t="s">
        <v>219</v>
      </c>
      <c r="B12582" t="s">
        <v>301</v>
      </c>
      <c r="C12582" t="s">
        <v>540</v>
      </c>
      <c r="D12582" t="s">
        <v>2276</v>
      </c>
      <c r="E12582" t="s">
        <v>2277</v>
      </c>
      <c r="F12582" t="s">
        <v>2278</v>
      </c>
      <c r="G12582" t="s">
        <v>2279</v>
      </c>
      <c r="H12582" t="s">
        <v>2280</v>
      </c>
      <c r="I12582" t="s">
        <v>2281</v>
      </c>
      <c r="J12582" t="s">
        <v>2282</v>
      </c>
      <c r="K12582" t="s">
        <v>2283</v>
      </c>
      <c r="L12582" t="s">
        <v>2284</v>
      </c>
      <c r="M12582" t="s">
        <v>2285</v>
      </c>
      <c r="N12582" t="s">
        <v>2286</v>
      </c>
      <c r="O12582" t="s">
        <v>2287</v>
      </c>
      <c r="P12582" t="s">
        <v>2288</v>
      </c>
      <c r="Q12582" t="s">
        <v>2289</v>
      </c>
      <c r="R12582" t="s">
        <v>2290</v>
      </c>
      <c r="S12582" t="s">
        <v>2291</v>
      </c>
      <c r="T12582" t="s">
        <v>2292</v>
      </c>
      <c r="U12582" t="s">
        <v>318</v>
      </c>
      <c r="V12582" t="s">
        <v>2293</v>
      </c>
      <c r="W12582" t="s">
        <v>2294</v>
      </c>
      <c r="X12582" t="s">
        <v>277</v>
      </c>
      <c r="Y12582" t="s">
        <v>282</v>
      </c>
      <c r="Z12582" t="s">
        <v>226</v>
      </c>
    </row>
    <row r="12583" spans="1:26" x14ac:dyDescent="0.35">
      <c r="A12583" t="s">
        <v>227</v>
      </c>
      <c r="B12583" t="s">
        <v>2726</v>
      </c>
      <c r="C12583" s="2">
        <v>0.4622</v>
      </c>
      <c r="D12583" s="2">
        <v>0.33429999999999999</v>
      </c>
      <c r="E12583" s="2">
        <v>8.8300000000000003E-2</v>
      </c>
      <c r="F12583" s="2">
        <v>7.1599999999999997E-2</v>
      </c>
      <c r="G12583" s="2">
        <v>5.67E-2</v>
      </c>
      <c r="H12583" s="2">
        <v>5.21E-2</v>
      </c>
      <c r="I12583" s="2">
        <v>5.9299999999999999E-2</v>
      </c>
      <c r="J12583" s="2">
        <v>4.5499999999999999E-2</v>
      </c>
      <c r="K12583" s="2">
        <v>3.1E-2</v>
      </c>
      <c r="L12583" s="2">
        <v>4.4299999999999999E-2</v>
      </c>
      <c r="M12583" s="2">
        <v>4.5999999999999999E-2</v>
      </c>
      <c r="N12583" s="2">
        <v>2.4500000000000001E-2</v>
      </c>
      <c r="O12583" s="2">
        <v>1.2200000000000001E-2</v>
      </c>
      <c r="P12583" s="2">
        <v>2.4500000000000001E-2</v>
      </c>
      <c r="Q12583" s="2">
        <v>1.7500000000000002E-2</v>
      </c>
      <c r="R12583" s="2">
        <v>4.8999999999999998E-3</v>
      </c>
      <c r="S12583" s="2">
        <v>4.0000000000000001E-3</v>
      </c>
      <c r="T12583" s="2">
        <v>5.5999999999999999E-3</v>
      </c>
      <c r="U12583" s="2">
        <v>8.6E-3</v>
      </c>
      <c r="V12583" s="2">
        <v>1.4999999999999999E-2</v>
      </c>
      <c r="W12583" s="2">
        <v>6.1000000000000004E-3</v>
      </c>
      <c r="X12583" s="2">
        <v>4.4999999999999997E-3</v>
      </c>
      <c r="Y12583" s="2">
        <v>5.9999999999999995E-4</v>
      </c>
      <c r="Z12583">
        <v>956</v>
      </c>
    </row>
    <row r="12584" spans="1:26" x14ac:dyDescent="0.35">
      <c r="A12584" t="s">
        <v>227</v>
      </c>
      <c r="B12584" t="s">
        <v>2727</v>
      </c>
      <c r="C12584" s="2">
        <v>0.59179999999999999</v>
      </c>
      <c r="D12584" s="2">
        <v>0.2074</v>
      </c>
      <c r="E12584" s="2">
        <v>5.1799999999999999E-2</v>
      </c>
      <c r="F12584" s="2">
        <v>1.0200000000000001E-2</v>
      </c>
      <c r="G12584" s="2">
        <v>5.7000000000000002E-2</v>
      </c>
      <c r="H12584" s="2">
        <v>5.5800000000000002E-2</v>
      </c>
      <c r="I12584" s="2">
        <v>2.81E-2</v>
      </c>
      <c r="J12584" s="2">
        <v>4.07E-2</v>
      </c>
      <c r="K12584" s="2">
        <v>5.0000000000000001E-3</v>
      </c>
      <c r="L12584" s="2">
        <v>8.9999999999999998E-4</v>
      </c>
      <c r="M12584" s="2">
        <v>2.2000000000000001E-3</v>
      </c>
      <c r="N12584" s="2">
        <v>6.0000000000000001E-3</v>
      </c>
      <c r="O12584" s="2">
        <v>3.2500000000000001E-2</v>
      </c>
      <c r="P12584" s="2">
        <v>5.5999999999999999E-3</v>
      </c>
      <c r="R12584" s="2">
        <v>1.8100000000000002E-2</v>
      </c>
      <c r="T12584" s="2">
        <v>2.8000000000000001E-2</v>
      </c>
      <c r="W12584" s="2">
        <v>2.0999999999999999E-3</v>
      </c>
      <c r="X12584" s="2">
        <v>2.0999999999999999E-3</v>
      </c>
      <c r="Y12584" s="2">
        <v>5.0000000000000001E-4</v>
      </c>
      <c r="Z12584">
        <v>267</v>
      </c>
    </row>
    <row r="12585" spans="1:26" x14ac:dyDescent="0.35">
      <c r="A12585" t="s">
        <v>227</v>
      </c>
      <c r="B12585" t="s">
        <v>2728</v>
      </c>
      <c r="C12585" s="2">
        <v>0.51090000000000002</v>
      </c>
      <c r="D12585" s="2">
        <v>0.2757</v>
      </c>
      <c r="E12585" s="2">
        <v>7.8600000000000003E-2</v>
      </c>
      <c r="F12585" s="2">
        <v>6.0400000000000002E-2</v>
      </c>
      <c r="G12585" s="2">
        <v>6.0499999999999998E-2</v>
      </c>
      <c r="H12585" s="2">
        <v>5.4100000000000002E-2</v>
      </c>
      <c r="I12585" s="2">
        <v>3.5200000000000002E-2</v>
      </c>
      <c r="J12585" s="2">
        <v>2.87E-2</v>
      </c>
      <c r="K12585" s="2">
        <v>3.6700000000000003E-2</v>
      </c>
      <c r="L12585" s="2">
        <v>2.63E-2</v>
      </c>
      <c r="M12585" s="2">
        <v>2.1399999999999999E-2</v>
      </c>
      <c r="N12585" s="2">
        <v>2.46E-2</v>
      </c>
      <c r="O12585" s="2">
        <v>2.4E-2</v>
      </c>
      <c r="P12585" s="2">
        <v>1.67E-2</v>
      </c>
      <c r="Q12585" s="2">
        <v>8.3999999999999995E-3</v>
      </c>
      <c r="R12585" s="2">
        <v>1.14E-2</v>
      </c>
      <c r="S12585" s="2">
        <v>1.3599999999999999E-2</v>
      </c>
      <c r="T12585" s="2">
        <v>8.3000000000000001E-3</v>
      </c>
      <c r="U12585" s="2">
        <v>0.01</v>
      </c>
      <c r="V12585" s="2">
        <v>5.3E-3</v>
      </c>
      <c r="W12585" s="2">
        <v>6.6E-3</v>
      </c>
      <c r="X12585" s="2">
        <v>6.1999999999999998E-3</v>
      </c>
      <c r="Y12585" s="2">
        <v>3.2000000000000002E-3</v>
      </c>
      <c r="Z12585">
        <v>1568</v>
      </c>
    </row>
    <row r="12586" spans="1:26" x14ac:dyDescent="0.35">
      <c r="A12586" t="s">
        <v>228</v>
      </c>
      <c r="B12586" t="s">
        <v>228</v>
      </c>
      <c r="C12586" s="2">
        <v>0.50360000000000005</v>
      </c>
      <c r="D12586" s="2">
        <v>0.2873</v>
      </c>
      <c r="E12586" s="2">
        <v>7.9000000000000001E-2</v>
      </c>
      <c r="F12586" s="2">
        <v>5.91E-2</v>
      </c>
      <c r="G12586" s="2">
        <v>5.8900000000000001E-2</v>
      </c>
      <c r="H12586" s="2">
        <v>5.3600000000000002E-2</v>
      </c>
      <c r="I12586" s="2">
        <v>4.2000000000000003E-2</v>
      </c>
      <c r="J12586" s="2">
        <v>3.5000000000000003E-2</v>
      </c>
      <c r="K12586" s="2">
        <v>3.1899999999999998E-2</v>
      </c>
      <c r="L12586" s="2">
        <v>2.9499999999999998E-2</v>
      </c>
      <c r="M12586" s="2">
        <v>2.7199999999999998E-2</v>
      </c>
      <c r="N12586" s="2">
        <v>2.2800000000000001E-2</v>
      </c>
      <c r="O12586" s="2">
        <v>2.1100000000000001E-2</v>
      </c>
      <c r="P12586" s="2">
        <v>1.8100000000000002E-2</v>
      </c>
      <c r="Q12586" s="2">
        <v>1.0500000000000001E-2</v>
      </c>
      <c r="R12586" s="2">
        <v>0.01</v>
      </c>
      <c r="S12586" s="2">
        <v>9.4000000000000004E-3</v>
      </c>
      <c r="T12586" s="2">
        <v>9.2999999999999992E-3</v>
      </c>
      <c r="U12586" s="2">
        <v>8.6E-3</v>
      </c>
      <c r="V12586" s="2">
        <v>7.7999999999999996E-3</v>
      </c>
      <c r="W12586" s="2">
        <v>6.0000000000000001E-3</v>
      </c>
      <c r="X12586" s="2">
        <v>5.3E-3</v>
      </c>
      <c r="Y12586" s="2">
        <v>2.0999999999999999E-3</v>
      </c>
      <c r="Z12586">
        <v>2791</v>
      </c>
    </row>
    <row r="12588" spans="1:26" x14ac:dyDescent="0.35">
      <c r="A12588" s="1" t="s">
        <v>2822</v>
      </c>
    </row>
    <row r="12589" spans="1:26" x14ac:dyDescent="0.35">
      <c r="A12589" t="s">
        <v>219</v>
      </c>
      <c r="B12589" t="s">
        <v>301</v>
      </c>
      <c r="C12589" t="s">
        <v>2310</v>
      </c>
      <c r="D12589" t="s">
        <v>2311</v>
      </c>
      <c r="E12589" t="s">
        <v>2312</v>
      </c>
      <c r="F12589" t="s">
        <v>2313</v>
      </c>
      <c r="G12589" t="s">
        <v>2314</v>
      </c>
      <c r="H12589" t="s">
        <v>2315</v>
      </c>
      <c r="I12589" t="s">
        <v>2316</v>
      </c>
      <c r="J12589" t="s">
        <v>2317</v>
      </c>
      <c r="K12589" t="s">
        <v>2318</v>
      </c>
      <c r="L12589" t="s">
        <v>2319</v>
      </c>
      <c r="M12589" t="s">
        <v>2320</v>
      </c>
      <c r="N12589" t="s">
        <v>2321</v>
      </c>
      <c r="O12589" t="s">
        <v>2322</v>
      </c>
      <c r="P12589" t="s">
        <v>2323</v>
      </c>
      <c r="Q12589" t="s">
        <v>2324</v>
      </c>
      <c r="R12589" t="s">
        <v>2325</v>
      </c>
      <c r="S12589" t="s">
        <v>2326</v>
      </c>
      <c r="T12589" t="s">
        <v>2327</v>
      </c>
      <c r="U12589" t="s">
        <v>318</v>
      </c>
      <c r="V12589" t="s">
        <v>2328</v>
      </c>
      <c r="W12589" t="s">
        <v>2329</v>
      </c>
      <c r="X12589" t="s">
        <v>2330</v>
      </c>
      <c r="Y12589" t="s">
        <v>226</v>
      </c>
    </row>
    <row r="12590" spans="1:26" x14ac:dyDescent="0.35">
      <c r="A12590" t="s">
        <v>227</v>
      </c>
      <c r="B12590" t="s">
        <v>2726</v>
      </c>
      <c r="C12590" s="2">
        <v>0.60219999999999996</v>
      </c>
      <c r="D12590" s="2">
        <v>0.29089999999999999</v>
      </c>
      <c r="E12590" s="2">
        <v>0.27950000000000003</v>
      </c>
      <c r="F12590" s="2">
        <v>0.1613</v>
      </c>
      <c r="G12590" s="2">
        <v>3.6499999999999998E-2</v>
      </c>
      <c r="H12590" s="2">
        <v>6.9800000000000001E-2</v>
      </c>
      <c r="I12590" s="2">
        <v>7.85E-2</v>
      </c>
      <c r="J12590" s="2">
        <v>6.8400000000000002E-2</v>
      </c>
      <c r="K12590" s="2">
        <v>6.5199999999999994E-2</v>
      </c>
      <c r="L12590" s="2">
        <v>2.4500000000000001E-2</v>
      </c>
      <c r="M12590" s="2">
        <v>3.7400000000000003E-2</v>
      </c>
      <c r="N12590" s="2">
        <v>1.2200000000000001E-2</v>
      </c>
      <c r="O12590" s="2">
        <v>1.84E-2</v>
      </c>
      <c r="P12590" s="2">
        <v>1.6299999999999999E-2</v>
      </c>
      <c r="Q12590" s="2">
        <v>1.6799999999999999E-2</v>
      </c>
      <c r="R12590" s="2">
        <v>1.83E-2</v>
      </c>
      <c r="S12590" s="2">
        <v>1.44E-2</v>
      </c>
      <c r="T12590" s="2">
        <v>9.4999999999999998E-3</v>
      </c>
      <c r="U12590" s="2">
        <v>1.2699999999999999E-2</v>
      </c>
      <c r="W12590" s="2">
        <v>9.4999999999999998E-3</v>
      </c>
      <c r="X12590" s="2">
        <v>2.2000000000000001E-3</v>
      </c>
      <c r="Y12590">
        <v>546</v>
      </c>
    </row>
    <row r="12591" spans="1:26" x14ac:dyDescent="0.35">
      <c r="A12591" t="s">
        <v>227</v>
      </c>
      <c r="B12591" t="s">
        <v>2727</v>
      </c>
      <c r="C12591" s="2">
        <v>0.5575</v>
      </c>
      <c r="D12591" s="2">
        <v>0.29089999999999999</v>
      </c>
      <c r="E12591" s="2">
        <v>0.10009999999999999</v>
      </c>
      <c r="F12591" s="2">
        <v>0.17960000000000001</v>
      </c>
      <c r="G12591" s="2">
        <v>5.74E-2</v>
      </c>
      <c r="H12591" s="2">
        <v>5.3600000000000002E-2</v>
      </c>
      <c r="I12591" s="2">
        <v>5.0700000000000002E-2</v>
      </c>
      <c r="J12591" s="2">
        <v>4.2700000000000002E-2</v>
      </c>
      <c r="K12591" s="2">
        <v>6.8099999999999994E-2</v>
      </c>
      <c r="L12591" s="2">
        <v>3.7999999999999999E-2</v>
      </c>
      <c r="M12591" s="2">
        <v>5.3900000000000003E-2</v>
      </c>
      <c r="N12591" s="2">
        <v>0.04</v>
      </c>
      <c r="O12591" s="2">
        <v>1.3599999999999999E-2</v>
      </c>
      <c r="P12591" s="2">
        <v>4.1000000000000003E-3</v>
      </c>
      <c r="Q12591" s="2">
        <v>5.91E-2</v>
      </c>
      <c r="S12591" s="2">
        <v>5.4999999999999997E-3</v>
      </c>
      <c r="T12591" s="2">
        <v>2.2000000000000001E-3</v>
      </c>
      <c r="V12591" s="2">
        <v>5.4000000000000003E-3</v>
      </c>
      <c r="W12591" s="2">
        <v>4.2700000000000002E-2</v>
      </c>
      <c r="X12591" s="2">
        <v>5.3E-3</v>
      </c>
      <c r="Y12591">
        <v>132</v>
      </c>
    </row>
    <row r="12592" spans="1:26" x14ac:dyDescent="0.35">
      <c r="A12592" t="s">
        <v>227</v>
      </c>
      <c r="B12592" t="s">
        <v>2728</v>
      </c>
      <c r="C12592" s="2">
        <v>0.54490000000000005</v>
      </c>
      <c r="D12592" s="2">
        <v>0.23019999999999999</v>
      </c>
      <c r="E12592" s="2">
        <v>0.2409</v>
      </c>
      <c r="F12592" s="2">
        <v>0.1673</v>
      </c>
      <c r="G12592" s="2">
        <v>0.1013</v>
      </c>
      <c r="H12592" s="2">
        <v>6.7699999999999996E-2</v>
      </c>
      <c r="I12592" s="2">
        <v>4.7100000000000003E-2</v>
      </c>
      <c r="J12592" s="2">
        <v>5.3900000000000003E-2</v>
      </c>
      <c r="K12592" s="2">
        <v>3.4500000000000003E-2</v>
      </c>
      <c r="L12592" s="2">
        <v>0.05</v>
      </c>
      <c r="M12592" s="2">
        <v>3.49E-2</v>
      </c>
      <c r="N12592" s="2">
        <v>4.5400000000000003E-2</v>
      </c>
      <c r="O12592" s="2">
        <v>3.7699999999999997E-2</v>
      </c>
      <c r="P12592" s="2">
        <v>3.5799999999999998E-2</v>
      </c>
      <c r="Q12592" s="2">
        <v>1.7600000000000001E-2</v>
      </c>
      <c r="R12592" s="2">
        <v>2.24E-2</v>
      </c>
      <c r="S12592" s="2">
        <v>1.89E-2</v>
      </c>
      <c r="T12592" s="2">
        <v>1.9400000000000001E-2</v>
      </c>
      <c r="U12592" s="2">
        <v>6.4000000000000003E-3</v>
      </c>
      <c r="V12592" s="2">
        <v>1.2800000000000001E-2</v>
      </c>
      <c r="W12592" s="2">
        <v>1.1999999999999999E-3</v>
      </c>
      <c r="X12592" s="2">
        <v>7.4000000000000003E-3</v>
      </c>
      <c r="Y12592">
        <v>859</v>
      </c>
    </row>
    <row r="12593" spans="1:25" x14ac:dyDescent="0.35">
      <c r="A12593" t="s">
        <v>228</v>
      </c>
      <c r="B12593" t="s">
        <v>228</v>
      </c>
      <c r="C12593" s="2">
        <v>0.56540000000000001</v>
      </c>
      <c r="D12593" s="2">
        <v>0.25569999999999998</v>
      </c>
      <c r="E12593" s="2">
        <v>0.24279999999999999</v>
      </c>
      <c r="F12593" s="2">
        <v>0.16619999999999999</v>
      </c>
      <c r="G12593" s="2">
        <v>7.5700000000000003E-2</v>
      </c>
      <c r="H12593" s="2">
        <v>6.7299999999999999E-2</v>
      </c>
      <c r="I12593" s="2">
        <v>5.8099999999999999E-2</v>
      </c>
      <c r="J12593" s="2">
        <v>5.79E-2</v>
      </c>
      <c r="K12593" s="2">
        <v>4.7600000000000003E-2</v>
      </c>
      <c r="L12593" s="2">
        <v>4.0399999999999998E-2</v>
      </c>
      <c r="M12593" s="2">
        <v>3.73E-2</v>
      </c>
      <c r="N12593" s="2">
        <v>3.3700000000000001E-2</v>
      </c>
      <c r="O12593" s="2">
        <v>2.92E-2</v>
      </c>
      <c r="P12593" s="2">
        <v>2.6599999999999999E-2</v>
      </c>
      <c r="Q12593" s="2">
        <v>2.06E-2</v>
      </c>
      <c r="R12593" s="2">
        <v>1.9199999999999998E-2</v>
      </c>
      <c r="S12593" s="2">
        <v>1.6299999999999999E-2</v>
      </c>
      <c r="T12593" s="2">
        <v>1.47E-2</v>
      </c>
      <c r="U12593" s="2">
        <v>8.0000000000000002E-3</v>
      </c>
      <c r="V12593" s="2">
        <v>7.9000000000000008E-3</v>
      </c>
      <c r="W12593" s="2">
        <v>7.3000000000000001E-3</v>
      </c>
      <c r="X12593" s="2">
        <v>5.4999999999999997E-3</v>
      </c>
      <c r="Y12593">
        <v>1537</v>
      </c>
    </row>
    <row r="12595" spans="1:25" x14ac:dyDescent="0.35">
      <c r="A12595" s="1" t="s">
        <v>2823</v>
      </c>
    </row>
    <row r="12596" spans="1:25" x14ac:dyDescent="0.35">
      <c r="A12596" t="s">
        <v>219</v>
      </c>
      <c r="B12596" t="s">
        <v>301</v>
      </c>
      <c r="C12596" t="s">
        <v>2346</v>
      </c>
      <c r="D12596" t="s">
        <v>2347</v>
      </c>
      <c r="E12596" t="s">
        <v>2348</v>
      </c>
      <c r="F12596" t="s">
        <v>2349</v>
      </c>
      <c r="G12596" t="s">
        <v>2350</v>
      </c>
      <c r="H12596" t="s">
        <v>277</v>
      </c>
      <c r="I12596" t="s">
        <v>226</v>
      </c>
    </row>
    <row r="12597" spans="1:25" x14ac:dyDescent="0.35">
      <c r="A12597" t="s">
        <v>227</v>
      </c>
      <c r="B12597" t="s">
        <v>2726</v>
      </c>
      <c r="C12597" s="2">
        <v>0.78059999999999996</v>
      </c>
      <c r="D12597" s="2">
        <v>0.34339999999999998</v>
      </c>
      <c r="E12597" s="2">
        <v>0.1075</v>
      </c>
      <c r="F12597" s="2">
        <v>7.0300000000000001E-2</v>
      </c>
      <c r="G12597" s="2">
        <v>2.1999999999999999E-2</v>
      </c>
      <c r="H12597" s="2">
        <v>3.8100000000000002E-2</v>
      </c>
      <c r="I12597">
        <v>496</v>
      </c>
    </row>
    <row r="12598" spans="1:25" x14ac:dyDescent="0.35">
      <c r="A12598" t="s">
        <v>227</v>
      </c>
      <c r="B12598" t="s">
        <v>2727</v>
      </c>
      <c r="C12598" s="2">
        <v>0.75900000000000001</v>
      </c>
      <c r="D12598" s="2">
        <v>0.31490000000000001</v>
      </c>
      <c r="E12598" s="2">
        <v>2.6599999999999999E-2</v>
      </c>
      <c r="F12598" s="2">
        <v>1.0500000000000001E-2</v>
      </c>
      <c r="H12598" s="2">
        <v>5.2299999999999999E-2</v>
      </c>
      <c r="I12598">
        <v>109</v>
      </c>
    </row>
    <row r="12599" spans="1:25" x14ac:dyDescent="0.35">
      <c r="A12599" t="s">
        <v>227</v>
      </c>
      <c r="B12599" t="s">
        <v>2728</v>
      </c>
      <c r="C12599" s="2">
        <v>0.80640000000000001</v>
      </c>
      <c r="D12599" s="2">
        <v>0.3024</v>
      </c>
      <c r="E12599" s="2">
        <v>9.2799999999999994E-2</v>
      </c>
      <c r="F12599" s="2">
        <v>0.1028</v>
      </c>
      <c r="G12599" s="2">
        <v>5.4699999999999999E-2</v>
      </c>
      <c r="H12599" s="2">
        <v>5.4000000000000003E-3</v>
      </c>
      <c r="I12599">
        <v>767</v>
      </c>
    </row>
    <row r="12600" spans="1:25" x14ac:dyDescent="0.35">
      <c r="A12600" t="s">
        <v>228</v>
      </c>
      <c r="B12600" t="s">
        <v>228</v>
      </c>
      <c r="C12600" s="2">
        <v>0.79400000000000004</v>
      </c>
      <c r="D12600" s="2">
        <v>0.31730000000000003</v>
      </c>
      <c r="E12600" s="2">
        <v>9.2700000000000005E-2</v>
      </c>
      <c r="F12600" s="2">
        <v>8.4699999999999998E-2</v>
      </c>
      <c r="G12600" s="2">
        <v>3.9399999999999998E-2</v>
      </c>
      <c r="H12600" s="2">
        <v>2.01E-2</v>
      </c>
      <c r="I12600">
        <v>1372</v>
      </c>
    </row>
    <row r="12602" spans="1:25" x14ac:dyDescent="0.35">
      <c r="A12602" s="1" t="s">
        <v>2824</v>
      </c>
    </row>
    <row r="12603" spans="1:25" x14ac:dyDescent="0.35">
      <c r="A12603" t="s">
        <v>219</v>
      </c>
      <c r="B12603" t="s">
        <v>301</v>
      </c>
      <c r="C12603" t="s">
        <v>2366</v>
      </c>
      <c r="D12603" t="s">
        <v>2367</v>
      </c>
      <c r="E12603" t="s">
        <v>2368</v>
      </c>
      <c r="F12603" t="s">
        <v>2369</v>
      </c>
      <c r="G12603" t="s">
        <v>2370</v>
      </c>
      <c r="H12603" t="s">
        <v>2371</v>
      </c>
      <c r="I12603" t="s">
        <v>277</v>
      </c>
      <c r="J12603" t="s">
        <v>226</v>
      </c>
    </row>
    <row r="12604" spans="1:25" x14ac:dyDescent="0.35">
      <c r="A12604" t="s">
        <v>227</v>
      </c>
      <c r="B12604" t="s">
        <v>2726</v>
      </c>
      <c r="C12604" s="2">
        <v>0.50129999999999997</v>
      </c>
      <c r="D12604" s="2">
        <v>0.22470000000000001</v>
      </c>
      <c r="E12604" s="2">
        <v>9.0800000000000006E-2</v>
      </c>
      <c r="F12604" s="2">
        <v>7.8299999999999995E-2</v>
      </c>
      <c r="G12604" s="2">
        <v>5.11E-2</v>
      </c>
      <c r="H12604" s="2">
        <v>4.36E-2</v>
      </c>
      <c r="I12604" s="2">
        <v>1.0200000000000001E-2</v>
      </c>
      <c r="J12604">
        <v>961</v>
      </c>
    </row>
    <row r="12605" spans="1:25" x14ac:dyDescent="0.35">
      <c r="A12605" t="s">
        <v>227</v>
      </c>
      <c r="B12605" t="s">
        <v>2727</v>
      </c>
      <c r="C12605" s="2">
        <v>0.61509999999999998</v>
      </c>
      <c r="D12605" s="2">
        <v>0.20899999999999999</v>
      </c>
      <c r="E12605" s="2">
        <v>7.0599999999999996E-2</v>
      </c>
      <c r="F12605" s="2">
        <v>4.24E-2</v>
      </c>
      <c r="G12605" s="2">
        <v>3.8699999999999998E-2</v>
      </c>
      <c r="H12605" s="2">
        <v>2.3E-2</v>
      </c>
      <c r="I12605" s="2">
        <v>1.2999999999999999E-3</v>
      </c>
      <c r="J12605">
        <v>270</v>
      </c>
    </row>
    <row r="12606" spans="1:25" x14ac:dyDescent="0.35">
      <c r="A12606" t="s">
        <v>227</v>
      </c>
      <c r="B12606" t="s">
        <v>2728</v>
      </c>
      <c r="C12606" s="2">
        <v>0.49209999999999998</v>
      </c>
      <c r="D12606" s="2">
        <v>0.23930000000000001</v>
      </c>
      <c r="E12606" s="2">
        <v>8.9599999999999999E-2</v>
      </c>
      <c r="F12606" s="2">
        <v>7.0300000000000001E-2</v>
      </c>
      <c r="G12606" s="2">
        <v>5.6500000000000002E-2</v>
      </c>
      <c r="H12606" s="2">
        <v>4.1399999999999999E-2</v>
      </c>
      <c r="I12606" s="2">
        <v>1.0800000000000001E-2</v>
      </c>
      <c r="J12606">
        <v>1581</v>
      </c>
    </row>
    <row r="12607" spans="1:25" x14ac:dyDescent="0.35">
      <c r="A12607" t="s">
        <v>228</v>
      </c>
      <c r="B12607" t="s">
        <v>228</v>
      </c>
      <c r="C12607" s="2">
        <v>0.50619999999999998</v>
      </c>
      <c r="D12607" s="2">
        <v>0.23180000000000001</v>
      </c>
      <c r="E12607" s="2">
        <v>8.8099999999999998E-2</v>
      </c>
      <c r="F12607" s="2">
        <v>7.0099999999999996E-2</v>
      </c>
      <c r="G12607" s="2">
        <v>5.3699999999999998E-2</v>
      </c>
      <c r="H12607" s="2">
        <v>4.0300000000000002E-2</v>
      </c>
      <c r="I12607" s="2">
        <v>9.7000000000000003E-3</v>
      </c>
      <c r="J12607">
        <v>2812</v>
      </c>
    </row>
    <row r="12609" spans="1:23" x14ac:dyDescent="0.35">
      <c r="A12609" s="1" t="s">
        <v>2825</v>
      </c>
    </row>
    <row r="12610" spans="1:23" x14ac:dyDescent="0.35">
      <c r="A12610" t="s">
        <v>219</v>
      </c>
      <c r="B12610" t="s">
        <v>301</v>
      </c>
      <c r="C12610" t="s">
        <v>2387</v>
      </c>
      <c r="D12610" t="s">
        <v>2388</v>
      </c>
      <c r="E12610" t="s">
        <v>2389</v>
      </c>
      <c r="F12610" t="s">
        <v>2390</v>
      </c>
      <c r="G12610" t="s">
        <v>2391</v>
      </c>
      <c r="H12610" t="s">
        <v>2392</v>
      </c>
      <c r="I12610" t="s">
        <v>277</v>
      </c>
      <c r="J12610" t="s">
        <v>2393</v>
      </c>
      <c r="K12610" t="s">
        <v>2394</v>
      </c>
      <c r="L12610" t="s">
        <v>2395</v>
      </c>
      <c r="M12610" t="s">
        <v>2396</v>
      </c>
      <c r="N12610" t="s">
        <v>2397</v>
      </c>
      <c r="O12610" t="s">
        <v>2398</v>
      </c>
      <c r="P12610" t="s">
        <v>2399</v>
      </c>
      <c r="Q12610" t="s">
        <v>2400</v>
      </c>
      <c r="R12610" t="s">
        <v>2401</v>
      </c>
      <c r="S12610" t="s">
        <v>318</v>
      </c>
      <c r="T12610" t="s">
        <v>2402</v>
      </c>
      <c r="U12610" t="s">
        <v>2403</v>
      </c>
      <c r="V12610" t="s">
        <v>282</v>
      </c>
      <c r="W12610" t="s">
        <v>226</v>
      </c>
    </row>
    <row r="12611" spans="1:23" x14ac:dyDescent="0.35">
      <c r="A12611" t="s">
        <v>227</v>
      </c>
      <c r="B12611" t="s">
        <v>2726</v>
      </c>
      <c r="C12611" s="2">
        <v>0.3876</v>
      </c>
      <c r="D12611" s="2">
        <v>0.307</v>
      </c>
      <c r="E12611" s="2">
        <v>0.13070000000000001</v>
      </c>
      <c r="F12611" s="2">
        <v>0.112</v>
      </c>
      <c r="G12611" s="2">
        <v>7.46E-2</v>
      </c>
      <c r="H12611" s="2">
        <v>6.5000000000000002E-2</v>
      </c>
      <c r="I12611" s="2">
        <v>1.6299999999999999E-2</v>
      </c>
      <c r="J12611" s="2">
        <v>8.8999999999999999E-3</v>
      </c>
      <c r="K12611" s="2">
        <v>1.0699999999999999E-2</v>
      </c>
      <c r="L12611" s="2">
        <v>1.2699999999999999E-2</v>
      </c>
      <c r="M12611" s="2">
        <v>4.7999999999999996E-3</v>
      </c>
      <c r="N12611" s="2">
        <v>6.7000000000000002E-3</v>
      </c>
      <c r="O12611" s="2">
        <v>5.5999999999999999E-3</v>
      </c>
      <c r="P12611" s="2">
        <v>2.5000000000000001E-3</v>
      </c>
      <c r="Q12611" s="2">
        <v>2.3E-3</v>
      </c>
      <c r="S12611" s="2">
        <v>6.9999999999999999E-4</v>
      </c>
      <c r="U12611" s="2">
        <v>2.2000000000000001E-3</v>
      </c>
      <c r="V12611" s="2">
        <v>5.9999999999999995E-4</v>
      </c>
      <c r="W12611">
        <v>961</v>
      </c>
    </row>
    <row r="12612" spans="1:23" x14ac:dyDescent="0.35">
      <c r="A12612" t="s">
        <v>227</v>
      </c>
      <c r="B12612" t="s">
        <v>2727</v>
      </c>
      <c r="C12612" s="2">
        <v>0.45450000000000002</v>
      </c>
      <c r="D12612" s="2">
        <v>0.29599999999999999</v>
      </c>
      <c r="E12612" s="2">
        <v>0.1192</v>
      </c>
      <c r="F12612" s="2">
        <v>0.10639999999999999</v>
      </c>
      <c r="G12612" s="2">
        <v>5.0200000000000002E-2</v>
      </c>
      <c r="H12612" s="2">
        <v>4.7E-2</v>
      </c>
      <c r="I12612" s="2">
        <v>8.3000000000000001E-3</v>
      </c>
      <c r="J12612" s="2">
        <v>2.0400000000000001E-2</v>
      </c>
      <c r="K12612" s="2">
        <v>2.3999999999999998E-3</v>
      </c>
      <c r="L12612" s="2">
        <v>4.0000000000000001E-3</v>
      </c>
      <c r="M12612" s="2">
        <v>1.7999999999999999E-2</v>
      </c>
      <c r="N12612" s="2">
        <v>8.9999999999999998E-4</v>
      </c>
      <c r="O12612" s="2">
        <v>4.3E-3</v>
      </c>
      <c r="P12612" s="2">
        <v>5.7000000000000002E-3</v>
      </c>
      <c r="R12612" s="2">
        <v>4.4999999999999997E-3</v>
      </c>
      <c r="U12612" s="2">
        <v>5.1000000000000004E-3</v>
      </c>
      <c r="W12612">
        <v>270</v>
      </c>
    </row>
    <row r="12613" spans="1:23" x14ac:dyDescent="0.35">
      <c r="A12613" t="s">
        <v>227</v>
      </c>
      <c r="B12613" t="s">
        <v>2728</v>
      </c>
      <c r="C12613" s="2">
        <v>0.44269999999999998</v>
      </c>
      <c r="D12613" s="2">
        <v>0.34289999999999998</v>
      </c>
      <c r="E12613" s="2">
        <v>7.0499999999999993E-2</v>
      </c>
      <c r="F12613" s="2">
        <v>6.5100000000000005E-2</v>
      </c>
      <c r="G12613" s="2">
        <v>6.4000000000000001E-2</v>
      </c>
      <c r="H12613" s="2">
        <v>5.2299999999999999E-2</v>
      </c>
      <c r="I12613" s="2">
        <v>1.4200000000000001E-2</v>
      </c>
      <c r="J12613" s="2">
        <v>1.0699999999999999E-2</v>
      </c>
      <c r="K12613" s="2">
        <v>1.17E-2</v>
      </c>
      <c r="L12613" s="2">
        <v>7.7000000000000002E-3</v>
      </c>
      <c r="M12613" s="2">
        <v>6.7999999999999996E-3</v>
      </c>
      <c r="N12613" s="2">
        <v>7.0000000000000001E-3</v>
      </c>
      <c r="O12613" s="2">
        <v>5.5999999999999999E-3</v>
      </c>
      <c r="P12613" s="2">
        <v>4.4000000000000003E-3</v>
      </c>
      <c r="Q12613" s="2">
        <v>2.8999999999999998E-3</v>
      </c>
      <c r="R12613" s="2">
        <v>2.8E-3</v>
      </c>
      <c r="S12613" s="2">
        <v>2.7000000000000001E-3</v>
      </c>
      <c r="T12613" s="2">
        <v>3.2000000000000002E-3</v>
      </c>
      <c r="U12613" s="2">
        <v>1E-3</v>
      </c>
      <c r="V12613" s="2">
        <v>1.9E-3</v>
      </c>
      <c r="W12613">
        <v>1580</v>
      </c>
    </row>
    <row r="12614" spans="1:23" x14ac:dyDescent="0.35">
      <c r="A12614" t="s">
        <v>228</v>
      </c>
      <c r="B12614" t="s">
        <v>228</v>
      </c>
      <c r="C12614" s="2">
        <v>0.42699999999999999</v>
      </c>
      <c r="D12614" s="2">
        <v>0.3271</v>
      </c>
      <c r="E12614" s="2">
        <v>9.3799999999999994E-2</v>
      </c>
      <c r="F12614" s="2">
        <v>8.3500000000000005E-2</v>
      </c>
      <c r="G12614" s="2">
        <v>6.6000000000000003E-2</v>
      </c>
      <c r="H12614" s="2">
        <v>5.57E-2</v>
      </c>
      <c r="I12614" s="2">
        <v>1.43E-2</v>
      </c>
      <c r="J12614" s="2">
        <v>1.0999999999999999E-2</v>
      </c>
      <c r="K12614" s="2">
        <v>1.0500000000000001E-2</v>
      </c>
      <c r="L12614" s="2">
        <v>8.8999999999999999E-3</v>
      </c>
      <c r="M12614" s="2">
        <v>7.1999999999999998E-3</v>
      </c>
      <c r="N12614" s="2">
        <v>6.3E-3</v>
      </c>
      <c r="O12614" s="2">
        <v>5.4000000000000003E-3</v>
      </c>
      <c r="P12614" s="2">
        <v>3.8999999999999998E-3</v>
      </c>
      <c r="Q12614" s="2">
        <v>2.3999999999999998E-3</v>
      </c>
      <c r="R12614" s="2">
        <v>2.0999999999999999E-3</v>
      </c>
      <c r="S12614" s="2">
        <v>1.9E-3</v>
      </c>
      <c r="T12614" s="2">
        <v>1.9E-3</v>
      </c>
      <c r="U12614" s="2">
        <v>1.8E-3</v>
      </c>
      <c r="V12614" s="2">
        <v>1.2999999999999999E-3</v>
      </c>
      <c r="W12614">
        <v>2811</v>
      </c>
    </row>
    <row r="12616" spans="1:23" x14ac:dyDescent="0.35">
      <c r="A12616" s="1" t="s">
        <v>2826</v>
      </c>
    </row>
    <row r="12617" spans="1:23" x14ac:dyDescent="0.35">
      <c r="A12617" t="s">
        <v>219</v>
      </c>
      <c r="B12617" t="s">
        <v>301</v>
      </c>
      <c r="C12617" t="s">
        <v>2419</v>
      </c>
      <c r="D12617" t="s">
        <v>2420</v>
      </c>
      <c r="E12617" t="s">
        <v>2421</v>
      </c>
      <c r="F12617" t="s">
        <v>2422</v>
      </c>
      <c r="G12617" t="s">
        <v>2423</v>
      </c>
      <c r="H12617" t="s">
        <v>282</v>
      </c>
      <c r="I12617" t="s">
        <v>226</v>
      </c>
    </row>
    <row r="12618" spans="1:23" x14ac:dyDescent="0.35">
      <c r="A12618" t="s">
        <v>227</v>
      </c>
      <c r="B12618" t="s">
        <v>2726</v>
      </c>
      <c r="C12618" s="2">
        <v>0.5222</v>
      </c>
      <c r="D12618" s="2">
        <v>0.22040000000000001</v>
      </c>
      <c r="E12618" s="2">
        <v>0.15359999999999999</v>
      </c>
      <c r="F12618" s="2">
        <v>5.4300000000000001E-2</v>
      </c>
      <c r="G12618" s="2">
        <v>3.6999999999999998E-2</v>
      </c>
      <c r="H12618" s="2">
        <v>1.24E-2</v>
      </c>
      <c r="I12618">
        <v>355</v>
      </c>
    </row>
    <row r="12619" spans="1:23" x14ac:dyDescent="0.35">
      <c r="A12619" t="s">
        <v>227</v>
      </c>
      <c r="B12619" t="s">
        <v>2727</v>
      </c>
      <c r="C12619" s="2">
        <v>0.46450000000000002</v>
      </c>
      <c r="D12619" s="2">
        <v>0.22989999999999999</v>
      </c>
      <c r="E12619" s="2">
        <v>0.25369999999999998</v>
      </c>
      <c r="F12619" s="2">
        <v>1.9699999999999999E-2</v>
      </c>
      <c r="G12619" s="2">
        <v>5.3E-3</v>
      </c>
      <c r="H12619" s="2">
        <v>2.6800000000000001E-2</v>
      </c>
      <c r="I12619">
        <v>78</v>
      </c>
    </row>
    <row r="12620" spans="1:23" x14ac:dyDescent="0.35">
      <c r="A12620" t="s">
        <v>227</v>
      </c>
      <c r="B12620" t="s">
        <v>2728</v>
      </c>
      <c r="C12620" s="2">
        <v>0.54079999999999995</v>
      </c>
      <c r="D12620" s="2">
        <v>0.222</v>
      </c>
      <c r="E12620" s="2">
        <v>0.13780000000000001</v>
      </c>
      <c r="F12620" s="2">
        <v>5.3999999999999999E-2</v>
      </c>
      <c r="G12620" s="2">
        <v>2.6100000000000002E-2</v>
      </c>
      <c r="H12620" s="2">
        <v>1.9300000000000001E-2</v>
      </c>
      <c r="I12620">
        <v>548</v>
      </c>
    </row>
    <row r="12621" spans="1:23" x14ac:dyDescent="0.35">
      <c r="A12621" t="s">
        <v>228</v>
      </c>
      <c r="B12621" t="s">
        <v>228</v>
      </c>
      <c r="C12621" s="2">
        <v>0.53090000000000004</v>
      </c>
      <c r="D12621" s="2">
        <v>0.22140000000000001</v>
      </c>
      <c r="E12621" s="2">
        <v>0.15010000000000001</v>
      </c>
      <c r="F12621" s="2">
        <v>5.1700000000000003E-2</v>
      </c>
      <c r="G12621" s="2">
        <v>2.8199999999999999E-2</v>
      </c>
      <c r="H12621" s="2">
        <v>1.7500000000000002E-2</v>
      </c>
      <c r="I12621">
        <v>981</v>
      </c>
    </row>
    <row r="12623" spans="1:23" x14ac:dyDescent="0.35">
      <c r="A12623" s="1" t="s">
        <v>2827</v>
      </c>
    </row>
    <row r="12624" spans="1:23" x14ac:dyDescent="0.35">
      <c r="A12624" t="s">
        <v>219</v>
      </c>
      <c r="B12624" t="s">
        <v>301</v>
      </c>
      <c r="C12624" t="s">
        <v>2439</v>
      </c>
      <c r="D12624" t="s">
        <v>2440</v>
      </c>
      <c r="E12624" t="s">
        <v>2441</v>
      </c>
      <c r="F12624" t="s">
        <v>2442</v>
      </c>
      <c r="G12624" t="s">
        <v>282</v>
      </c>
      <c r="H12624" t="s">
        <v>318</v>
      </c>
      <c r="I12624" t="s">
        <v>2443</v>
      </c>
      <c r="J12624" t="s">
        <v>2444</v>
      </c>
      <c r="K12624" t="s">
        <v>226</v>
      </c>
    </row>
    <row r="12625" spans="1:17" x14ac:dyDescent="0.35">
      <c r="A12625" s="3" t="s">
        <v>227</v>
      </c>
      <c r="B12625" s="3" t="s">
        <v>2726</v>
      </c>
      <c r="C12625" s="4">
        <v>0.66349999999999998</v>
      </c>
      <c r="D12625" s="4">
        <v>7.3800000000000004E-2</v>
      </c>
      <c r="E12625" s="4">
        <v>0.1053</v>
      </c>
      <c r="F12625" s="4">
        <v>0.13980000000000001</v>
      </c>
      <c r="G12625" s="4">
        <v>9.2399999999999996E-2</v>
      </c>
      <c r="H12625" s="5"/>
      <c r="I12625" s="5"/>
      <c r="J12625" s="5"/>
      <c r="K12625" s="5" t="s">
        <v>422</v>
      </c>
    </row>
    <row r="12626" spans="1:17" x14ac:dyDescent="0.35">
      <c r="A12626" s="3" t="s">
        <v>227</v>
      </c>
      <c r="B12626" s="3" t="s">
        <v>2727</v>
      </c>
      <c r="C12626" s="4">
        <v>0.53779999999999994</v>
      </c>
      <c r="D12626" s="4">
        <v>0.2117</v>
      </c>
      <c r="E12626" s="5"/>
      <c r="F12626" s="4">
        <v>0.4622</v>
      </c>
      <c r="G12626" s="5"/>
      <c r="H12626" s="5"/>
      <c r="I12626" s="5"/>
      <c r="J12626" s="5"/>
      <c r="K12626" s="5" t="s">
        <v>341</v>
      </c>
    </row>
    <row r="12627" spans="1:17" x14ac:dyDescent="0.35">
      <c r="A12627" s="3" t="s">
        <v>227</v>
      </c>
      <c r="B12627" s="3" t="s">
        <v>2728</v>
      </c>
      <c r="C12627" s="4">
        <v>0.61639999999999995</v>
      </c>
      <c r="D12627" s="4">
        <v>0.27739999999999998</v>
      </c>
      <c r="E12627" s="4">
        <v>8.6499999999999994E-2</v>
      </c>
      <c r="F12627" s="4">
        <v>2.0999999999999999E-3</v>
      </c>
      <c r="G12627" s="5"/>
      <c r="H12627" s="4">
        <v>1.3100000000000001E-2</v>
      </c>
      <c r="I12627" s="4">
        <v>6.4999999999999997E-3</v>
      </c>
      <c r="J12627" s="4">
        <v>6.0000000000000001E-3</v>
      </c>
      <c r="K12627" s="5" t="s">
        <v>432</v>
      </c>
    </row>
    <row r="12628" spans="1:17" x14ac:dyDescent="0.35">
      <c r="A12628" t="s">
        <v>228</v>
      </c>
      <c r="B12628" t="s">
        <v>228</v>
      </c>
      <c r="C12628" s="2">
        <v>0.63229999999999997</v>
      </c>
      <c r="D12628" s="2">
        <v>0.2006</v>
      </c>
      <c r="E12628" s="2">
        <v>9.1700000000000004E-2</v>
      </c>
      <c r="F12628" s="2">
        <v>6.2600000000000003E-2</v>
      </c>
      <c r="G12628" s="2">
        <v>3.4299999999999997E-2</v>
      </c>
      <c r="H12628" s="2">
        <v>8.0000000000000002E-3</v>
      </c>
      <c r="I12628" s="2">
        <v>4.0000000000000001E-3</v>
      </c>
      <c r="J12628" s="2">
        <v>3.5999999999999999E-3</v>
      </c>
      <c r="K12628">
        <v>48</v>
      </c>
    </row>
    <row r="12630" spans="1:17" x14ac:dyDescent="0.35">
      <c r="A12630" s="1" t="s">
        <v>2828</v>
      </c>
    </row>
    <row r="12631" spans="1:17" x14ac:dyDescent="0.35">
      <c r="A12631" t="s">
        <v>219</v>
      </c>
      <c r="B12631" t="s">
        <v>301</v>
      </c>
      <c r="C12631" t="s">
        <v>2460</v>
      </c>
      <c r="D12631" t="s">
        <v>2461</v>
      </c>
      <c r="E12631" t="s">
        <v>2462</v>
      </c>
      <c r="F12631" t="s">
        <v>2463</v>
      </c>
      <c r="G12631" t="s">
        <v>2464</v>
      </c>
      <c r="H12631" t="s">
        <v>2465</v>
      </c>
      <c r="I12631" t="s">
        <v>540</v>
      </c>
      <c r="J12631" t="s">
        <v>277</v>
      </c>
      <c r="K12631" t="s">
        <v>2466</v>
      </c>
      <c r="L12631" t="s">
        <v>2467</v>
      </c>
      <c r="M12631" t="s">
        <v>2468</v>
      </c>
      <c r="N12631" t="s">
        <v>2469</v>
      </c>
      <c r="O12631" t="s">
        <v>282</v>
      </c>
      <c r="P12631" t="s">
        <v>2470</v>
      </c>
      <c r="Q12631" t="s">
        <v>226</v>
      </c>
    </row>
    <row r="12632" spans="1:17" x14ac:dyDescent="0.35">
      <c r="A12632" t="s">
        <v>227</v>
      </c>
      <c r="B12632" t="s">
        <v>2726</v>
      </c>
      <c r="C12632" s="2">
        <v>0.35239999999999999</v>
      </c>
      <c r="D12632" s="2">
        <v>0.19450000000000001</v>
      </c>
      <c r="E12632" s="2">
        <v>0.157</v>
      </c>
      <c r="F12632" s="2">
        <v>0.13109999999999999</v>
      </c>
      <c r="G12632" s="2">
        <v>0.13089999999999999</v>
      </c>
      <c r="H12632" s="2">
        <v>0.1484</v>
      </c>
      <c r="I12632" s="2">
        <v>0.1517</v>
      </c>
      <c r="J12632" s="2">
        <v>0.1114</v>
      </c>
      <c r="K12632" s="2">
        <v>2.7799999999999998E-2</v>
      </c>
      <c r="L12632" s="2">
        <v>3.3599999999999998E-2</v>
      </c>
      <c r="M12632" s="2">
        <v>2.5600000000000001E-2</v>
      </c>
      <c r="N12632" s="2">
        <v>3.2599999999999997E-2</v>
      </c>
      <c r="O12632" s="2">
        <v>1E-3</v>
      </c>
      <c r="P12632" s="2">
        <v>1.1999999999999999E-3</v>
      </c>
      <c r="Q12632">
        <v>961</v>
      </c>
    </row>
    <row r="12633" spans="1:17" x14ac:dyDescent="0.35">
      <c r="A12633" t="s">
        <v>227</v>
      </c>
      <c r="B12633" t="s">
        <v>2727</v>
      </c>
      <c r="C12633" s="2">
        <v>0.37790000000000001</v>
      </c>
      <c r="D12633" s="2">
        <v>0.23319999999999999</v>
      </c>
      <c r="E12633" s="2">
        <v>0.20269999999999999</v>
      </c>
      <c r="F12633" s="2">
        <v>0.1273</v>
      </c>
      <c r="G12633" s="2">
        <v>0.1157</v>
      </c>
      <c r="H12633" s="2">
        <v>0.13159999999999999</v>
      </c>
      <c r="I12633" s="2">
        <v>0.14399999999999999</v>
      </c>
      <c r="J12633" s="2">
        <v>9.5100000000000004E-2</v>
      </c>
      <c r="K12633" s="2">
        <v>5.6500000000000002E-2</v>
      </c>
      <c r="L12633" s="2">
        <v>3.1399999999999997E-2</v>
      </c>
      <c r="M12633" s="2">
        <v>3.95E-2</v>
      </c>
      <c r="N12633" s="2">
        <v>5.1200000000000002E-2</v>
      </c>
      <c r="O12633" s="2">
        <v>1.83E-2</v>
      </c>
      <c r="Q12633">
        <v>270</v>
      </c>
    </row>
    <row r="12634" spans="1:17" x14ac:dyDescent="0.35">
      <c r="A12634" t="s">
        <v>227</v>
      </c>
      <c r="B12634" t="s">
        <v>2728</v>
      </c>
      <c r="C12634" s="2">
        <v>0.42080000000000001</v>
      </c>
      <c r="D12634" s="2">
        <v>0.21690000000000001</v>
      </c>
      <c r="E12634" s="2">
        <v>0.21920000000000001</v>
      </c>
      <c r="F12634" s="2">
        <v>0.18290000000000001</v>
      </c>
      <c r="G12634" s="2">
        <v>0.16550000000000001</v>
      </c>
      <c r="H12634" s="2">
        <v>0.14169999999999999</v>
      </c>
      <c r="I12634" s="2">
        <v>0.1076</v>
      </c>
      <c r="J12634" s="2">
        <v>7.1400000000000005E-2</v>
      </c>
      <c r="K12634" s="2">
        <v>4.4900000000000002E-2</v>
      </c>
      <c r="L12634" s="2">
        <v>4.36E-2</v>
      </c>
      <c r="M12634" s="2">
        <v>4.6300000000000001E-2</v>
      </c>
      <c r="N12634" s="2">
        <v>3.1699999999999999E-2</v>
      </c>
      <c r="O12634" s="2">
        <v>3.8E-3</v>
      </c>
      <c r="Q12634">
        <v>1581</v>
      </c>
    </row>
    <row r="12635" spans="1:17" x14ac:dyDescent="0.35">
      <c r="A12635" t="s">
        <v>228</v>
      </c>
      <c r="B12635" t="s">
        <v>228</v>
      </c>
      <c r="C12635" s="2">
        <v>0.39529999999999998</v>
      </c>
      <c r="D12635" s="2">
        <v>0.21199999999999999</v>
      </c>
      <c r="E12635" s="2">
        <v>0.1988</v>
      </c>
      <c r="F12635" s="2">
        <v>0.16139999999999999</v>
      </c>
      <c r="G12635" s="2">
        <v>0.15060000000000001</v>
      </c>
      <c r="H12635" s="2">
        <v>0.1434</v>
      </c>
      <c r="I12635" s="2">
        <v>0.12470000000000001</v>
      </c>
      <c r="J12635" s="2">
        <v>8.5999999999999993E-2</v>
      </c>
      <c r="K12635" s="2">
        <v>4.0599999999999997E-2</v>
      </c>
      <c r="L12635" s="2">
        <v>3.9300000000000002E-2</v>
      </c>
      <c r="M12635" s="2">
        <v>3.9199999999999999E-2</v>
      </c>
      <c r="N12635" s="2">
        <v>3.3799999999999997E-2</v>
      </c>
      <c r="O12635" s="2">
        <v>4.3E-3</v>
      </c>
      <c r="P12635" s="2">
        <v>4.0000000000000002E-4</v>
      </c>
      <c r="Q12635">
        <v>2812</v>
      </c>
    </row>
    <row r="12637" spans="1:17" x14ac:dyDescent="0.35">
      <c r="A12637" s="1" t="s">
        <v>2829</v>
      </c>
    </row>
    <row r="12638" spans="1:17" x14ac:dyDescent="0.35">
      <c r="A12638" t="s">
        <v>219</v>
      </c>
      <c r="B12638" t="s">
        <v>301</v>
      </c>
      <c r="C12638" t="s">
        <v>540</v>
      </c>
      <c r="D12638" t="s">
        <v>2486</v>
      </c>
      <c r="E12638" t="s">
        <v>2487</v>
      </c>
      <c r="F12638" t="s">
        <v>2488</v>
      </c>
      <c r="G12638" t="s">
        <v>2489</v>
      </c>
      <c r="H12638" t="s">
        <v>277</v>
      </c>
      <c r="I12638" t="s">
        <v>2490</v>
      </c>
      <c r="J12638" t="s">
        <v>282</v>
      </c>
      <c r="K12638" t="s">
        <v>226</v>
      </c>
    </row>
    <row r="12639" spans="1:17" x14ac:dyDescent="0.35">
      <c r="A12639" t="s">
        <v>227</v>
      </c>
      <c r="B12639" t="s">
        <v>2726</v>
      </c>
      <c r="C12639" s="2">
        <v>0.87749999999999995</v>
      </c>
      <c r="D12639" s="2">
        <v>5.4199999999999998E-2</v>
      </c>
      <c r="E12639" s="2">
        <v>1.5100000000000001E-2</v>
      </c>
      <c r="F12639" s="2">
        <v>2.2100000000000002E-2</v>
      </c>
      <c r="G12639" s="2">
        <v>2.1399999999999999E-2</v>
      </c>
      <c r="H12639" s="2">
        <v>1.5599999999999999E-2</v>
      </c>
      <c r="I12639" s="2">
        <v>8.6E-3</v>
      </c>
      <c r="J12639" s="2">
        <v>5.9999999999999995E-4</v>
      </c>
      <c r="K12639">
        <v>960</v>
      </c>
    </row>
    <row r="12640" spans="1:17" x14ac:dyDescent="0.35">
      <c r="A12640" t="s">
        <v>227</v>
      </c>
      <c r="B12640" t="s">
        <v>2727</v>
      </c>
      <c r="C12640" s="2">
        <v>0.91449999999999998</v>
      </c>
      <c r="D12640" s="2">
        <v>4.4900000000000002E-2</v>
      </c>
      <c r="E12640" s="2">
        <v>2.35E-2</v>
      </c>
      <c r="F12640" s="2">
        <v>1.2200000000000001E-2</v>
      </c>
      <c r="G12640" s="2">
        <v>1.4E-3</v>
      </c>
      <c r="H12640" s="2">
        <v>5.4999999999999997E-3</v>
      </c>
      <c r="I12640" s="2">
        <v>0.01</v>
      </c>
      <c r="J12640" s="2">
        <v>5.0000000000000001E-4</v>
      </c>
      <c r="K12640">
        <v>270</v>
      </c>
    </row>
    <row r="12641" spans="1:13" x14ac:dyDescent="0.35">
      <c r="A12641" t="s">
        <v>227</v>
      </c>
      <c r="B12641" t="s">
        <v>2728</v>
      </c>
      <c r="C12641" s="2">
        <v>0.87219999999999998</v>
      </c>
      <c r="D12641" s="2">
        <v>6.13E-2</v>
      </c>
      <c r="E12641" s="2">
        <v>3.4599999999999999E-2</v>
      </c>
      <c r="F12641" s="2">
        <v>3.2000000000000001E-2</v>
      </c>
      <c r="G12641" s="2">
        <v>1.6899999999999998E-2</v>
      </c>
      <c r="H12641" s="2">
        <v>5.7999999999999996E-3</v>
      </c>
      <c r="I12641" s="2">
        <v>6.1999999999999998E-3</v>
      </c>
      <c r="J12641" s="2">
        <v>2E-3</v>
      </c>
      <c r="K12641">
        <v>1581</v>
      </c>
    </row>
    <row r="12642" spans="1:13" x14ac:dyDescent="0.35">
      <c r="A12642" t="s">
        <v>228</v>
      </c>
      <c r="B12642" t="s">
        <v>228</v>
      </c>
      <c r="C12642" s="2">
        <v>0.87729999999999997</v>
      </c>
      <c r="D12642" s="2">
        <v>5.8099999999999999E-2</v>
      </c>
      <c r="E12642" s="2">
        <v>2.75E-2</v>
      </c>
      <c r="F12642" s="2">
        <v>2.7E-2</v>
      </c>
      <c r="G12642" s="2">
        <v>1.6799999999999999E-2</v>
      </c>
      <c r="H12642" s="2">
        <v>8.8000000000000005E-3</v>
      </c>
      <c r="I12642" s="2">
        <v>7.3000000000000001E-3</v>
      </c>
      <c r="J12642" s="2">
        <v>1.4E-3</v>
      </c>
      <c r="K12642">
        <v>2811</v>
      </c>
    </row>
    <row r="12644" spans="1:13" x14ac:dyDescent="0.35">
      <c r="A12644" s="1" t="s">
        <v>2830</v>
      </c>
    </row>
    <row r="12645" spans="1:13" x14ac:dyDescent="0.35">
      <c r="A12645" t="s">
        <v>219</v>
      </c>
      <c r="B12645" t="s">
        <v>301</v>
      </c>
      <c r="C12645" t="s">
        <v>299</v>
      </c>
      <c r="D12645" t="s">
        <v>298</v>
      </c>
      <c r="E12645" t="s">
        <v>277</v>
      </c>
      <c r="F12645" t="s">
        <v>226</v>
      </c>
    </row>
    <row r="12646" spans="1:13" x14ac:dyDescent="0.35">
      <c r="A12646" t="s">
        <v>227</v>
      </c>
      <c r="B12646" t="s">
        <v>2726</v>
      </c>
      <c r="C12646" s="2">
        <v>0.5071</v>
      </c>
      <c r="D12646" s="2">
        <v>0.4854</v>
      </c>
      <c r="E12646" s="2">
        <v>7.4999999999999997E-3</v>
      </c>
      <c r="F12646">
        <v>130</v>
      </c>
    </row>
    <row r="12647" spans="1:13" x14ac:dyDescent="0.35">
      <c r="A12647" s="3" t="s">
        <v>227</v>
      </c>
      <c r="B12647" s="3" t="s">
        <v>2727</v>
      </c>
      <c r="C12647" s="4">
        <v>0.67959999999999998</v>
      </c>
      <c r="D12647" s="4">
        <v>0.2344</v>
      </c>
      <c r="E12647" s="4">
        <v>8.5999999999999993E-2</v>
      </c>
      <c r="F12647" s="5" t="s">
        <v>2724</v>
      </c>
    </row>
    <row r="12648" spans="1:13" x14ac:dyDescent="0.35">
      <c r="A12648" t="s">
        <v>227</v>
      </c>
      <c r="B12648" t="s">
        <v>2728</v>
      </c>
      <c r="C12648" s="2">
        <v>0.63090000000000002</v>
      </c>
      <c r="D12648" s="2">
        <v>0.36430000000000001</v>
      </c>
      <c r="E12648" s="2">
        <v>4.7999999999999996E-3</v>
      </c>
      <c r="F12648">
        <v>198</v>
      </c>
    </row>
    <row r="12649" spans="1:13" x14ac:dyDescent="0.35">
      <c r="A12649" t="s">
        <v>228</v>
      </c>
      <c r="B12649" t="s">
        <v>228</v>
      </c>
      <c r="C12649" s="2">
        <v>0.59989999999999999</v>
      </c>
      <c r="D12649" s="2">
        <v>0.38919999999999999</v>
      </c>
      <c r="E12649" s="2">
        <v>1.09E-2</v>
      </c>
      <c r="F12649">
        <v>356</v>
      </c>
    </row>
    <row r="12651" spans="1:13" x14ac:dyDescent="0.35">
      <c r="A12651" s="1" t="s">
        <v>2831</v>
      </c>
    </row>
    <row r="12652" spans="1:13" x14ac:dyDescent="0.35">
      <c r="A12652" t="s">
        <v>219</v>
      </c>
      <c r="B12652" t="s">
        <v>301</v>
      </c>
      <c r="C12652" t="s">
        <v>298</v>
      </c>
      <c r="D12652" t="s">
        <v>2521</v>
      </c>
      <c r="E12652" t="s">
        <v>2522</v>
      </c>
      <c r="F12652" t="s">
        <v>277</v>
      </c>
      <c r="G12652" t="s">
        <v>2523</v>
      </c>
      <c r="H12652" t="s">
        <v>2524</v>
      </c>
      <c r="I12652" t="s">
        <v>2525</v>
      </c>
      <c r="J12652" t="s">
        <v>282</v>
      </c>
      <c r="K12652" t="s">
        <v>318</v>
      </c>
      <c r="L12652" t="s">
        <v>2526</v>
      </c>
      <c r="M12652" t="s">
        <v>226</v>
      </c>
    </row>
    <row r="12653" spans="1:13" x14ac:dyDescent="0.35">
      <c r="A12653" t="s">
        <v>227</v>
      </c>
      <c r="B12653" t="s">
        <v>2726</v>
      </c>
      <c r="C12653" s="2">
        <v>0.93510000000000004</v>
      </c>
      <c r="D12653" s="2">
        <v>3.09E-2</v>
      </c>
      <c r="E12653" s="2">
        <v>0.02</v>
      </c>
      <c r="F12653" s="2">
        <v>3.0999999999999999E-3</v>
      </c>
      <c r="G12653" s="2">
        <v>2.8999999999999998E-3</v>
      </c>
      <c r="H12653" s="2">
        <v>6.9999999999999999E-4</v>
      </c>
      <c r="I12653" s="2">
        <v>7.1999999999999998E-3</v>
      </c>
      <c r="J12653" s="2">
        <v>8.9999999999999998E-4</v>
      </c>
      <c r="K12653" s="2">
        <v>5.9999999999999995E-4</v>
      </c>
      <c r="M12653">
        <v>953</v>
      </c>
    </row>
    <row r="12654" spans="1:13" x14ac:dyDescent="0.35">
      <c r="A12654" t="s">
        <v>227</v>
      </c>
      <c r="B12654" t="s">
        <v>2727</v>
      </c>
      <c r="C12654" s="2">
        <v>0.95930000000000004</v>
      </c>
      <c r="D12654" s="2">
        <v>1.14E-2</v>
      </c>
      <c r="E12654" s="2">
        <v>2.5000000000000001E-3</v>
      </c>
      <c r="F12654" s="2">
        <v>3.3E-3</v>
      </c>
      <c r="G12654" s="2">
        <v>1.8700000000000001E-2</v>
      </c>
      <c r="H12654" s="2">
        <v>8.0000000000000004E-4</v>
      </c>
      <c r="J12654" s="2">
        <v>1.6999999999999999E-3</v>
      </c>
      <c r="K12654" s="2">
        <v>2.5000000000000001E-3</v>
      </c>
      <c r="M12654">
        <v>265</v>
      </c>
    </row>
    <row r="12655" spans="1:13" x14ac:dyDescent="0.35">
      <c r="A12655" t="s">
        <v>227</v>
      </c>
      <c r="B12655" t="s">
        <v>2728</v>
      </c>
      <c r="C12655" s="2">
        <v>0.90580000000000005</v>
      </c>
      <c r="D12655" s="2">
        <v>4.2099999999999999E-2</v>
      </c>
      <c r="E12655" s="2">
        <v>1.67E-2</v>
      </c>
      <c r="F12655" s="2">
        <v>1.29E-2</v>
      </c>
      <c r="G12655" s="2">
        <v>8.9999999999999993E-3</v>
      </c>
      <c r="H12655" s="2">
        <v>9.7000000000000003E-3</v>
      </c>
      <c r="I12655" s="2">
        <v>2.8999999999999998E-3</v>
      </c>
      <c r="J12655" s="2">
        <v>3.0000000000000001E-3</v>
      </c>
      <c r="L12655" s="2">
        <v>5.9999999999999995E-4</v>
      </c>
      <c r="M12655">
        <v>1566</v>
      </c>
    </row>
    <row r="12656" spans="1:13" x14ac:dyDescent="0.35">
      <c r="A12656" t="s">
        <v>228</v>
      </c>
      <c r="B12656" t="s">
        <v>228</v>
      </c>
      <c r="C12656" s="2">
        <v>0.92</v>
      </c>
      <c r="D12656" s="2">
        <v>3.5700000000000003E-2</v>
      </c>
      <c r="E12656" s="2">
        <v>1.6400000000000001E-2</v>
      </c>
      <c r="F12656" s="2">
        <v>8.9999999999999993E-3</v>
      </c>
      <c r="G12656" s="2">
        <v>8.0000000000000002E-3</v>
      </c>
      <c r="H12656" s="2">
        <v>6.1000000000000004E-3</v>
      </c>
      <c r="I12656" s="2">
        <v>4.0000000000000001E-3</v>
      </c>
      <c r="J12656" s="2">
        <v>2.2000000000000001E-3</v>
      </c>
      <c r="K12656" s="2">
        <v>4.0000000000000002E-4</v>
      </c>
      <c r="L12656" s="2">
        <v>4.0000000000000002E-4</v>
      </c>
      <c r="M12656">
        <v>2784</v>
      </c>
    </row>
    <row r="12658" spans="1:17" x14ac:dyDescent="0.35">
      <c r="A12658" s="1" t="s">
        <v>2832</v>
      </c>
    </row>
    <row r="12659" spans="1:17" x14ac:dyDescent="0.35">
      <c r="A12659" t="s">
        <v>219</v>
      </c>
      <c r="B12659" t="s">
        <v>301</v>
      </c>
      <c r="C12659" t="s">
        <v>540</v>
      </c>
      <c r="D12659" t="s">
        <v>2542</v>
      </c>
      <c r="E12659" t="s">
        <v>2543</v>
      </c>
      <c r="F12659" t="s">
        <v>2544</v>
      </c>
      <c r="G12659" t="s">
        <v>2545</v>
      </c>
      <c r="H12659" t="s">
        <v>2546</v>
      </c>
      <c r="I12659" t="s">
        <v>2547</v>
      </c>
      <c r="J12659" t="s">
        <v>277</v>
      </c>
      <c r="K12659" t="s">
        <v>2548</v>
      </c>
      <c r="L12659" t="s">
        <v>2549</v>
      </c>
      <c r="M12659" t="s">
        <v>282</v>
      </c>
      <c r="N12659" t="s">
        <v>2550</v>
      </c>
      <c r="O12659" t="s">
        <v>318</v>
      </c>
      <c r="P12659" t="s">
        <v>226</v>
      </c>
    </row>
    <row r="12660" spans="1:17" x14ac:dyDescent="0.35">
      <c r="A12660" t="s">
        <v>227</v>
      </c>
      <c r="B12660" t="s">
        <v>2726</v>
      </c>
      <c r="C12660" s="2">
        <v>0.94</v>
      </c>
      <c r="D12660" s="2">
        <v>9.2999999999999992E-3</v>
      </c>
      <c r="E12660" s="2">
        <v>1.2500000000000001E-2</v>
      </c>
      <c r="F12660" s="2">
        <v>1.5900000000000001E-2</v>
      </c>
      <c r="G12660" s="2">
        <v>9.5999999999999992E-3</v>
      </c>
      <c r="H12660" s="2">
        <v>1E-3</v>
      </c>
      <c r="I12660" s="2">
        <v>5.7000000000000002E-3</v>
      </c>
      <c r="J12660" s="2">
        <v>2.3999999999999998E-3</v>
      </c>
      <c r="K12660" s="2">
        <v>3.5000000000000001E-3</v>
      </c>
      <c r="L12660" s="2">
        <v>6.0000000000000001E-3</v>
      </c>
      <c r="M12660" s="2">
        <v>8.9999999999999998E-4</v>
      </c>
      <c r="N12660" s="2">
        <v>6.9999999999999999E-4</v>
      </c>
      <c r="P12660">
        <v>954</v>
      </c>
    </row>
    <row r="12661" spans="1:17" x14ac:dyDescent="0.35">
      <c r="A12661" t="s">
        <v>227</v>
      </c>
      <c r="B12661" t="s">
        <v>2727</v>
      </c>
      <c r="C12661" s="2">
        <v>0.93640000000000001</v>
      </c>
      <c r="D12661" s="2">
        <v>2.7900000000000001E-2</v>
      </c>
      <c r="E12661" s="2">
        <v>3.2000000000000002E-3</v>
      </c>
      <c r="G12661" s="2">
        <v>1.4E-3</v>
      </c>
      <c r="H12661" s="2">
        <v>1.01E-2</v>
      </c>
      <c r="I12661" s="2">
        <v>6.8999999999999999E-3</v>
      </c>
      <c r="J12661" s="2">
        <v>1.2999999999999999E-3</v>
      </c>
      <c r="K12661" s="2">
        <v>1.7999999999999999E-2</v>
      </c>
      <c r="L12661" s="2">
        <v>8.9999999999999998E-4</v>
      </c>
      <c r="M12661" s="2">
        <v>5.0000000000000001E-4</v>
      </c>
      <c r="O12661" s="2">
        <v>4.1999999999999997E-3</v>
      </c>
      <c r="P12661">
        <v>268</v>
      </c>
    </row>
    <row r="12662" spans="1:17" x14ac:dyDescent="0.35">
      <c r="A12662" t="s">
        <v>227</v>
      </c>
      <c r="B12662" t="s">
        <v>2728</v>
      </c>
      <c r="C12662" s="2">
        <v>0.92920000000000003</v>
      </c>
      <c r="D12662" s="2">
        <v>1.24E-2</v>
      </c>
      <c r="E12662" s="2">
        <v>1.12E-2</v>
      </c>
      <c r="F12662" s="2">
        <v>7.1999999999999998E-3</v>
      </c>
      <c r="G12662" s="2">
        <v>8.5000000000000006E-3</v>
      </c>
      <c r="H12662" s="2">
        <v>1.0699999999999999E-2</v>
      </c>
      <c r="I12662" s="2">
        <v>8.6E-3</v>
      </c>
      <c r="J12662" s="2">
        <v>6.4000000000000003E-3</v>
      </c>
      <c r="K12662" s="2">
        <v>3.2000000000000002E-3</v>
      </c>
      <c r="L12662" s="2">
        <v>3.8999999999999998E-3</v>
      </c>
      <c r="M12662" s="2">
        <v>3.3999999999999998E-3</v>
      </c>
      <c r="N12662" s="2">
        <v>3.0000000000000001E-3</v>
      </c>
      <c r="O12662" s="2">
        <v>1.1999999999999999E-3</v>
      </c>
      <c r="P12662">
        <v>1573</v>
      </c>
    </row>
    <row r="12663" spans="1:17" x14ac:dyDescent="0.35">
      <c r="A12663" t="s">
        <v>228</v>
      </c>
      <c r="B12663" t="s">
        <v>228</v>
      </c>
      <c r="C12663" s="2">
        <v>0.93330000000000002</v>
      </c>
      <c r="D12663" s="2">
        <v>1.29E-2</v>
      </c>
      <c r="E12663" s="2">
        <v>1.0800000000000001E-2</v>
      </c>
      <c r="F12663" s="2">
        <v>9.1999999999999998E-3</v>
      </c>
      <c r="G12663" s="2">
        <v>8.2000000000000007E-3</v>
      </c>
      <c r="H12663" s="2">
        <v>7.6E-3</v>
      </c>
      <c r="I12663" s="2">
        <v>7.4999999999999997E-3</v>
      </c>
      <c r="J12663" s="2">
        <v>4.7000000000000002E-3</v>
      </c>
      <c r="K12663" s="2">
        <v>4.7000000000000002E-3</v>
      </c>
      <c r="L12663" s="2">
        <v>4.1999999999999997E-3</v>
      </c>
      <c r="M12663" s="2">
        <v>2.3999999999999998E-3</v>
      </c>
      <c r="N12663" s="2">
        <v>2E-3</v>
      </c>
      <c r="O12663" s="2">
        <v>1.1000000000000001E-3</v>
      </c>
      <c r="P12663">
        <v>2795</v>
      </c>
    </row>
    <row r="12665" spans="1:17" x14ac:dyDescent="0.35">
      <c r="A12665" s="1" t="s">
        <v>2833</v>
      </c>
    </row>
    <row r="12666" spans="1:17" x14ac:dyDescent="0.35">
      <c r="A12666" t="s">
        <v>219</v>
      </c>
      <c r="B12666" t="s">
        <v>301</v>
      </c>
      <c r="C12666" t="s">
        <v>540</v>
      </c>
      <c r="D12666" t="s">
        <v>277</v>
      </c>
      <c r="E12666" t="s">
        <v>2566</v>
      </c>
      <c r="F12666" t="s">
        <v>2543</v>
      </c>
      <c r="G12666" t="s">
        <v>2567</v>
      </c>
      <c r="H12666" t="s">
        <v>2181</v>
      </c>
      <c r="I12666" t="s">
        <v>2546</v>
      </c>
      <c r="J12666" t="s">
        <v>2568</v>
      </c>
      <c r="K12666" t="s">
        <v>2569</v>
      </c>
      <c r="L12666" t="s">
        <v>2570</v>
      </c>
      <c r="M12666" t="s">
        <v>2571</v>
      </c>
      <c r="N12666" t="s">
        <v>2549</v>
      </c>
      <c r="O12666" t="s">
        <v>2572</v>
      </c>
      <c r="P12666" t="s">
        <v>282</v>
      </c>
      <c r="Q12666" t="s">
        <v>226</v>
      </c>
    </row>
    <row r="12667" spans="1:17" x14ac:dyDescent="0.35">
      <c r="A12667" t="s">
        <v>227</v>
      </c>
      <c r="B12667" t="s">
        <v>2726</v>
      </c>
      <c r="C12667" s="2">
        <v>0.91979999999999995</v>
      </c>
      <c r="D12667" s="2">
        <v>1.8499999999999999E-2</v>
      </c>
      <c r="E12667" s="2">
        <v>1.9099999999999999E-2</v>
      </c>
      <c r="F12667" s="2">
        <v>1.54E-2</v>
      </c>
      <c r="G12667" s="2">
        <v>1.21E-2</v>
      </c>
      <c r="H12667" s="2">
        <v>4.0000000000000001E-3</v>
      </c>
      <c r="I12667" s="2">
        <v>5.0000000000000001E-3</v>
      </c>
      <c r="J12667" s="2">
        <v>9.1999999999999998E-3</v>
      </c>
      <c r="L12667" s="2">
        <v>2.3E-3</v>
      </c>
      <c r="M12667" s="2">
        <v>2.0000000000000001E-4</v>
      </c>
      <c r="N12667" s="2">
        <v>6.3E-3</v>
      </c>
      <c r="O12667" s="2">
        <v>5.9999999999999995E-4</v>
      </c>
      <c r="P12667" s="2">
        <v>8.9999999999999998E-4</v>
      </c>
      <c r="Q12667">
        <v>958</v>
      </c>
    </row>
    <row r="12668" spans="1:17" x14ac:dyDescent="0.35">
      <c r="A12668" t="s">
        <v>227</v>
      </c>
      <c r="B12668" t="s">
        <v>2727</v>
      </c>
      <c r="C12668" s="2">
        <v>0.96799999999999997</v>
      </c>
      <c r="D12668" s="2">
        <v>1.9E-3</v>
      </c>
      <c r="E12668" s="2">
        <v>1.06E-2</v>
      </c>
      <c r="F12668" s="2">
        <v>1.1299999999999999E-2</v>
      </c>
      <c r="G12668" s="2">
        <v>1.2E-2</v>
      </c>
      <c r="H12668" s="2">
        <v>2.5000000000000001E-3</v>
      </c>
      <c r="K12668" s="2">
        <v>1.8E-3</v>
      </c>
      <c r="N12668" s="2">
        <v>1.1999999999999999E-3</v>
      </c>
      <c r="P12668" s="2">
        <v>1E-3</v>
      </c>
      <c r="Q12668">
        <v>266</v>
      </c>
    </row>
    <row r="12669" spans="1:17" x14ac:dyDescent="0.35">
      <c r="A12669" t="s">
        <v>227</v>
      </c>
      <c r="B12669" t="s">
        <v>2728</v>
      </c>
      <c r="C12669" s="2">
        <v>0.94</v>
      </c>
      <c r="D12669" s="2">
        <v>1.26E-2</v>
      </c>
      <c r="E12669" s="2">
        <v>6.7000000000000002E-3</v>
      </c>
      <c r="F12669" s="2">
        <v>7.7999999999999996E-3</v>
      </c>
      <c r="G12669" s="2">
        <v>3.7000000000000002E-3</v>
      </c>
      <c r="H12669" s="2">
        <v>8.3000000000000001E-3</v>
      </c>
      <c r="I12669" s="2">
        <v>8.0999999999999996E-3</v>
      </c>
      <c r="J12669" s="2">
        <v>3.0999999999999999E-3</v>
      </c>
      <c r="K12669" s="2">
        <v>7.7000000000000002E-3</v>
      </c>
      <c r="L12669" s="2">
        <v>5.0000000000000001E-3</v>
      </c>
      <c r="M12669" s="2">
        <v>5.0000000000000001E-3</v>
      </c>
      <c r="N12669" s="2">
        <v>1.6000000000000001E-3</v>
      </c>
      <c r="O12669" s="2">
        <v>2.8E-3</v>
      </c>
      <c r="P12669" s="2">
        <v>2.3E-3</v>
      </c>
      <c r="Q12669">
        <v>1577</v>
      </c>
    </row>
    <row r="12670" spans="1:17" x14ac:dyDescent="0.35">
      <c r="A12670" t="s">
        <v>228</v>
      </c>
      <c r="B12670" t="s">
        <v>228</v>
      </c>
      <c r="C12670" s="2">
        <v>0.93640000000000001</v>
      </c>
      <c r="D12670" s="2">
        <v>1.35E-2</v>
      </c>
      <c r="E12670" s="2">
        <v>1.09E-2</v>
      </c>
      <c r="F12670" s="2">
        <v>1.0500000000000001E-2</v>
      </c>
      <c r="G12670" s="2">
        <v>7.1000000000000004E-3</v>
      </c>
      <c r="H12670" s="2">
        <v>6.4000000000000003E-3</v>
      </c>
      <c r="I12670" s="2">
        <v>6.4000000000000003E-3</v>
      </c>
      <c r="J12670" s="2">
        <v>4.7000000000000002E-3</v>
      </c>
      <c r="K12670" s="2">
        <v>4.7000000000000002E-3</v>
      </c>
      <c r="L12670" s="2">
        <v>3.7000000000000002E-3</v>
      </c>
      <c r="M12670" s="2">
        <v>3.0999999999999999E-3</v>
      </c>
      <c r="N12670" s="2">
        <v>3.0000000000000001E-3</v>
      </c>
      <c r="O12670" s="2">
        <v>1.9E-3</v>
      </c>
      <c r="P12670" s="2">
        <v>1.6999999999999999E-3</v>
      </c>
      <c r="Q12670">
        <v>2801</v>
      </c>
    </row>
    <row r="12672" spans="1:17" x14ac:dyDescent="0.35">
      <c r="A12672" s="1" t="s">
        <v>2834</v>
      </c>
    </row>
    <row r="12673" spans="1:19" x14ac:dyDescent="0.35">
      <c r="A12673" t="s">
        <v>219</v>
      </c>
      <c r="B12673" t="s">
        <v>301</v>
      </c>
      <c r="C12673" t="s">
        <v>540</v>
      </c>
      <c r="D12673" t="s">
        <v>277</v>
      </c>
      <c r="E12673" t="s">
        <v>2588</v>
      </c>
      <c r="F12673" t="s">
        <v>2589</v>
      </c>
      <c r="G12673" t="s">
        <v>2590</v>
      </c>
      <c r="H12673" t="s">
        <v>2591</v>
      </c>
      <c r="I12673" t="s">
        <v>2592</v>
      </c>
      <c r="J12673" t="s">
        <v>2593</v>
      </c>
      <c r="K12673" t="s">
        <v>2594</v>
      </c>
      <c r="L12673" t="s">
        <v>2595</v>
      </c>
      <c r="M12673" t="s">
        <v>2596</v>
      </c>
      <c r="N12673" t="s">
        <v>2597</v>
      </c>
      <c r="O12673" t="s">
        <v>2598</v>
      </c>
      <c r="P12673" t="s">
        <v>2599</v>
      </c>
      <c r="Q12673" t="s">
        <v>2021</v>
      </c>
      <c r="R12673" t="s">
        <v>318</v>
      </c>
      <c r="S12673" t="s">
        <v>226</v>
      </c>
    </row>
    <row r="12674" spans="1:19" x14ac:dyDescent="0.35">
      <c r="A12674" t="s">
        <v>227</v>
      </c>
      <c r="B12674" t="s">
        <v>2726</v>
      </c>
      <c r="C12674" s="2">
        <v>0.41889999999999999</v>
      </c>
      <c r="D12674" s="2">
        <v>0.33510000000000001</v>
      </c>
      <c r="E12674" s="2">
        <v>8.72E-2</v>
      </c>
      <c r="F12674" s="2">
        <v>7.5700000000000003E-2</v>
      </c>
      <c r="G12674" s="2">
        <v>3.2099999999999997E-2</v>
      </c>
      <c r="H12674" s="2">
        <v>5.0999999999999997E-2</v>
      </c>
      <c r="I12674" s="2">
        <v>4.1000000000000002E-2</v>
      </c>
      <c r="J12674" s="2">
        <v>3.95E-2</v>
      </c>
      <c r="K12674" s="2">
        <v>1.61E-2</v>
      </c>
      <c r="L12674" s="2">
        <v>3.3399999999999999E-2</v>
      </c>
      <c r="M12674" s="2">
        <v>1.9400000000000001E-2</v>
      </c>
      <c r="N12674" s="2">
        <v>2.9100000000000001E-2</v>
      </c>
      <c r="O12674" s="2">
        <v>2.64E-2</v>
      </c>
      <c r="P12674" s="2">
        <v>1.04E-2</v>
      </c>
      <c r="Q12674" s="2">
        <v>6.4000000000000003E-3</v>
      </c>
      <c r="R12674" s="2">
        <v>5.0000000000000001E-4</v>
      </c>
      <c r="S12674">
        <v>960</v>
      </c>
    </row>
    <row r="12675" spans="1:19" x14ac:dyDescent="0.35">
      <c r="A12675" t="s">
        <v>227</v>
      </c>
      <c r="B12675" t="s">
        <v>2727</v>
      </c>
      <c r="C12675" s="2">
        <v>0.2984</v>
      </c>
      <c r="D12675" s="2">
        <v>0.5393</v>
      </c>
      <c r="E12675" s="2">
        <v>4.2700000000000002E-2</v>
      </c>
      <c r="F12675" s="2">
        <v>0.04</v>
      </c>
      <c r="G12675" s="2">
        <v>2.9600000000000001E-2</v>
      </c>
      <c r="H12675" s="2">
        <v>3.0800000000000001E-2</v>
      </c>
      <c r="I12675" s="2">
        <v>3.4700000000000002E-2</v>
      </c>
      <c r="J12675" s="2">
        <v>4.8899999999999999E-2</v>
      </c>
      <c r="K12675" s="2">
        <v>4.4000000000000003E-3</v>
      </c>
      <c r="L12675" s="2">
        <v>1.9199999999999998E-2</v>
      </c>
      <c r="M12675" s="2">
        <v>1.6400000000000001E-2</v>
      </c>
      <c r="N12675" s="2">
        <v>5.0000000000000001E-4</v>
      </c>
      <c r="O12675" s="2">
        <v>1.0999999999999999E-2</v>
      </c>
      <c r="P12675" s="2">
        <v>2.7099999999999999E-2</v>
      </c>
      <c r="Q12675" s="2">
        <v>5.0000000000000001E-4</v>
      </c>
      <c r="S12675">
        <v>269</v>
      </c>
    </row>
    <row r="12676" spans="1:19" x14ac:dyDescent="0.35">
      <c r="A12676" t="s">
        <v>227</v>
      </c>
      <c r="B12676" t="s">
        <v>2728</v>
      </c>
      <c r="C12676" s="2">
        <v>0.498</v>
      </c>
      <c r="D12676" s="2">
        <v>0.27310000000000001</v>
      </c>
      <c r="E12676" s="2">
        <v>8.5599999999999996E-2</v>
      </c>
      <c r="F12676" s="2">
        <v>6.0900000000000003E-2</v>
      </c>
      <c r="G12676" s="2">
        <v>8.4500000000000006E-2</v>
      </c>
      <c r="H12676" s="2">
        <v>3.8100000000000002E-2</v>
      </c>
      <c r="I12676" s="2">
        <v>4.1000000000000002E-2</v>
      </c>
      <c r="J12676" s="2">
        <v>3.73E-2</v>
      </c>
      <c r="K12676" s="2">
        <v>3.9100000000000003E-2</v>
      </c>
      <c r="L12676" s="2">
        <v>2.75E-2</v>
      </c>
      <c r="M12676" s="2">
        <v>3.4299999999999997E-2</v>
      </c>
      <c r="N12676" s="2">
        <v>2.9399999999999999E-2</v>
      </c>
      <c r="O12676" s="2">
        <v>2.7300000000000001E-2</v>
      </c>
      <c r="P12676" s="2">
        <v>2.4299999999999999E-2</v>
      </c>
      <c r="Q12676" s="2">
        <v>3.0999999999999999E-3</v>
      </c>
      <c r="R12676" s="2">
        <v>1.1999999999999999E-3</v>
      </c>
      <c r="S12676">
        <v>1580</v>
      </c>
    </row>
    <row r="12677" spans="1:19" x14ac:dyDescent="0.35">
      <c r="A12677" t="s">
        <v>228</v>
      </c>
      <c r="B12677" t="s">
        <v>228</v>
      </c>
      <c r="C12677" s="2">
        <v>0.45500000000000002</v>
      </c>
      <c r="D12677" s="2">
        <v>0.31719999999999998</v>
      </c>
      <c r="E12677" s="2">
        <v>8.2000000000000003E-2</v>
      </c>
      <c r="F12677" s="2">
        <v>6.3500000000000001E-2</v>
      </c>
      <c r="G12677" s="2">
        <v>6.3E-2</v>
      </c>
      <c r="H12677" s="2">
        <v>4.1399999999999999E-2</v>
      </c>
      <c r="I12677" s="2">
        <v>4.0399999999999998E-2</v>
      </c>
      <c r="J12677" s="2">
        <v>3.9E-2</v>
      </c>
      <c r="K12677" s="2">
        <v>2.87E-2</v>
      </c>
      <c r="L12677" s="2">
        <v>2.8500000000000001E-2</v>
      </c>
      <c r="M12677" s="2">
        <v>2.8000000000000001E-2</v>
      </c>
      <c r="N12677" s="2">
        <v>2.6599999999999999E-2</v>
      </c>
      <c r="O12677" s="2">
        <v>2.5499999999999998E-2</v>
      </c>
      <c r="P12677" s="2">
        <v>2.0199999999999999E-2</v>
      </c>
      <c r="Q12677" s="2">
        <v>3.8999999999999998E-3</v>
      </c>
      <c r="R12677" s="2">
        <v>8.9999999999999998E-4</v>
      </c>
      <c r="S12677">
        <v>2809</v>
      </c>
    </row>
    <row r="12679" spans="1:19" x14ac:dyDescent="0.35">
      <c r="A12679" s="1" t="s">
        <v>2835</v>
      </c>
    </row>
    <row r="12680" spans="1:19" x14ac:dyDescent="0.35">
      <c r="A12680" t="s">
        <v>219</v>
      </c>
      <c r="B12680" t="s">
        <v>301</v>
      </c>
      <c r="C12680" t="s">
        <v>540</v>
      </c>
      <c r="D12680" t="s">
        <v>277</v>
      </c>
      <c r="E12680" t="s">
        <v>2615</v>
      </c>
      <c r="F12680" t="s">
        <v>2616</v>
      </c>
      <c r="G12680" t="s">
        <v>2617</v>
      </c>
      <c r="H12680" t="s">
        <v>2594</v>
      </c>
      <c r="I12680" t="s">
        <v>2618</v>
      </c>
      <c r="J12680" t="s">
        <v>2619</v>
      </c>
      <c r="K12680" t="s">
        <v>2620</v>
      </c>
      <c r="L12680" t="s">
        <v>2621</v>
      </c>
      <c r="M12680" t="s">
        <v>282</v>
      </c>
      <c r="N12680" t="s">
        <v>318</v>
      </c>
      <c r="O12680" t="s">
        <v>226</v>
      </c>
    </row>
    <row r="12681" spans="1:19" x14ac:dyDescent="0.35">
      <c r="A12681" t="s">
        <v>227</v>
      </c>
      <c r="B12681" t="s">
        <v>2726</v>
      </c>
      <c r="C12681" s="2">
        <v>0.4</v>
      </c>
      <c r="D12681" s="2">
        <v>0.3846</v>
      </c>
      <c r="E12681" s="2">
        <v>0.1178</v>
      </c>
      <c r="F12681" s="2">
        <v>5.8900000000000001E-2</v>
      </c>
      <c r="G12681" s="2">
        <v>4.0099999999999997E-2</v>
      </c>
      <c r="H12681" s="2">
        <v>3.0499999999999999E-2</v>
      </c>
      <c r="I12681" s="2">
        <v>5.0200000000000002E-2</v>
      </c>
      <c r="J12681" s="2">
        <v>3.95E-2</v>
      </c>
      <c r="K12681" s="2">
        <v>2.6599999999999999E-2</v>
      </c>
      <c r="L12681" s="2">
        <v>1.61E-2</v>
      </c>
      <c r="M12681" s="2">
        <v>1.6999999999999999E-3</v>
      </c>
      <c r="N12681" s="2">
        <v>2.0000000000000001E-4</v>
      </c>
      <c r="O12681">
        <v>960</v>
      </c>
    </row>
    <row r="12682" spans="1:19" x14ac:dyDescent="0.35">
      <c r="A12682" t="s">
        <v>227</v>
      </c>
      <c r="B12682" t="s">
        <v>2727</v>
      </c>
      <c r="C12682" s="2">
        <v>0.31769999999999998</v>
      </c>
      <c r="D12682" s="2">
        <v>0.4864</v>
      </c>
      <c r="E12682" s="2">
        <v>0.1203</v>
      </c>
      <c r="F12682" s="2">
        <v>4.58E-2</v>
      </c>
      <c r="G12682" s="2">
        <v>5.5500000000000001E-2</v>
      </c>
      <c r="H12682" s="2">
        <v>4.1000000000000002E-2</v>
      </c>
      <c r="I12682" s="2">
        <v>2.98E-2</v>
      </c>
      <c r="J12682" s="2">
        <v>4.1799999999999997E-2</v>
      </c>
      <c r="K12682" s="2">
        <v>2.4299999999999999E-2</v>
      </c>
      <c r="L12682" s="2">
        <v>5.0000000000000001E-4</v>
      </c>
      <c r="M12682" s="2">
        <v>1E-3</v>
      </c>
      <c r="O12682">
        <v>269</v>
      </c>
    </row>
    <row r="12683" spans="1:19" x14ac:dyDescent="0.35">
      <c r="A12683" t="s">
        <v>227</v>
      </c>
      <c r="B12683" t="s">
        <v>2728</v>
      </c>
      <c r="C12683" s="2">
        <v>0.46150000000000002</v>
      </c>
      <c r="D12683" s="2">
        <v>0.24510000000000001</v>
      </c>
      <c r="E12683" s="2">
        <v>0.17829999999999999</v>
      </c>
      <c r="F12683" s="2">
        <v>6.7900000000000002E-2</v>
      </c>
      <c r="G12683" s="2">
        <v>5.5500000000000001E-2</v>
      </c>
      <c r="H12683" s="2">
        <v>6.0100000000000001E-2</v>
      </c>
      <c r="I12683" s="2">
        <v>4.8099999999999997E-2</v>
      </c>
      <c r="J12683" s="2">
        <v>3.3399999999999999E-2</v>
      </c>
      <c r="K12683" s="2">
        <v>3.1300000000000001E-2</v>
      </c>
      <c r="L12683" s="2">
        <v>1.4E-2</v>
      </c>
      <c r="M12683" s="2">
        <v>2.7000000000000001E-3</v>
      </c>
      <c r="O12683">
        <v>1577</v>
      </c>
    </row>
    <row r="12684" spans="1:19" x14ac:dyDescent="0.35">
      <c r="A12684" t="s">
        <v>228</v>
      </c>
      <c r="B12684" t="s">
        <v>228</v>
      </c>
      <c r="C12684" s="2">
        <v>0.42920000000000003</v>
      </c>
      <c r="D12684" s="2">
        <v>0.31090000000000001</v>
      </c>
      <c r="E12684" s="2">
        <v>0.154</v>
      </c>
      <c r="F12684" s="2">
        <v>6.3E-2</v>
      </c>
      <c r="G12684" s="2">
        <v>5.0700000000000002E-2</v>
      </c>
      <c r="H12684" s="2">
        <v>4.9099999999999998E-2</v>
      </c>
      <c r="I12684" s="2">
        <v>4.7E-2</v>
      </c>
      <c r="J12684" s="2">
        <v>3.61E-2</v>
      </c>
      <c r="K12684" s="2">
        <v>2.9100000000000001E-2</v>
      </c>
      <c r="L12684" s="2">
        <v>1.34E-2</v>
      </c>
      <c r="M12684" s="2">
        <v>2.2000000000000001E-3</v>
      </c>
      <c r="N12684" s="2">
        <v>0</v>
      </c>
      <c r="O12684">
        <v>2806</v>
      </c>
    </row>
    <row r="12686" spans="1:19" x14ac:dyDescent="0.35">
      <c r="A12686" s="1" t="s">
        <v>2836</v>
      </c>
    </row>
    <row r="12687" spans="1:19" x14ac:dyDescent="0.35">
      <c r="A12687" t="s">
        <v>219</v>
      </c>
      <c r="B12687" t="s">
        <v>301</v>
      </c>
      <c r="C12687" t="s">
        <v>298</v>
      </c>
      <c r="D12687" t="s">
        <v>2637</v>
      </c>
      <c r="E12687" t="s">
        <v>277</v>
      </c>
      <c r="F12687" t="s">
        <v>2638</v>
      </c>
      <c r="G12687" t="s">
        <v>2639</v>
      </c>
      <c r="H12687" t="s">
        <v>2640</v>
      </c>
      <c r="I12687" t="s">
        <v>2641</v>
      </c>
      <c r="J12687" t="s">
        <v>2642</v>
      </c>
      <c r="K12687" t="s">
        <v>2643</v>
      </c>
      <c r="L12687" t="s">
        <v>282</v>
      </c>
      <c r="M12687" t="s">
        <v>226</v>
      </c>
    </row>
    <row r="12688" spans="1:19" x14ac:dyDescent="0.35">
      <c r="A12688" t="s">
        <v>227</v>
      </c>
      <c r="B12688" t="s">
        <v>2726</v>
      </c>
      <c r="C12688" s="2">
        <v>0.8115</v>
      </c>
      <c r="D12688" s="2">
        <v>7.22E-2</v>
      </c>
      <c r="E12688" s="2">
        <v>5.7599999999999998E-2</v>
      </c>
      <c r="F12688" s="2">
        <v>5.1999999999999998E-2</v>
      </c>
      <c r="G12688" s="2">
        <v>3.5200000000000002E-2</v>
      </c>
      <c r="H12688" s="2">
        <v>2.4E-2</v>
      </c>
      <c r="I12688" s="2">
        <v>3.1699999999999999E-2</v>
      </c>
      <c r="J12688" s="2">
        <v>1.6299999999999999E-2</v>
      </c>
      <c r="K12688" s="2">
        <v>1.24E-2</v>
      </c>
      <c r="L12688" s="2">
        <v>5.0000000000000001E-3</v>
      </c>
      <c r="M12688">
        <v>961</v>
      </c>
    </row>
    <row r="12689" spans="1:18" x14ac:dyDescent="0.35">
      <c r="A12689" t="s">
        <v>227</v>
      </c>
      <c r="B12689" t="s">
        <v>2727</v>
      </c>
      <c r="C12689" s="2">
        <v>0.83430000000000004</v>
      </c>
      <c r="D12689" s="2">
        <v>7.6799999999999993E-2</v>
      </c>
      <c r="E12689" s="2">
        <v>4.65E-2</v>
      </c>
      <c r="F12689" s="2">
        <v>5.4100000000000002E-2</v>
      </c>
      <c r="G12689" s="2">
        <v>3.4599999999999999E-2</v>
      </c>
      <c r="H12689" s="2">
        <v>2.9700000000000001E-2</v>
      </c>
      <c r="I12689" s="2">
        <v>2.3E-2</v>
      </c>
      <c r="J12689" s="2">
        <v>1.2E-2</v>
      </c>
      <c r="K12689" s="2">
        <v>6.7999999999999996E-3</v>
      </c>
      <c r="L12689" s="2">
        <v>2.5999999999999999E-3</v>
      </c>
      <c r="M12689">
        <v>270</v>
      </c>
    </row>
    <row r="12690" spans="1:18" x14ac:dyDescent="0.35">
      <c r="A12690" t="s">
        <v>227</v>
      </c>
      <c r="B12690" t="s">
        <v>2728</v>
      </c>
      <c r="C12690" s="2">
        <v>0.80149999999999999</v>
      </c>
      <c r="D12690" s="2">
        <v>9.2799999999999994E-2</v>
      </c>
      <c r="E12690" s="2">
        <v>4.4699999999999997E-2</v>
      </c>
      <c r="F12690" s="2">
        <v>3.7699999999999997E-2</v>
      </c>
      <c r="G12690" s="2">
        <v>3.3700000000000001E-2</v>
      </c>
      <c r="H12690" s="2">
        <v>2.9899999999999999E-2</v>
      </c>
      <c r="I12690" s="2">
        <v>2.46E-2</v>
      </c>
      <c r="J12690" s="2">
        <v>1.6500000000000001E-2</v>
      </c>
      <c r="K12690" s="2">
        <v>4.4999999999999997E-3</v>
      </c>
      <c r="L12690" s="2">
        <v>5.3E-3</v>
      </c>
      <c r="M12690">
        <v>1581</v>
      </c>
    </row>
    <row r="12691" spans="1:18" x14ac:dyDescent="0.35">
      <c r="A12691" t="s">
        <v>228</v>
      </c>
      <c r="B12691" t="s">
        <v>228</v>
      </c>
      <c r="C12691" s="2">
        <v>0.80789999999999995</v>
      </c>
      <c r="D12691" s="2">
        <v>8.48E-2</v>
      </c>
      <c r="E12691" s="2">
        <v>4.8800000000000003E-2</v>
      </c>
      <c r="F12691" s="2">
        <v>4.3700000000000003E-2</v>
      </c>
      <c r="G12691" s="2">
        <v>3.4299999999999997E-2</v>
      </c>
      <c r="H12691" s="2">
        <v>2.8000000000000001E-2</v>
      </c>
      <c r="I12691" s="2">
        <v>2.6599999999999999E-2</v>
      </c>
      <c r="J12691" s="2">
        <v>1.6E-2</v>
      </c>
      <c r="K12691" s="2">
        <v>7.1999999999999998E-3</v>
      </c>
      <c r="L12691" s="2">
        <v>5.0000000000000001E-3</v>
      </c>
      <c r="M12691">
        <v>2812</v>
      </c>
    </row>
    <row r="12693" spans="1:18" x14ac:dyDescent="0.35">
      <c r="A12693" s="1" t="s">
        <v>2837</v>
      </c>
    </row>
    <row r="12694" spans="1:18" x14ac:dyDescent="0.35">
      <c r="A12694" t="s">
        <v>219</v>
      </c>
      <c r="B12694" t="s">
        <v>301</v>
      </c>
      <c r="C12694" t="s">
        <v>1846</v>
      </c>
      <c r="D12694" t="s">
        <v>2659</v>
      </c>
      <c r="E12694" t="s">
        <v>2660</v>
      </c>
      <c r="F12694" t="s">
        <v>2661</v>
      </c>
      <c r="G12694" t="s">
        <v>277</v>
      </c>
      <c r="H12694" t="s">
        <v>2662</v>
      </c>
      <c r="I12694" t="s">
        <v>2663</v>
      </c>
      <c r="J12694" t="s">
        <v>2664</v>
      </c>
      <c r="K12694" t="s">
        <v>2665</v>
      </c>
      <c r="L12694" t="s">
        <v>282</v>
      </c>
      <c r="M12694" t="s">
        <v>226</v>
      </c>
    </row>
    <row r="12695" spans="1:18" x14ac:dyDescent="0.35">
      <c r="A12695" t="s">
        <v>227</v>
      </c>
      <c r="B12695" t="s">
        <v>2726</v>
      </c>
      <c r="C12695" s="2">
        <v>0.87560000000000004</v>
      </c>
      <c r="D12695" s="2">
        <v>4.41E-2</v>
      </c>
      <c r="E12695" s="2">
        <v>2.92E-2</v>
      </c>
      <c r="F12695" s="2">
        <v>2.7400000000000001E-2</v>
      </c>
      <c r="G12695" s="2">
        <v>2.63E-2</v>
      </c>
      <c r="H12695" s="2">
        <v>2.47E-2</v>
      </c>
      <c r="I12695" s="2">
        <v>1.9E-2</v>
      </c>
      <c r="J12695" s="2">
        <v>1.84E-2</v>
      </c>
      <c r="K12695" s="2">
        <v>7.4999999999999997E-3</v>
      </c>
      <c r="L12695" s="2">
        <v>2.7000000000000001E-3</v>
      </c>
      <c r="M12695">
        <v>961</v>
      </c>
    </row>
    <row r="12696" spans="1:18" x14ac:dyDescent="0.35">
      <c r="A12696" t="s">
        <v>227</v>
      </c>
      <c r="B12696" t="s">
        <v>2727</v>
      </c>
      <c r="C12696" s="2">
        <v>0.86299999999999999</v>
      </c>
      <c r="D12696" s="2">
        <v>5.1999999999999998E-2</v>
      </c>
      <c r="E12696" s="2">
        <v>3.6600000000000001E-2</v>
      </c>
      <c r="F12696" s="2">
        <v>4.8399999999999999E-2</v>
      </c>
      <c r="G12696" s="2">
        <v>4.2099999999999999E-2</v>
      </c>
      <c r="H12696" s="2">
        <v>9.4999999999999998E-3</v>
      </c>
      <c r="I12696" s="2">
        <v>2.3199999999999998E-2</v>
      </c>
      <c r="J12696" s="2">
        <v>1.77E-2</v>
      </c>
      <c r="K12696" s="2">
        <v>1.4E-2</v>
      </c>
      <c r="L12696" s="2">
        <v>2.5000000000000001E-3</v>
      </c>
      <c r="M12696">
        <v>270</v>
      </c>
    </row>
    <row r="12697" spans="1:18" x14ac:dyDescent="0.35">
      <c r="A12697" t="s">
        <v>227</v>
      </c>
      <c r="B12697" t="s">
        <v>2728</v>
      </c>
      <c r="C12697" s="2">
        <v>0.85719999999999996</v>
      </c>
      <c r="D12697" s="2">
        <v>5.7200000000000001E-2</v>
      </c>
      <c r="E12697" s="2">
        <v>5.9299999999999999E-2</v>
      </c>
      <c r="F12697" s="2">
        <v>4.2099999999999999E-2</v>
      </c>
      <c r="G12697" s="2">
        <v>3.2899999999999999E-2</v>
      </c>
      <c r="H12697" s="2">
        <v>3.7400000000000003E-2</v>
      </c>
      <c r="I12697" s="2">
        <v>2.9399999999999999E-2</v>
      </c>
      <c r="J12697" s="2">
        <v>1.9599999999999999E-2</v>
      </c>
      <c r="K12697" s="2">
        <v>1.89E-2</v>
      </c>
      <c r="L12697" s="2">
        <v>6.7000000000000002E-3</v>
      </c>
      <c r="M12697">
        <v>1581</v>
      </c>
    </row>
    <row r="12698" spans="1:18" x14ac:dyDescent="0.35">
      <c r="A12698" t="s">
        <v>228</v>
      </c>
      <c r="B12698" t="s">
        <v>228</v>
      </c>
      <c r="C12698" s="2">
        <v>0.86360000000000003</v>
      </c>
      <c r="D12698" s="2">
        <v>5.2600000000000001E-2</v>
      </c>
      <c r="E12698" s="2">
        <v>4.7800000000000002E-2</v>
      </c>
      <c r="F12698" s="2">
        <v>3.8100000000000002E-2</v>
      </c>
      <c r="G12698" s="2">
        <v>3.1699999999999999E-2</v>
      </c>
      <c r="H12698" s="2">
        <v>3.0800000000000001E-2</v>
      </c>
      <c r="I12698" s="2">
        <v>2.5600000000000001E-2</v>
      </c>
      <c r="J12698" s="2">
        <v>1.9E-2</v>
      </c>
      <c r="K12698" s="2">
        <v>1.49E-2</v>
      </c>
      <c r="L12698" s="2">
        <v>5.0000000000000001E-3</v>
      </c>
      <c r="M12698">
        <v>2812</v>
      </c>
    </row>
    <row r="12700" spans="1:18" x14ac:dyDescent="0.35">
      <c r="A12700" s="1" t="s">
        <v>2838</v>
      </c>
    </row>
    <row r="12701" spans="1:18" x14ac:dyDescent="0.35">
      <c r="A12701" t="s">
        <v>219</v>
      </c>
      <c r="B12701" t="s">
        <v>301</v>
      </c>
      <c r="C12701" t="s">
        <v>2681</v>
      </c>
      <c r="D12701" t="s">
        <v>2682</v>
      </c>
      <c r="E12701" t="s">
        <v>2683</v>
      </c>
      <c r="F12701" t="s">
        <v>2684</v>
      </c>
      <c r="G12701" t="s">
        <v>2685</v>
      </c>
      <c r="H12701" t="s">
        <v>2686</v>
      </c>
      <c r="I12701" t="s">
        <v>2687</v>
      </c>
      <c r="J12701" t="s">
        <v>2688</v>
      </c>
      <c r="K12701" t="s">
        <v>277</v>
      </c>
      <c r="L12701" t="s">
        <v>2689</v>
      </c>
      <c r="M12701" t="s">
        <v>2690</v>
      </c>
      <c r="N12701" t="s">
        <v>2691</v>
      </c>
      <c r="O12701" t="s">
        <v>2692</v>
      </c>
      <c r="P12701" t="s">
        <v>282</v>
      </c>
      <c r="Q12701" t="s">
        <v>2693</v>
      </c>
      <c r="R12701" t="s">
        <v>226</v>
      </c>
    </row>
    <row r="12702" spans="1:18" x14ac:dyDescent="0.35">
      <c r="A12702" t="s">
        <v>227</v>
      </c>
      <c r="B12702" t="s">
        <v>2726</v>
      </c>
      <c r="C12702" s="2">
        <v>0.51039999999999996</v>
      </c>
      <c r="D12702" s="2">
        <v>0.23380000000000001</v>
      </c>
      <c r="E12702" s="2">
        <v>0.11700000000000001</v>
      </c>
      <c r="F12702" s="2">
        <v>6.7400000000000002E-2</v>
      </c>
      <c r="G12702" s="2">
        <v>6.9199999999999998E-2</v>
      </c>
      <c r="H12702" s="2">
        <v>5.0799999999999998E-2</v>
      </c>
      <c r="I12702" s="2">
        <v>3.2099999999999997E-2</v>
      </c>
      <c r="J12702" s="2">
        <v>2.7099999999999999E-2</v>
      </c>
      <c r="K12702" s="2">
        <v>3.7100000000000001E-2</v>
      </c>
      <c r="L12702" s="2">
        <v>1.84E-2</v>
      </c>
      <c r="M12702" s="2">
        <v>2.5000000000000001E-2</v>
      </c>
      <c r="N12702" s="2">
        <v>1.83E-2</v>
      </c>
      <c r="O12702" s="2">
        <v>1.0800000000000001E-2</v>
      </c>
      <c r="P12702" s="2">
        <v>4.7999999999999996E-3</v>
      </c>
      <c r="Q12702" s="2">
        <v>5.4000000000000003E-3</v>
      </c>
      <c r="R12702">
        <v>961</v>
      </c>
    </row>
    <row r="12703" spans="1:18" x14ac:dyDescent="0.35">
      <c r="A12703" t="s">
        <v>227</v>
      </c>
      <c r="B12703" t="s">
        <v>2727</v>
      </c>
      <c r="C12703" s="2">
        <v>0.52459999999999996</v>
      </c>
      <c r="D12703" s="2">
        <v>0.2802</v>
      </c>
      <c r="E12703" s="2">
        <v>0.1196</v>
      </c>
      <c r="F12703" s="2">
        <v>3.2000000000000001E-2</v>
      </c>
      <c r="G12703" s="2">
        <v>4.2900000000000001E-2</v>
      </c>
      <c r="H12703" s="2">
        <v>3.09E-2</v>
      </c>
      <c r="I12703" s="2">
        <v>1.23E-2</v>
      </c>
      <c r="J12703" s="2">
        <v>1.9E-2</v>
      </c>
      <c r="K12703" s="2">
        <v>5.2600000000000001E-2</v>
      </c>
      <c r="L12703" s="2">
        <v>7.4000000000000003E-3</v>
      </c>
      <c r="M12703" s="2">
        <v>5.7999999999999996E-3</v>
      </c>
      <c r="N12703" s="2">
        <v>3.8E-3</v>
      </c>
      <c r="O12703" s="2">
        <v>4.7000000000000002E-3</v>
      </c>
      <c r="P12703" s="2">
        <v>1.9E-3</v>
      </c>
      <c r="Q12703" s="2">
        <v>2.9999999999999997E-4</v>
      </c>
      <c r="R12703">
        <v>269</v>
      </c>
    </row>
    <row r="12704" spans="1:18" x14ac:dyDescent="0.35">
      <c r="A12704" t="s">
        <v>227</v>
      </c>
      <c r="B12704" t="s">
        <v>2728</v>
      </c>
      <c r="C12704" s="2">
        <v>0.49530000000000002</v>
      </c>
      <c r="D12704" s="2">
        <v>0.24740000000000001</v>
      </c>
      <c r="E12704" s="2">
        <v>0.1371</v>
      </c>
      <c r="F12704" s="2">
        <v>7.6499999999999999E-2</v>
      </c>
      <c r="G12704" s="2">
        <v>6.9099999999999995E-2</v>
      </c>
      <c r="H12704" s="2">
        <v>5.3800000000000001E-2</v>
      </c>
      <c r="I12704" s="2">
        <v>4.1700000000000001E-2</v>
      </c>
      <c r="J12704" s="2">
        <v>3.9E-2</v>
      </c>
      <c r="K12704" s="2">
        <v>2.07E-2</v>
      </c>
      <c r="L12704" s="2">
        <v>3.2300000000000002E-2</v>
      </c>
      <c r="M12704" s="2">
        <v>2.5499999999999998E-2</v>
      </c>
      <c r="N12704" s="2">
        <v>2.2200000000000001E-2</v>
      </c>
      <c r="O12704" s="2">
        <v>1.0500000000000001E-2</v>
      </c>
      <c r="P12704" s="2">
        <v>5.7999999999999996E-3</v>
      </c>
      <c r="Q12704" s="2">
        <v>3.0999999999999999E-3</v>
      </c>
      <c r="R12704">
        <v>1581</v>
      </c>
    </row>
    <row r="12705" spans="1:18" x14ac:dyDescent="0.35">
      <c r="A12705" t="s">
        <v>228</v>
      </c>
      <c r="B12705" t="s">
        <v>228</v>
      </c>
      <c r="C12705" s="2">
        <v>0.503</v>
      </c>
      <c r="D12705" s="2">
        <v>0.24610000000000001</v>
      </c>
      <c r="E12705" s="2">
        <v>0.12909999999999999</v>
      </c>
      <c r="F12705" s="2">
        <v>6.9500000000000006E-2</v>
      </c>
      <c r="G12705" s="2">
        <v>6.6600000000000006E-2</v>
      </c>
      <c r="H12705" s="2">
        <v>5.0700000000000002E-2</v>
      </c>
      <c r="I12705" s="2">
        <v>3.5900000000000001E-2</v>
      </c>
      <c r="J12705" s="2">
        <v>3.3399999999999999E-2</v>
      </c>
      <c r="K12705" s="2">
        <v>2.8799999999999999E-2</v>
      </c>
      <c r="L12705" s="2">
        <v>2.5600000000000001E-2</v>
      </c>
      <c r="M12705" s="2">
        <v>2.35E-2</v>
      </c>
      <c r="N12705" s="2">
        <v>1.9199999999999998E-2</v>
      </c>
      <c r="O12705" s="2">
        <v>0.01</v>
      </c>
      <c r="P12705" s="2">
        <v>5.1000000000000004E-3</v>
      </c>
      <c r="Q12705" s="2">
        <v>3.5000000000000001E-3</v>
      </c>
      <c r="R12705">
        <v>2811</v>
      </c>
    </row>
    <row r="12707" spans="1:18" x14ac:dyDescent="0.35">
      <c r="A12707" s="1" t="s">
        <v>2839</v>
      </c>
    </row>
    <row r="12708" spans="1:18" x14ac:dyDescent="0.35">
      <c r="A12708" t="s">
        <v>219</v>
      </c>
      <c r="B12708" t="s">
        <v>301</v>
      </c>
      <c r="C12708" t="s">
        <v>298</v>
      </c>
      <c r="D12708" t="s">
        <v>299</v>
      </c>
      <c r="E12708" t="s">
        <v>277</v>
      </c>
      <c r="F12708" t="s">
        <v>282</v>
      </c>
      <c r="G12708" t="s">
        <v>226</v>
      </c>
    </row>
    <row r="12709" spans="1:18" x14ac:dyDescent="0.35">
      <c r="A12709" t="s">
        <v>227</v>
      </c>
      <c r="B12709" t="s">
        <v>2726</v>
      </c>
      <c r="C12709" s="2">
        <v>0.97319999999999995</v>
      </c>
      <c r="D12709" s="2">
        <v>1.9800000000000002E-2</v>
      </c>
      <c r="E12709" s="2">
        <v>2.7000000000000001E-3</v>
      </c>
      <c r="F12709" s="2">
        <v>4.1999999999999997E-3</v>
      </c>
      <c r="G12709">
        <v>961</v>
      </c>
    </row>
    <row r="12710" spans="1:18" x14ac:dyDescent="0.35">
      <c r="A12710" t="s">
        <v>227</v>
      </c>
      <c r="B12710" t="s">
        <v>2727</v>
      </c>
      <c r="C12710" s="2">
        <v>0.89249999999999996</v>
      </c>
      <c r="D12710" s="2">
        <v>0.1055</v>
      </c>
      <c r="E12710" s="2">
        <v>5.0000000000000001E-4</v>
      </c>
      <c r="F12710" s="2">
        <v>1.4E-3</v>
      </c>
      <c r="G12710">
        <v>270</v>
      </c>
    </row>
    <row r="12711" spans="1:18" x14ac:dyDescent="0.35">
      <c r="A12711" t="s">
        <v>227</v>
      </c>
      <c r="B12711" t="s">
        <v>2728</v>
      </c>
      <c r="C12711" s="2">
        <v>0.9466</v>
      </c>
      <c r="D12711" s="2">
        <v>2.0799999999999999E-2</v>
      </c>
      <c r="E12711" s="2">
        <v>2.2599999999999999E-2</v>
      </c>
      <c r="F12711" s="2">
        <v>1.01E-2</v>
      </c>
      <c r="G12711">
        <v>1581</v>
      </c>
    </row>
    <row r="12712" spans="1:18" x14ac:dyDescent="0.35">
      <c r="A12712" t="s">
        <v>228</v>
      </c>
      <c r="B12712" t="s">
        <v>228</v>
      </c>
      <c r="C12712" s="2">
        <v>0.94979999999999998</v>
      </c>
      <c r="D12712" s="2">
        <v>2.8500000000000001E-2</v>
      </c>
      <c r="E12712" s="2">
        <v>1.43E-2</v>
      </c>
      <c r="F12712" s="2">
        <v>7.4000000000000003E-3</v>
      </c>
      <c r="G12712">
        <v>2812</v>
      </c>
    </row>
    <row r="12714" spans="1:18" x14ac:dyDescent="0.35">
      <c r="A12714" s="1" t="s">
        <v>2840</v>
      </c>
    </row>
    <row r="12715" spans="1:18" x14ac:dyDescent="0.35">
      <c r="A12715" t="s">
        <v>219</v>
      </c>
      <c r="B12715" t="s">
        <v>301</v>
      </c>
      <c r="C12715" t="s">
        <v>2712</v>
      </c>
      <c r="D12715" t="s">
        <v>2713</v>
      </c>
      <c r="E12715" t="s">
        <v>2714</v>
      </c>
      <c r="F12715" t="s">
        <v>318</v>
      </c>
      <c r="G12715" t="s">
        <v>2715</v>
      </c>
      <c r="H12715" t="s">
        <v>2716</v>
      </c>
      <c r="I12715" t="s">
        <v>2717</v>
      </c>
      <c r="J12715" t="s">
        <v>2718</v>
      </c>
      <c r="K12715" t="s">
        <v>2719</v>
      </c>
      <c r="L12715" t="s">
        <v>2720</v>
      </c>
      <c r="M12715" t="s">
        <v>2721</v>
      </c>
      <c r="N12715" t="s">
        <v>282</v>
      </c>
      <c r="O12715" t="s">
        <v>277</v>
      </c>
      <c r="P12715" t="s">
        <v>226</v>
      </c>
    </row>
    <row r="12716" spans="1:18" x14ac:dyDescent="0.35">
      <c r="A12716" s="3" t="s">
        <v>227</v>
      </c>
      <c r="B12716" s="3" t="s">
        <v>2726</v>
      </c>
      <c r="C12716" s="4">
        <v>0.77300000000000002</v>
      </c>
      <c r="D12716" s="4">
        <v>6.9599999999999995E-2</v>
      </c>
      <c r="E12716" s="5"/>
      <c r="F12716" s="5"/>
      <c r="G12716" s="4">
        <v>0.17660000000000001</v>
      </c>
      <c r="H12716" s="5"/>
      <c r="I12716" s="5"/>
      <c r="J12716" s="4">
        <v>1.5699999999999999E-2</v>
      </c>
      <c r="K12716" s="5"/>
      <c r="L12716" s="5"/>
      <c r="M12716" s="4">
        <v>9.4000000000000004E-3</v>
      </c>
      <c r="N12716" s="5"/>
      <c r="O12716" s="5"/>
      <c r="P12716" s="5" t="s">
        <v>423</v>
      </c>
    </row>
    <row r="12717" spans="1:18" x14ac:dyDescent="0.35">
      <c r="A12717" s="3" t="s">
        <v>227</v>
      </c>
      <c r="B12717" s="3" t="s">
        <v>2727</v>
      </c>
      <c r="C12717" s="4">
        <v>0.38469999999999999</v>
      </c>
      <c r="D12717" s="5"/>
      <c r="E12717" s="4">
        <v>5.9700000000000003E-2</v>
      </c>
      <c r="F12717" s="4">
        <v>0.34520000000000001</v>
      </c>
      <c r="G12717" s="5"/>
      <c r="H12717" s="4">
        <v>0.13220000000000001</v>
      </c>
      <c r="I12717" s="4">
        <v>8.5999999999999993E-2</v>
      </c>
      <c r="J12717" s="4">
        <v>8.0999999999999996E-3</v>
      </c>
      <c r="K12717" s="5"/>
      <c r="L12717" s="5"/>
      <c r="M12717" s="5"/>
      <c r="N12717" s="5"/>
      <c r="O12717" s="4">
        <v>7.1000000000000004E-3</v>
      </c>
      <c r="P12717" s="5" t="s">
        <v>1255</v>
      </c>
    </row>
    <row r="12718" spans="1:18" x14ac:dyDescent="0.35">
      <c r="A12718" t="s">
        <v>227</v>
      </c>
      <c r="B12718" t="s">
        <v>2728</v>
      </c>
      <c r="C12718" s="2">
        <v>0.1416</v>
      </c>
      <c r="D12718" s="2">
        <v>0.4199</v>
      </c>
      <c r="E12718" s="2">
        <v>0.28870000000000001</v>
      </c>
      <c r="F12718" s="2">
        <v>2.41E-2</v>
      </c>
      <c r="G12718" s="2">
        <v>0.09</v>
      </c>
      <c r="H12718" s="2">
        <v>4.9399999999999999E-2</v>
      </c>
      <c r="I12718" s="2">
        <v>1.21E-2</v>
      </c>
      <c r="J12718" s="2">
        <v>5.7299999999999997E-2</v>
      </c>
      <c r="K12718" s="2">
        <v>1.54E-2</v>
      </c>
      <c r="L12718" s="2">
        <v>1.54E-2</v>
      </c>
      <c r="M12718" s="2">
        <v>3.8E-3</v>
      </c>
      <c r="N12718" s="2">
        <v>7.6E-3</v>
      </c>
      <c r="P12718">
        <v>50</v>
      </c>
    </row>
    <row r="12719" spans="1:18" x14ac:dyDescent="0.35">
      <c r="A12719" t="s">
        <v>228</v>
      </c>
      <c r="B12719" t="s">
        <v>228</v>
      </c>
      <c r="C12719" s="2">
        <v>0.3473</v>
      </c>
      <c r="D12719" s="2">
        <v>0.2029</v>
      </c>
      <c r="E12719" s="2">
        <v>0.15210000000000001</v>
      </c>
      <c r="F12719" s="2">
        <v>0.13550000000000001</v>
      </c>
      <c r="G12719" s="2">
        <v>7.3700000000000002E-2</v>
      </c>
      <c r="H12719" s="2">
        <v>7.0099999999999996E-2</v>
      </c>
      <c r="I12719" s="2">
        <v>3.6499999999999998E-2</v>
      </c>
      <c r="J12719" s="2">
        <v>3.1800000000000002E-2</v>
      </c>
      <c r="K12719" s="2">
        <v>7.0000000000000001E-3</v>
      </c>
      <c r="L12719" s="2">
        <v>7.0000000000000001E-3</v>
      </c>
      <c r="M12719" s="2">
        <v>3.5000000000000001E-3</v>
      </c>
      <c r="N12719" s="2">
        <v>3.3999999999999998E-3</v>
      </c>
      <c r="O12719" s="2">
        <v>2.5999999999999999E-3</v>
      </c>
      <c r="P12719">
        <v>90</v>
      </c>
    </row>
    <row r="12721" spans="1:19" x14ac:dyDescent="0.35">
      <c r="A12721" s="1" t="s">
        <v>2841</v>
      </c>
    </row>
    <row r="12722" spans="1:19" x14ac:dyDescent="0.35">
      <c r="A12722" t="s">
        <v>219</v>
      </c>
      <c r="B12722" t="s">
        <v>301</v>
      </c>
      <c r="C12722" t="s">
        <v>298</v>
      </c>
      <c r="D12722" t="s">
        <v>299</v>
      </c>
      <c r="E12722" t="s">
        <v>226</v>
      </c>
    </row>
    <row r="12723" spans="1:19" x14ac:dyDescent="0.35">
      <c r="A12723" s="3" t="s">
        <v>227</v>
      </c>
      <c r="B12723" s="3" t="s">
        <v>2726</v>
      </c>
      <c r="C12723" s="4">
        <v>0.57909999999999995</v>
      </c>
      <c r="D12723" s="4">
        <v>0.4209</v>
      </c>
      <c r="E12723" s="5" t="s">
        <v>848</v>
      </c>
    </row>
    <row r="12724" spans="1:19" x14ac:dyDescent="0.35">
      <c r="A12724" s="3" t="s">
        <v>227</v>
      </c>
      <c r="B12724" s="3" t="s">
        <v>2727</v>
      </c>
      <c r="C12724" s="4">
        <v>1</v>
      </c>
      <c r="D12724" s="5"/>
      <c r="E12724" s="5" t="s">
        <v>323</v>
      </c>
    </row>
    <row r="12725" spans="1:19" x14ac:dyDescent="0.35">
      <c r="A12725" s="3" t="s">
        <v>227</v>
      </c>
      <c r="B12725" s="3" t="s">
        <v>2728</v>
      </c>
      <c r="C12725" s="4">
        <v>0.62309999999999999</v>
      </c>
      <c r="D12725" s="4">
        <v>0.37690000000000001</v>
      </c>
      <c r="E12725" s="5" t="s">
        <v>477</v>
      </c>
    </row>
    <row r="12726" spans="1:19" x14ac:dyDescent="0.35">
      <c r="A12726" t="s">
        <v>228</v>
      </c>
      <c r="B12726" t="s">
        <v>228</v>
      </c>
      <c r="C12726" s="2">
        <v>0.60560000000000003</v>
      </c>
      <c r="D12726" s="2">
        <v>0.39439999999999997</v>
      </c>
      <c r="E12726">
        <v>38</v>
      </c>
    </row>
    <row r="12728" spans="1:19" x14ac:dyDescent="0.35">
      <c r="A12728" s="1" t="s">
        <v>2842</v>
      </c>
    </row>
    <row r="12729" spans="1:19" x14ac:dyDescent="0.35">
      <c r="A12729" t="s">
        <v>219</v>
      </c>
      <c r="B12729" t="s">
        <v>301</v>
      </c>
      <c r="C12729" t="s">
        <v>817</v>
      </c>
      <c r="D12729" t="s">
        <v>818</v>
      </c>
      <c r="E12729" t="s">
        <v>819</v>
      </c>
      <c r="F12729" t="s">
        <v>820</v>
      </c>
      <c r="G12729" t="s">
        <v>821</v>
      </c>
      <c r="H12729" t="s">
        <v>822</v>
      </c>
      <c r="I12729" t="s">
        <v>823</v>
      </c>
      <c r="J12729" t="s">
        <v>824</v>
      </c>
      <c r="K12729" t="s">
        <v>825</v>
      </c>
      <c r="L12729" t="s">
        <v>826</v>
      </c>
      <c r="M12729" t="s">
        <v>827</v>
      </c>
      <c r="N12729" t="s">
        <v>277</v>
      </c>
      <c r="O12729" t="s">
        <v>828</v>
      </c>
      <c r="P12729" t="s">
        <v>829</v>
      </c>
      <c r="Q12729" t="s">
        <v>830</v>
      </c>
      <c r="R12729" t="s">
        <v>282</v>
      </c>
      <c r="S12729" t="s">
        <v>226</v>
      </c>
    </row>
    <row r="12730" spans="1:19" x14ac:dyDescent="0.35">
      <c r="A12730" t="s">
        <v>227</v>
      </c>
      <c r="B12730" t="s">
        <v>2726</v>
      </c>
      <c r="C12730" s="2">
        <v>0.47649999999999998</v>
      </c>
      <c r="D12730" s="2">
        <v>0.3498</v>
      </c>
      <c r="E12730" s="2">
        <v>0.124</v>
      </c>
      <c r="F12730" s="2">
        <v>8.5099999999999995E-2</v>
      </c>
      <c r="G12730" s="2">
        <v>0.14000000000000001</v>
      </c>
      <c r="H12730" s="2">
        <v>0.1724</v>
      </c>
      <c r="I12730" s="2">
        <v>0.09</v>
      </c>
      <c r="J12730" s="2">
        <v>9.1499999999999998E-2</v>
      </c>
      <c r="K12730" s="2">
        <v>7.3599999999999999E-2</v>
      </c>
      <c r="L12730" s="2">
        <v>3.5499999999999997E-2</v>
      </c>
      <c r="M12730" s="2">
        <v>3.2399999999999998E-2</v>
      </c>
      <c r="O12730" s="2">
        <v>4.1999999999999997E-3</v>
      </c>
      <c r="P12730" s="2">
        <v>2.7000000000000001E-3</v>
      </c>
      <c r="Q12730" s="2">
        <v>9.9000000000000008E-3</v>
      </c>
      <c r="S12730">
        <v>150</v>
      </c>
    </row>
    <row r="12731" spans="1:19" x14ac:dyDescent="0.35">
      <c r="A12731" t="s">
        <v>227</v>
      </c>
      <c r="B12731" t="s">
        <v>2727</v>
      </c>
      <c r="C12731" s="2">
        <v>0.19869999999999999</v>
      </c>
      <c r="D12731" s="2">
        <v>0.1003</v>
      </c>
      <c r="E12731" s="2">
        <v>0.16159999999999999</v>
      </c>
      <c r="F12731" s="2">
        <v>9.9699999999999997E-2</v>
      </c>
      <c r="G12731" s="2">
        <v>0.1963</v>
      </c>
      <c r="H12731" s="2">
        <v>0.1328</v>
      </c>
      <c r="I12731" s="2">
        <v>0.2276</v>
      </c>
      <c r="J12731" s="2">
        <v>3.6600000000000001E-2</v>
      </c>
      <c r="K12731" s="2">
        <v>2.0400000000000001E-2</v>
      </c>
      <c r="L12731" s="2">
        <v>1.8800000000000001E-2</v>
      </c>
      <c r="N12731" s="2">
        <v>0.1507</v>
      </c>
      <c r="O12731" s="2">
        <v>6.6E-3</v>
      </c>
      <c r="P12731" s="2">
        <v>2.3999999999999998E-3</v>
      </c>
      <c r="S12731">
        <v>34</v>
      </c>
    </row>
    <row r="12732" spans="1:19" x14ac:dyDescent="0.35">
      <c r="A12732" t="s">
        <v>227</v>
      </c>
      <c r="B12732" t="s">
        <v>2728</v>
      </c>
      <c r="C12732" s="2">
        <v>0.41449999999999998</v>
      </c>
      <c r="D12732" s="2">
        <v>0.40699999999999997</v>
      </c>
      <c r="E12732" s="2">
        <v>0.13400000000000001</v>
      </c>
      <c r="F12732" s="2">
        <v>0.1409</v>
      </c>
      <c r="G12732" s="2">
        <v>0.1024</v>
      </c>
      <c r="H12732" s="2">
        <v>6.7100000000000007E-2</v>
      </c>
      <c r="I12732" s="2">
        <v>6.9900000000000004E-2</v>
      </c>
      <c r="J12732" s="2">
        <v>6.5199999999999994E-2</v>
      </c>
      <c r="K12732" s="2">
        <v>6.7799999999999999E-2</v>
      </c>
      <c r="L12732" s="2">
        <v>5.2400000000000002E-2</v>
      </c>
      <c r="M12732" s="2">
        <v>1.6E-2</v>
      </c>
      <c r="N12732" s="2">
        <v>3.0000000000000001E-3</v>
      </c>
      <c r="O12732" s="2">
        <v>1.49E-2</v>
      </c>
      <c r="P12732" s="2">
        <v>1.2500000000000001E-2</v>
      </c>
      <c r="Q12732" s="2">
        <v>1.6000000000000001E-3</v>
      </c>
      <c r="R12732" s="2">
        <v>3.3999999999999998E-3</v>
      </c>
      <c r="S12732">
        <v>337</v>
      </c>
    </row>
    <row r="12733" spans="1:19" x14ac:dyDescent="0.35">
      <c r="A12733" t="s">
        <v>228</v>
      </c>
      <c r="B12733" t="s">
        <v>228</v>
      </c>
      <c r="C12733" s="2">
        <v>0.41149999999999998</v>
      </c>
      <c r="D12733" s="2">
        <v>0.37119999999999997</v>
      </c>
      <c r="E12733" s="2">
        <v>0.13400000000000001</v>
      </c>
      <c r="F12733" s="2">
        <v>0.12559999999999999</v>
      </c>
      <c r="G12733" s="2">
        <v>0.1177</v>
      </c>
      <c r="H12733" s="2">
        <v>9.5000000000000001E-2</v>
      </c>
      <c r="I12733" s="2">
        <v>8.6300000000000002E-2</v>
      </c>
      <c r="J12733" s="2">
        <v>6.8699999999999997E-2</v>
      </c>
      <c r="K12733" s="2">
        <v>6.5500000000000003E-2</v>
      </c>
      <c r="L12733" s="2">
        <v>4.6199999999999998E-2</v>
      </c>
      <c r="M12733" s="2">
        <v>1.84E-2</v>
      </c>
      <c r="N12733" s="2">
        <v>1.3599999999999999E-2</v>
      </c>
      <c r="O12733" s="2">
        <v>1.2E-2</v>
      </c>
      <c r="P12733" s="2">
        <v>9.5999999999999992E-3</v>
      </c>
      <c r="Q12733" s="2">
        <v>3.3E-3</v>
      </c>
      <c r="R12733" s="2">
        <v>2.3999999999999998E-3</v>
      </c>
      <c r="S12733">
        <v>521</v>
      </c>
    </row>
    <row r="12735" spans="1:19" x14ac:dyDescent="0.35">
      <c r="A12735" s="1" t="s">
        <v>2843</v>
      </c>
    </row>
    <row r="12736" spans="1:19" x14ac:dyDescent="0.35">
      <c r="A12736" t="s">
        <v>219</v>
      </c>
      <c r="B12736" t="s">
        <v>2728</v>
      </c>
      <c r="C12736" t="s">
        <v>2726</v>
      </c>
      <c r="D12736" t="s">
        <v>2727</v>
      </c>
      <c r="E12736" t="s">
        <v>226</v>
      </c>
    </row>
    <row r="12737" spans="1:5" x14ac:dyDescent="0.35">
      <c r="A12737" t="s">
        <v>227</v>
      </c>
      <c r="B12737" s="2">
        <v>0.59499999999999997</v>
      </c>
      <c r="C12737" s="2">
        <v>0.31080000000000002</v>
      </c>
      <c r="D12737" s="2">
        <v>9.4200000000000006E-2</v>
      </c>
      <c r="E12737">
        <v>2812</v>
      </c>
    </row>
    <row r="12738" spans="1:5" x14ac:dyDescent="0.35">
      <c r="A12738" t="s">
        <v>228</v>
      </c>
      <c r="B12738" s="2">
        <v>0.59499999999999997</v>
      </c>
      <c r="C12738" s="2">
        <v>0.31080000000000002</v>
      </c>
      <c r="D12738" s="2">
        <v>9.4200000000000006E-2</v>
      </c>
      <c r="E12738">
        <v>2812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228d1bd-650e-48eb-9f39-f684bd7bd257">
      <Terms xmlns="http://schemas.microsoft.com/office/infopath/2007/PartnerControls"/>
    </lcf76f155ced4ddcb4097134ff3c332f>
    <TaxCatchAll xmlns="fa0b5fe5-391f-41b6-811a-90e0518c7af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3A2E158ED92647AF4EE09E30C26EE1" ma:contentTypeVersion="16" ma:contentTypeDescription="Crée un document." ma:contentTypeScope="" ma:versionID="1b31ca459b2a194480c57531b0f67eb8">
  <xsd:schema xmlns:xsd="http://www.w3.org/2001/XMLSchema" xmlns:xs="http://www.w3.org/2001/XMLSchema" xmlns:p="http://schemas.microsoft.com/office/2006/metadata/properties" xmlns:ns2="c228d1bd-650e-48eb-9f39-f684bd7bd257" xmlns:ns3="fa0b5fe5-391f-41b6-811a-90e0518c7af2" targetNamespace="http://schemas.microsoft.com/office/2006/metadata/properties" ma:root="true" ma:fieldsID="173524fe1e79f9d9c650640ec51c5176" ns2:_="" ns3:_="">
    <xsd:import namespace="c228d1bd-650e-48eb-9f39-f684bd7bd257"/>
    <xsd:import namespace="fa0b5fe5-391f-41b6-811a-90e0518c7af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28d1bd-650e-48eb-9f39-f684bd7bd2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4d06f0b5-5743-41f2-90d3-b12c8ffc7f3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0b5fe5-391f-41b6-811a-90e0518c7af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9467c31-3563-4463-b194-9d16e3020301}" ma:internalName="TaxCatchAll" ma:showField="CatchAllData" ma:web="fa0b5fe5-391f-41b6-811a-90e0518c7af2">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323486-AB60-4783-906D-B7D665F90103}">
  <ds:schemaRefs>
    <ds:schemaRef ds:uri="http://schemas.microsoft.com/sharepoint/v3/contenttype/forms"/>
  </ds:schemaRefs>
</ds:datastoreItem>
</file>

<file path=customXml/itemProps2.xml><?xml version="1.0" encoding="utf-8"?>
<ds:datastoreItem xmlns:ds="http://schemas.openxmlformats.org/officeDocument/2006/customXml" ds:itemID="{56A9D81C-30E0-4560-B25F-D001AD66242A}">
  <ds:schemaRefs>
    <ds:schemaRef ds:uri="http://purl.org/dc/dcmitype/"/>
    <ds:schemaRef ds:uri="http://schemas.microsoft.com/office/2006/documentManagement/types"/>
    <ds:schemaRef ds:uri="http://www.w3.org/XML/1998/namespace"/>
    <ds:schemaRef ds:uri="c228d1bd-650e-48eb-9f39-f684bd7bd257"/>
    <ds:schemaRef ds:uri="http://schemas.microsoft.com/office/infopath/2007/PartnerControls"/>
    <ds:schemaRef ds:uri="http://schemas.openxmlformats.org/package/2006/metadata/core-properties"/>
    <ds:schemaRef ds:uri="fa0b5fe5-391f-41b6-811a-90e0518c7af2"/>
    <ds:schemaRef ds:uri="http://schemas.microsoft.com/office/2006/metadata/properties"/>
    <ds:schemaRef ds:uri="http://purl.org/dc/terms/"/>
    <ds:schemaRef ds:uri="http://purl.org/dc/elements/1.1/"/>
  </ds:schemaRefs>
</ds:datastoreItem>
</file>

<file path=customXml/itemProps3.xml><?xml version="1.0" encoding="utf-8"?>
<ds:datastoreItem xmlns:ds="http://schemas.openxmlformats.org/officeDocument/2006/customXml" ds:itemID="{FF27954A-64EB-4570-8A8A-F29594C442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28d1bd-650e-48eb-9f39-f684bd7bd257"/>
    <ds:schemaRef ds:uri="fa0b5fe5-391f-41b6-811a-90e0518c7a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READ_ME</vt:lpstr>
      <vt:lpstr>Table_of_content</vt: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carla.curreli</dc:creator>
  <cp:keywords/>
  <dc:description/>
  <cp:lastModifiedBy>Carla CURRELI</cp:lastModifiedBy>
  <cp:revision/>
  <dcterms:created xsi:type="dcterms:W3CDTF">2025-10-27T15:10:06Z</dcterms:created>
  <dcterms:modified xsi:type="dcterms:W3CDTF">2025-10-29T17:48:38Z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0x010100193A2E158ED92647AF4EE09E30C26EE1</vt:lpwstr>
  </property>
  <property fmtid="{D5CDD505-2E9C-101B-9397-08002B2CF9AE}" pid="3" name="MediaServiceImageTags">
    <vt:lpwstr/>
  </property>
</Properties>
</file>